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30" firstSheet="25" activeTab="30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,7,8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Óvoda" sheetId="17" r:id="rId17"/>
    <sheet name="16. Műv. ház" sheetId="18" r:id="rId18"/>
    <sheet name="17. Hivatal" sheetId="19" r:id="rId19"/>
    <sheet name="18. VÜKI" sheetId="20" r:id="rId20"/>
    <sheet name="19 önkormányzat" sheetId="21" r:id="rId21"/>
    <sheet name="20. melléklet" sheetId="22" r:id="rId22"/>
    <sheet name="20.1. melléklet" sheetId="23" r:id="rId23"/>
    <sheet name="20.2.melléklet" sheetId="24" r:id="rId24"/>
    <sheet name="20.3. melléklet" sheetId="25" r:id="rId25"/>
    <sheet name="20.4.mellékelt" sheetId="26" r:id="rId26"/>
    <sheet name="20.5.melléklet" sheetId="27" r:id="rId27"/>
    <sheet name="21 kötelező feladat" sheetId="28" state="hidden" r:id="rId28"/>
    <sheet name="21. céltartalék" sheetId="29" r:id="rId29"/>
    <sheet name="22. EU-s beruh." sheetId="30" r:id="rId30"/>
    <sheet name="ÖNK ÖSSZESITŐ" sheetId="31" r:id="rId31"/>
    <sheet name="Munkalap27" sheetId="32" state="hidden" r:id="rId32"/>
  </sheets>
  <externalReferences>
    <externalReference r:id="rId35"/>
  </externalReferences>
  <definedNames>
    <definedName name="_4__sz__sor_részletezése">#REF!</definedName>
    <definedName name="Excel_BuiltIn__FilterDatabase" localSheetId="21">'20. melléklet'!$A$10:$E$10</definedName>
    <definedName name="Excel_BuiltIn__FilterDatabase" localSheetId="27">NA()</definedName>
    <definedName name="Excel_BuiltIn__FilterDatabase" localSheetId="9">'6,7,8 Melléklet'!$A$12:$I$84</definedName>
    <definedName name="Excel_BuiltIn__FilterDatabase" localSheetId="30">'ÖNK ÖSSZESITŐ'!$A$50:$D$87</definedName>
    <definedName name="Excel_BuiltIn_Print_Area" localSheetId="4">'1. melléklet'!$A$1:$C$59</definedName>
    <definedName name="Excel_BuiltIn_Print_Area" localSheetId="16">'15. Óvoda'!$A$1:$D$73</definedName>
    <definedName name="Excel_BuiltIn_Print_Area" localSheetId="17">'16. Műv. ház'!$A$1:$D$44</definedName>
    <definedName name="Excel_BuiltIn_Print_Area" localSheetId="18">'17. Hivatal'!$A$1:$D$55</definedName>
    <definedName name="Excel_BuiltIn_Print_Area" localSheetId="19">'18. VÜKI'!$A$1:$D$76</definedName>
    <definedName name="Excel_BuiltIn_Print_Area" localSheetId="20">'19 önkormányzat'!$A$1:$D$182</definedName>
    <definedName name="Excel_BuiltIn_Print_Area" localSheetId="0">'2'!$A$1:$A$21</definedName>
    <definedName name="Excel_BuiltIn_Print_Area" localSheetId="21">'20. melléklet'!$A$1:$E$59</definedName>
    <definedName name="Excel_BuiltIn_Print_Area" localSheetId="8">'5. melléklet'!$A$1:$D$237</definedName>
    <definedName name="Excel_BuiltIn_Print_Area" localSheetId="30">'ÖNK ÖSSZESITŐ'!$A$1:$D$108</definedName>
    <definedName name="_xlnm.Print_Titles" localSheetId="27">'21 kötelező feladat'!$1:$3</definedName>
    <definedName name="_xlnm.Print_Titles" localSheetId="8">'5. melléklet'!$5:$11</definedName>
    <definedName name="_xlnm.Print_Titles" localSheetId="30">'ÖNK ÖSSZESITŐ'!$1:$8</definedName>
    <definedName name="_xlnm.Print_Area" localSheetId="4">'1. melléklet'!$A$1:$I$65</definedName>
    <definedName name="_xlnm.Print_Area" localSheetId="11">'10. melléklet'!$A$1:$F$19</definedName>
    <definedName name="_xlnm.Print_Area" localSheetId="12">'11. melléklet'!$A$1:$N$36</definedName>
    <definedName name="_xlnm.Print_Area" localSheetId="1">'12'!$A$1:$B$11</definedName>
    <definedName name="_xlnm.Print_Area" localSheetId="13">'12. melléklet'!$A$1:$H$51</definedName>
    <definedName name="_xlnm.Print_Area" localSheetId="2">'14adóss'!$A$1:$G$30</definedName>
    <definedName name="_xlnm.Print_Area" localSheetId="3">'15 3éves'!$A$1:$E$55</definedName>
    <definedName name="_xlnm.Print_Area" localSheetId="16">'15. Óvoda'!$A$1:$J$74</definedName>
    <definedName name="_xlnm.Print_Area" localSheetId="17">'16. Műv. ház'!$A$1:$J$45</definedName>
    <definedName name="_xlnm.Print_Area" localSheetId="18">'17. Hivatal'!$A$1:$J$56</definedName>
    <definedName name="_xlnm.Print_Area" localSheetId="19">'18. VÜKI'!$A$1:$J$77</definedName>
    <definedName name="_xlnm.Print_Area" localSheetId="20">'19 önkormányzat'!$A$1:$J$181</definedName>
    <definedName name="_xlnm.Print_Area" localSheetId="0">'2'!$A$1:$D$21</definedName>
    <definedName name="_xlnm.Print_Area" localSheetId="5">'2. melléklet'!$A$1:$I$51</definedName>
    <definedName name="_xlnm.Print_Area" localSheetId="21">'20. melléklet'!$A$1:$U$59</definedName>
    <definedName name="_xlnm.Print_Area" localSheetId="26">'20.5.melléklet'!$A$1:$V$72</definedName>
    <definedName name="_xlnm.Print_Area" localSheetId="27">'21 kötelező feladat'!$A$1:$E$23</definedName>
    <definedName name="_xlnm.Print_Area" localSheetId="28">'21. céltartalék'!$A$1:$H$55</definedName>
    <definedName name="_xlnm.Print_Area" localSheetId="29">'22. EU-s beruh.'!$A$1:$E$292</definedName>
    <definedName name="_xlnm.Print_Area" localSheetId="6">'3. melléklet'!$A$1:$I$57</definedName>
    <definedName name="_xlnm.Print_Area" localSheetId="7">'4. melléklet'!$A$1:$I$120</definedName>
    <definedName name="_xlnm.Print_Area" localSheetId="8">'5. melléklet'!$A$1:$J$283</definedName>
    <definedName name="_xlnm.Print_Area" localSheetId="9">'6,7,8 Melléklet'!$A$1:$I$141</definedName>
    <definedName name="_xlnm.Print_Area" localSheetId="30">'ÖNK ÖSSZESITŐ'!$A$1:$J$105</definedName>
  </definedNames>
  <calcPr fullCalcOnLoad="1"/>
</workbook>
</file>

<file path=xl/sharedStrings.xml><?xml version="1.0" encoding="utf-8"?>
<sst xmlns="http://schemas.openxmlformats.org/spreadsheetml/2006/main" count="4241" uniqueCount="1315">
  <si>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</si>
  <si>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</si>
  <si>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</si>
  <si>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</si>
  <si>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</si>
  <si>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</si>
  <si>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</si>
  <si>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</si>
  <si>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</si>
  <si>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</si>
  <si>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</si>
  <si>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</si>
  <si>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</si>
  <si>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</si>
  <si>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</si>
  <si>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</si>
  <si>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</si>
  <si>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</si>
  <si>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</si>
  <si>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</si>
  <si>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</si>
  <si>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</si>
  <si>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</si>
  <si>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</si>
  <si>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</si>
  <si>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</si>
  <si>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</si>
  <si>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</si>
  <si>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</si>
  <si>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</si>
  <si>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</si>
  <si>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</si>
  <si>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</si>
  <si>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</si>
  <si>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</si>
  <si>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</si>
  <si>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</si>
  <si>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</si>
  <si>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</si>
  <si>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</si>
  <si>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</si>
  <si>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</si>
  <si>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</si>
  <si>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</si>
  <si>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</si>
  <si>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</si>
  <si>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</si>
  <si>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</si>
  <si>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</si>
  <si>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</si>
  <si>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</si>
  <si>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</si>
  <si>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</si>
  <si>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</si>
  <si>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</si>
  <si>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</si>
  <si>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</si>
  <si>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</si>
  <si>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</si>
  <si>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</si>
  <si>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</si>
  <si>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</si>
  <si>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</si>
  <si>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</si>
  <si>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</si>
  <si>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</si>
  <si>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</si>
  <si>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</si>
  <si>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</si>
  <si>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</si>
  <si>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</si>
  <si>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</si>
  <si>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</si>
  <si>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</si>
  <si>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</si>
  <si>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</si>
  <si>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</si>
  <si>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</si>
  <si>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</si>
  <si>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</si>
  <si>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</si>
  <si>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</si>
  <si>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</si>
  <si>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</si>
  <si>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</si>
  <si>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</si>
  <si>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</si>
  <si>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</si>
  <si>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</si>
  <si>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</si>
  <si>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</si>
  <si>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</si>
  <si>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</si>
  <si>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</si>
  <si>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</si>
  <si>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</si>
  <si>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</si>
  <si>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</si>
  <si>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</si>
  <si>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</si>
  <si>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</si>
  <si>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</si>
  <si>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</si>
  <si>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</si>
  <si>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</si>
  <si>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</si>
  <si>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</si>
  <si>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</si>
  <si>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</si>
  <si>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</si>
  <si>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</si>
  <si>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</si>
  <si>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</si>
  <si>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</si>
  <si>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</si>
  <si>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</si>
  <si>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</si>
  <si>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</si>
  <si>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</si>
  <si>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</si>
  <si>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</si>
  <si>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</si>
  <si>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</si>
  <si>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</si>
  <si>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</si>
  <si>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</si>
  <si>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</si>
  <si>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</si>
  <si>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</si>
  <si>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</si>
  <si>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</si>
  <si>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</si>
  <si>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</si>
  <si>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</si>
  <si>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</si>
  <si>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</si>
  <si>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</si>
  <si>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</si>
  <si>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</si>
  <si>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</si>
  <si>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</si>
  <si>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</si>
  <si>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</si>
  <si>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</si>
  <si>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</si>
  <si>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</si>
  <si>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</si>
  <si>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</si>
  <si>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</si>
  <si>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</si>
  <si>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</si>
  <si>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</si>
  <si>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</si>
  <si>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</si>
  <si>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</si>
  <si>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</si>
  <si>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</si>
  <si>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</si>
  <si>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</si>
  <si>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</si>
  <si>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</si>
  <si>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</si>
  <si>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</si>
  <si>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</si>
  <si>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</si>
  <si>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</si>
  <si>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</si>
  <si>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</si>
  <si>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</si>
  <si>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</si>
  <si>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</si>
  <si>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</si>
  <si>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</si>
  <si>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</si>
  <si>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</si>
  <si>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</si>
  <si>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</si>
  <si>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</si>
  <si>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</si>
  <si>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</si>
  <si>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</si>
  <si>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</si>
  <si>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</si>
  <si>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</si>
  <si>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</si>
  <si>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</si>
  <si>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</si>
  <si>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</si>
  <si>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</si>
  <si>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</si>
  <si>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</si>
  <si>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</si>
  <si>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</si>
  <si>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</si>
  <si>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</si>
  <si>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</si>
  <si>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</si>
  <si>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</si>
  <si>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</si>
  <si>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</si>
  <si>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</si>
  <si>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</si>
  <si>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</si>
  <si>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</si>
  <si>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</si>
  <si>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</si>
  <si>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</si>
  <si>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</si>
  <si>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</si>
  <si>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</si>
  <si>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</si>
  <si>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</si>
  <si>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</si>
  <si>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</si>
  <si>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</si>
  <si>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</si>
  <si>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</si>
  <si>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</si>
  <si>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</si>
  <si>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</si>
  <si>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</si>
  <si>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</si>
  <si>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</si>
  <si>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</si>
  <si>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</si>
  <si>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</si>
  <si>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</si>
  <si>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</si>
  <si>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</si>
  <si>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</si>
  <si>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XI.</t>
  </si>
  <si>
    <t xml:space="preserve">4.melléklet </t>
  </si>
  <si>
    <t>Herend Város Önkormányzat önállóan működő intézményei bevétele</t>
  </si>
  <si>
    <t>Önkormányzat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</si>
  <si>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</si>
  <si>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</si>
  <si>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</si>
  <si>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</si>
  <si>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</si>
  <si>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</si>
  <si>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</si>
  <si>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</si>
  <si>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</si>
  <si>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</si>
  <si>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</si>
  <si>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</si>
  <si>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Szakfeladat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</si>
  <si>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</si>
  <si>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</si>
  <si>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</si>
  <si>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</si>
  <si>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</si>
  <si>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</si>
  <si>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</si>
  <si>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</si>
  <si>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</si>
  <si>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</si>
  <si>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</si>
  <si>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</si>
  <si>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</si>
  <si>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Közvetett támogatások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</si>
  <si>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</si>
  <si>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</si>
  <si>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</si>
  <si>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</si>
  <si>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</si>
  <si>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</si>
  <si>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</si>
  <si>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</si>
  <si>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</si>
  <si>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</si>
  <si>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</si>
  <si>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</si>
  <si>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60.</t>
  </si>
  <si>
    <t>61.</t>
  </si>
  <si>
    <t>Közfoglalkoztatás hosszabb időtartamban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</si>
  <si>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</si>
  <si>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</si>
  <si>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</si>
  <si>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</si>
  <si>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</si>
  <si>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</si>
  <si>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</si>
  <si>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</si>
  <si>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</si>
  <si>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</si>
  <si>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</si>
  <si>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</si>
  <si>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</si>
  <si>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</si>
  <si>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</si>
  <si>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</si>
  <si>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</si>
  <si>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</si>
  <si>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</si>
  <si>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</si>
  <si>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</si>
  <si>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</si>
  <si>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</si>
  <si>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</si>
  <si>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</si>
  <si>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</si>
  <si>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</si>
  <si>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</si>
  <si>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</si>
  <si>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</si>
  <si>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</si>
  <si>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</si>
  <si>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</si>
  <si>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</si>
  <si>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</si>
  <si>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</si>
  <si>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</si>
  <si>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</si>
  <si>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</si>
  <si>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</si>
  <si>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</si>
  <si>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</si>
  <si>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</si>
  <si>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</si>
  <si>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</si>
  <si>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</si>
  <si>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</si>
  <si>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</si>
  <si>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</si>
  <si>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</si>
  <si>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</si>
  <si>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</si>
  <si>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</si>
  <si>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</si>
  <si>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</si>
  <si>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</si>
  <si>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</si>
  <si>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</si>
  <si>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</si>
  <si>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</si>
  <si>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</si>
  <si>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</si>
  <si>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</si>
  <si>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</si>
  <si>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</si>
  <si>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</si>
  <si>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</si>
  <si>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</si>
  <si>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</si>
  <si>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</si>
  <si>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</si>
  <si>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</si>
  <si>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>126.</t>
  </si>
  <si>
    <t xml:space="preserve">           Dologi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</si>
  <si>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</si>
  <si>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</si>
  <si>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</si>
  <si>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</si>
  <si>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</si>
  <si>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</si>
  <si>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</si>
  <si>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</si>
  <si>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</si>
  <si>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</si>
  <si>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</si>
  <si>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</si>
  <si>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</si>
  <si>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</si>
  <si>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</si>
  <si>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</si>
  <si>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</si>
  <si>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</si>
  <si>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</si>
  <si>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</si>
  <si>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</si>
  <si>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</si>
  <si>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</si>
  <si>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</si>
  <si>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</si>
  <si>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</si>
  <si>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</si>
  <si>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</si>
  <si>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</si>
  <si>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</si>
  <si>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</si>
  <si>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</si>
  <si>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</si>
  <si>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</si>
  <si>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</si>
  <si>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</si>
  <si>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</si>
  <si>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</si>
  <si>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</si>
  <si>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</si>
  <si>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</si>
  <si>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</si>
  <si>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</si>
  <si>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</si>
  <si>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</si>
  <si>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</si>
  <si>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</si>
  <si>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</si>
  <si>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</si>
  <si>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</si>
  <si>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</si>
  <si>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</si>
  <si>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</si>
  <si>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</si>
  <si>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</si>
  <si>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</si>
  <si>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</si>
  <si>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</si>
  <si>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</si>
  <si>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</si>
  <si>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</si>
  <si>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</si>
  <si>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</si>
  <si>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</si>
  <si>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</si>
  <si>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</si>
  <si>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</si>
  <si>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</si>
  <si>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</si>
  <si>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</si>
  <si>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</si>
  <si>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</si>
  <si>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</si>
  <si>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</si>
  <si>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</si>
  <si>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Beruházás megnevezés</t>
  </si>
  <si>
    <t xml:space="preserve">A </t>
  </si>
  <si>
    <t>Felújítás</t>
  </si>
  <si>
    <t>Művelődési ház szennyvízelvezető r. és vészkijárat felújítás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</si>
  <si>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</si>
  <si>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</si>
  <si>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</si>
  <si>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</si>
  <si>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</si>
  <si>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Működési célú pénzeszköz átadás ÁH-on kiv.</t>
  </si>
  <si>
    <t>8.melléklet</t>
  </si>
  <si>
    <t>9.melléklet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</si>
  <si>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</si>
  <si>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</si>
  <si>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</si>
  <si>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</si>
  <si>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</si>
  <si>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</si>
  <si>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</si>
  <si>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</si>
  <si>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</si>
  <si>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</si>
  <si>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</si>
  <si>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</si>
  <si>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</si>
  <si>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</si>
  <si>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</si>
  <si>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</si>
  <si>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</si>
  <si>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</si>
  <si>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</si>
  <si>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</si>
  <si>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11.melléklet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</si>
  <si>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</si>
  <si>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</si>
  <si>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</si>
  <si>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</si>
  <si>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</si>
  <si>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</si>
  <si>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</si>
  <si>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</si>
  <si>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</si>
  <si>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</si>
  <si>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</si>
  <si>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</si>
  <si>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</si>
  <si>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</si>
  <si>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</si>
  <si>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</si>
  <si>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</si>
  <si>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</si>
  <si>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</si>
  <si>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 xml:space="preserve">14.melléklet </t>
  </si>
  <si>
    <t xml:space="preserve">15.  melléklet 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</si>
  <si>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</si>
  <si>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</si>
  <si>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</si>
  <si>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</si>
  <si>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</si>
  <si>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</si>
  <si>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</si>
  <si>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</si>
  <si>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</si>
  <si>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</si>
  <si>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</si>
  <si>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</si>
  <si>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</si>
  <si>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</si>
  <si>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</si>
  <si>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</si>
  <si>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</si>
  <si>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</si>
  <si>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17. melléklet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</si>
  <si>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</si>
  <si>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</si>
  <si>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</si>
  <si>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</si>
  <si>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Országos népszavazás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</si>
  <si>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</si>
  <si>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</si>
  <si>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</si>
  <si>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</si>
  <si>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</si>
  <si>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</si>
  <si>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</si>
  <si>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</si>
  <si>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19. melléklet</t>
  </si>
  <si>
    <t>083050-1 Televízió-műsor szolg. és tám.</t>
  </si>
  <si>
    <t>064010-1 Közvilágítás</t>
  </si>
  <si>
    <t>XII.</t>
  </si>
  <si>
    <t>Tervezett tartalék</t>
  </si>
  <si>
    <t>Államháztartáson belüli megelőlegezés visszafiz</t>
  </si>
  <si>
    <t>XIII.</t>
  </si>
  <si>
    <t>XV.</t>
  </si>
  <si>
    <t>20. melléklet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</si>
  <si>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</si>
  <si>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</si>
  <si>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</si>
  <si>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</si>
  <si>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</si>
  <si>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</si>
  <si>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utak, hidak üzemeltetése</t>
  </si>
  <si>
    <t>köztemető fenntartás</t>
  </si>
  <si>
    <t>Állategészségügyi tevékenység</t>
  </si>
  <si>
    <t>Zöldterületek kezelése, fenntartása</t>
  </si>
  <si>
    <t>közfoglalkoztatás</t>
  </si>
  <si>
    <t>Adó,vám és jővedéki igazgatás</t>
  </si>
  <si>
    <t>óvodai intézményi étkeztetés</t>
  </si>
  <si>
    <t>étkeztetés bölcsődében</t>
  </si>
  <si>
    <t>bölcsődei ellátás</t>
  </si>
  <si>
    <t xml:space="preserve">           rendezvények, közösségi programok szervezése</t>
  </si>
  <si>
    <t>Top-2.1.2. Zöld város kialakítása</t>
  </si>
  <si>
    <t>TOP-5.2.1-15 A társadalmi együttműködés erősítését szolgáló helyi szintű komplex programok</t>
  </si>
  <si>
    <t>ÖSSZESEN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</si>
  <si>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</si>
  <si>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</si>
  <si>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</si>
  <si>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</si>
  <si>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</si>
  <si>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</si>
  <si>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</si>
  <si>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</si>
  <si>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</si>
  <si>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</si>
  <si>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</si>
  <si>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</si>
  <si>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</si>
  <si>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</si>
  <si>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</si>
  <si>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</si>
  <si>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</si>
  <si>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</si>
  <si>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</si>
  <si>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</si>
  <si>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</si>
  <si>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</si>
  <si>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</si>
  <si>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</si>
  <si>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</si>
  <si>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</si>
  <si>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</si>
  <si>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</si>
  <si>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</si>
  <si>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</si>
  <si>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</si>
  <si>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</si>
  <si>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</si>
  <si>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</si>
  <si>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</si>
  <si>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</si>
  <si>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</si>
  <si>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</si>
  <si>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</si>
  <si>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</si>
  <si>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</si>
  <si>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</si>
  <si>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</si>
  <si>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</si>
  <si>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</si>
  <si>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</si>
  <si>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</si>
  <si>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</si>
  <si>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</si>
  <si>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</si>
  <si>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</si>
  <si>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</si>
  <si>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</si>
  <si>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</si>
  <si>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</si>
  <si>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</si>
  <si>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</si>
  <si>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</si>
  <si>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</si>
  <si>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</si>
  <si>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</si>
  <si>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</si>
  <si>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</si>
  <si>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</si>
  <si>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</si>
  <si>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</si>
  <si>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</si>
  <si>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</si>
  <si>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</si>
  <si>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</si>
  <si>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</si>
  <si>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>Támogatási célú finanszírozási műveletek</t>
  </si>
  <si>
    <t>87.</t>
  </si>
  <si>
    <t>88.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</si>
  <si>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</si>
  <si>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</si>
  <si>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</si>
  <si>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</si>
  <si>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</si>
  <si>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</si>
  <si>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</si>
  <si>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</si>
  <si>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</si>
  <si>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</si>
  <si>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</si>
  <si>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</si>
  <si>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</si>
  <si>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</si>
  <si>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</si>
  <si>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</si>
  <si>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</si>
  <si>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</si>
  <si>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ebből rendezvényekre</t>
  </si>
  <si>
    <t>Intézmény üzemeltetés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</si>
  <si>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</si>
  <si>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</si>
  <si>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</si>
  <si>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</si>
  <si>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</si>
  <si>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 xml:space="preserve">VI. </t>
  </si>
  <si>
    <t>Hitel, kölcsön felvétel pénzügyi vállakozástól</t>
  </si>
  <si>
    <t xml:space="preserve">          Támogatásértékű kiadás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</si>
  <si>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</si>
  <si>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</si>
  <si>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</si>
  <si>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</si>
  <si>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</si>
  <si>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</si>
  <si>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</si>
  <si>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</si>
  <si>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</si>
  <si>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</si>
  <si>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</si>
  <si>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</si>
  <si>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</si>
  <si>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</si>
  <si>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</si>
  <si>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</si>
  <si>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</si>
  <si>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</si>
  <si>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</si>
  <si>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</si>
  <si>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</si>
  <si>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</si>
  <si>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</si>
  <si>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</si>
  <si>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</si>
  <si>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</si>
  <si>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</si>
  <si>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</si>
  <si>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</si>
  <si>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</si>
  <si>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Költségvetési Kiadások</t>
  </si>
  <si>
    <t xml:space="preserve">         Finanszírozási kiadás</t>
  </si>
  <si>
    <t>Ellátási díj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</si>
  <si>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</si>
  <si>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</si>
  <si>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</si>
  <si>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</si>
  <si>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</si>
  <si>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</si>
  <si>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</si>
  <si>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Tartalék felhalmozási</t>
  </si>
  <si>
    <t>Felhalmozási kölcsön törlesztés</t>
  </si>
  <si>
    <t>Költségvetési támogatás</t>
  </si>
  <si>
    <t xml:space="preserve">           nemzetiségi támogatás</t>
  </si>
  <si>
    <t>203.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</si>
  <si>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</si>
  <si>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</si>
  <si>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</si>
  <si>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</si>
  <si>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</si>
  <si>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</si>
  <si>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</si>
  <si>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</si>
  <si>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</si>
  <si>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Általános forgalmi adó visszatérítés</t>
  </si>
  <si>
    <t>Általános forgalmi adó visszatérülés</t>
  </si>
  <si>
    <t>Felhalmozási célú pénzeszköz átvétel</t>
  </si>
  <si>
    <t>Államit támogatásból felhalmozásra</t>
  </si>
  <si>
    <t>általános forgalmi adó visszatérülés</t>
  </si>
  <si>
    <t>Felhalmozási célú átvett pénzeszköz</t>
  </si>
  <si>
    <t>G</t>
  </si>
  <si>
    <t xml:space="preserve">        Egyéb mükődési bevételek</t>
  </si>
  <si>
    <t>Előirányzat megnevezése</t>
  </si>
  <si>
    <t>Kötelező feladatok</t>
  </si>
  <si>
    <t>Önként vállalt feladatok</t>
  </si>
  <si>
    <t>Államigazgatási feladatok</t>
  </si>
  <si>
    <t>ebből: helyi önkormányzatok és költségvetési szerveik (B16)</t>
  </si>
  <si>
    <t>Működési bevételek  (B4)</t>
  </si>
  <si>
    <t>Műkődési célú támogatások államháztartáson belülről (B1)</t>
  </si>
  <si>
    <t>Ellátási díjak (B405)</t>
  </si>
  <si>
    <t>Kiszámlázott általános forgalmi adó (B406)</t>
  </si>
  <si>
    <t>Kamatbevételek és más nyereségjellegű bevételek  (B408)</t>
  </si>
  <si>
    <t>Egyéb működési bevételek  (B411)</t>
  </si>
  <si>
    <t>Felhalmozási célú pénzeszköz átvétel (B7)</t>
  </si>
  <si>
    <t>Előző év költségvetési maradványának igénybevétele (B8131)</t>
  </si>
  <si>
    <t>Maradvány igénybevétele  (B813)</t>
  </si>
  <si>
    <t>Központi, irányító szervi támogatás (B816)</t>
  </si>
  <si>
    <t>Finanszírozási bevételek  (B8)</t>
  </si>
  <si>
    <t>20.1. melléklet</t>
  </si>
  <si>
    <t>Herendi Hétszínvilág Óvoda és Bölcsőde bevételei és kiadásai kötelező és önként vállalt feladat valamint államigazgatási feladatai szerinti bontásban</t>
  </si>
  <si>
    <t>Személyi juttatások  (K1)</t>
  </si>
  <si>
    <t>Munkaadókat terhelő járulékok és szociális hozzájárulási adó  (K2)</t>
  </si>
  <si>
    <t>Dologi kiadások (K3)</t>
  </si>
  <si>
    <t>Felhalmozási kiadások (K6)</t>
  </si>
  <si>
    <t xml:space="preserve">Költségvetési kiadások </t>
  </si>
  <si>
    <t>Szolgáltatások ellenértéke (B402)</t>
  </si>
  <si>
    <t>Egyéb működési bevételek (B411)</t>
  </si>
  <si>
    <t>20.2. melléklet</t>
  </si>
  <si>
    <t>Herendi Polgármesteri Hivatal bevételei és kiadásai kötelező és önként vállalt feladat valamint államigazgatási feladatai szerinti bontásban</t>
  </si>
  <si>
    <t>20.3. melléklet</t>
  </si>
  <si>
    <t>Közvetített szolgáltatások ellenértéke ) (B403)</t>
  </si>
  <si>
    <t>Herendi Városüzemeltetési Közszolgáltató Intézmény bevételei és kiadásai kötelező és önként vállalt feladat valamint államigazgatási feladatai szerinti bontásban</t>
  </si>
  <si>
    <t>20.4. melléklet</t>
  </si>
  <si>
    <t>Szolgáltatások ellenértéke  (B402)</t>
  </si>
  <si>
    <t>Tulajdonosi bevételek  (B404)</t>
  </si>
  <si>
    <t>Herend Város Önkormányzata bevételei és kiadásai kötelező és önként vállalt feladat valamint államigazgatási feladatai szerinti bontásban</t>
  </si>
  <si>
    <t>20.5. melléklet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</si>
  <si>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</si>
  <si>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</si>
  <si>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</si>
  <si>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</si>
  <si>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</si>
  <si>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</si>
  <si>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</si>
  <si>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  (B16)</t>
  </si>
  <si>
    <t>ebből: elkülönített állami pénzalapok (B16)</t>
  </si>
  <si>
    <t>Működési célú támogatások államháztartáson belülről  (B1)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</si>
  <si>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</si>
  <si>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</si>
  <si>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</si>
  <si>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</si>
  <si>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(B35)</t>
  </si>
  <si>
    <t>Egyéb közhatalmi bevételek  (B36)</t>
  </si>
  <si>
    <t>Közhatalmi bevételek  (B3)</t>
  </si>
  <si>
    <t>Közvetített szolgáltatások ellenértéke   (B403)</t>
  </si>
  <si>
    <t>Tulajdonosi bevételek (B404)</t>
  </si>
  <si>
    <t>Általános forgalmi adó visszatérítése (B407)</t>
  </si>
  <si>
    <t>Kamatbevételek és más nyereségjellegű bevételek (B408)</t>
  </si>
  <si>
    <t>Ingatlanok értékesítése) (B52)</t>
  </si>
  <si>
    <t>Egyéb tárgyi eszközök értékesítése (B53)</t>
  </si>
  <si>
    <t>Felhalmozási bevételek  (B5)</t>
  </si>
  <si>
    <t>Működési célú visszatérítendő támogatások, kölcsönök visszatérülése államháztartáson kívülről  (B64)</t>
  </si>
  <si>
    <t>ebből: háztartások (B64)</t>
  </si>
  <si>
    <t>Egyéb működési célú átvett pénzeszközök  (B65)</t>
  </si>
  <si>
    <t>ebből: háztartások (B65)</t>
  </si>
  <si>
    <t>Működési célú átvett pénzeszközök (B6)</t>
  </si>
  <si>
    <t>Egyéb felhalmozási célú átvett pénzeszközök  (B75)</t>
  </si>
  <si>
    <t>Felhalmozási célú átvett pénzeszközök  (B7)</t>
  </si>
  <si>
    <t>Államháztartáson belüli megelelőlegezés</t>
  </si>
  <si>
    <t>Felhalmozási kiadások (K6-K7)</t>
  </si>
  <si>
    <t>Ellátottak pénzbeli juttatásai (K4)</t>
  </si>
  <si>
    <t>Egyéb működési célú támogatások   (K5)</t>
  </si>
  <si>
    <t>Egyéb felhalmozási célú kiadások (K8)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</si>
  <si>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</si>
  <si>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</si>
  <si>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</si>
  <si>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</si>
  <si>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beruházás</t>
  </si>
  <si>
    <t>felújítás</t>
  </si>
  <si>
    <t>Általános tartalék</t>
  </si>
  <si>
    <t>TARTALÉKOK ÖSSZESEN</t>
  </si>
  <si>
    <t>H</t>
  </si>
  <si>
    <t xml:space="preserve">             kamatbevételek</t>
  </si>
  <si>
    <t xml:space="preserve">            egyéb működési bevételek</t>
  </si>
  <si>
    <t>I</t>
  </si>
  <si>
    <t>Működési célú támogatások</t>
  </si>
  <si>
    <t xml:space="preserve">            nyári diák munka</t>
  </si>
  <si>
    <t>Önkormányzatok működési támogatásai (B11)</t>
  </si>
  <si>
    <t>Egyéb működési célú támogatások bevételei államháztartáson belülről (B16)</t>
  </si>
  <si>
    <t xml:space="preserve">    elkülönített állami pénzalapok (közfoglalkoztatás)</t>
  </si>
  <si>
    <t xml:space="preserve">         fejezeti kezelési előirányzatok EU-s programokra</t>
  </si>
  <si>
    <t>Működési célú támogatások államháztartáson belülről (B1)</t>
  </si>
  <si>
    <t>Felhalmozási célú támogatások államháztartáson belülről (B2)</t>
  </si>
  <si>
    <t>Egyéb felhalmozási célú támogatások bevételei államháztartáson belülről</t>
  </si>
  <si>
    <t>Biztosító által kifizetett kártérítés</t>
  </si>
  <si>
    <t>Közhatalmi bevételek (B3)</t>
  </si>
  <si>
    <t>Működési bevételek (B4)</t>
  </si>
  <si>
    <t>Felhalmozási bevételek (B5)</t>
  </si>
  <si>
    <t xml:space="preserve">          egyéb tárgyi eszköz értékesítés</t>
  </si>
  <si>
    <t>ebből: működési célú visszatérítendő támogatások, kölcsönök visszatérülése államháztartáson kívülről</t>
  </si>
  <si>
    <t xml:space="preserve">          egyéb működési célú átvett pénzeszközök</t>
  </si>
  <si>
    <t>Felhalmozási célú pézeszközök (B7)</t>
  </si>
  <si>
    <t>Finanszírozási bevételek (B8)</t>
  </si>
  <si>
    <t>Biztosító által fizetett kártérítések</t>
  </si>
  <si>
    <t>Elvonás, befizetés</t>
  </si>
  <si>
    <t>Egyéb felhalmozási célú támogatások államháztartáson belülről</t>
  </si>
  <si>
    <t>elvonások, befizetéek</t>
  </si>
  <si>
    <t xml:space="preserve">10.melléklet </t>
  </si>
  <si>
    <t>Teljes munkaidőben foglalkoztatottak</t>
  </si>
  <si>
    <t>Részmunka -időben foglalkoztatottak</t>
  </si>
  <si>
    <t>Állományba nem tartozók</t>
  </si>
  <si>
    <t>Önkormányzati igazgatási tevékenység</t>
  </si>
  <si>
    <t>Herendi Városüzemeltetési Közsz.Int.</t>
  </si>
  <si>
    <t>Közcélú foglalkoztatás</t>
  </si>
  <si>
    <t>Mindösszesen</t>
  </si>
  <si>
    <t>12. melléklet</t>
  </si>
  <si>
    <t>TÁMOGATÁS ÖSSZESEN</t>
  </si>
  <si>
    <t>Jogcím száma</t>
  </si>
  <si>
    <t xml:space="preserve">Jogcím megnevezése       </t>
  </si>
  <si>
    <t>Mennyiségi egység</t>
  </si>
  <si>
    <t>Mutató</t>
  </si>
  <si>
    <t>Fajlagos összeg</t>
  </si>
  <si>
    <t>Összeg (Ft)</t>
  </si>
  <si>
    <t>I.1.a</t>
  </si>
  <si>
    <t>Önkormányzati hivatal működésének támogatása - elismert hivatali létszám alapján</t>
  </si>
  <si>
    <t>elismert hivatali létszám</t>
  </si>
  <si>
    <t>Önkormányzati hivatal működésének támogatása - beszámítás után</t>
  </si>
  <si>
    <t>forint</t>
  </si>
  <si>
    <t>I.1.b</t>
  </si>
  <si>
    <t xml:space="preserve"> Támogatás összesen </t>
  </si>
  <si>
    <t>I.1.ba</t>
  </si>
  <si>
    <t xml:space="preserve"> A zöldterület-gazdálkodással kapcsolatos feladatok ellátásának támogatása </t>
  </si>
  <si>
    <t>hektár</t>
  </si>
  <si>
    <t>I.1.bb</t>
  </si>
  <si>
    <t xml:space="preserve"> Közvilágítás fenntartásának támogatása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</si>
  <si>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</si>
  <si>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</si>
  <si>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</si>
  <si>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</si>
  <si>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</si>
  <si>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</si>
  <si>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>I.1.c</t>
  </si>
  <si>
    <t>Egyéb önkormányzati feladatok támogatása</t>
  </si>
  <si>
    <t>fő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</si>
  <si>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</si>
  <si>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</si>
  <si>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</si>
  <si>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</si>
  <si>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Lakott külterülettel kapcsolatos feladatok támogatása - beszámítás után</t>
  </si>
  <si>
    <t>A települési önkormányzatok működésének támogatása beszámítás és kiegészítés után</t>
  </si>
  <si>
    <t>Beszámítás</t>
  </si>
  <si>
    <t xml:space="preserve">I. </t>
  </si>
  <si>
    <t>A helyi önkormányzatok működésének általános támogatása összesen</t>
  </si>
  <si>
    <t xml:space="preserve"> pedagógus szakképzettséggel nem rendelkező, óvodapedagógusok nevelő munkáját közvetlenül segítők száma a Köznev. tv. 2. melléklete szerint </t>
  </si>
  <si>
    <t>II.2. Óvodaműködtetési támogatás</t>
  </si>
  <si>
    <t xml:space="preserve">II. </t>
  </si>
  <si>
    <t>A települési önkormányzatok egyes köznevelési feladatainak támogatása</t>
  </si>
  <si>
    <t>A települési önkormányzatok szociális feladatainak egyéb támogatása</t>
  </si>
  <si>
    <t>III.3. Egyes szociális és gyermekjóléti feladatok támogatása</t>
  </si>
  <si>
    <t xml:space="preserve"> Család- és gyermekjóléti szolgálat </t>
  </si>
  <si>
    <t>számított létszám</t>
  </si>
  <si>
    <t>III.5. Gyermekétkeztetés támogatása</t>
  </si>
  <si>
    <t xml:space="preserve"> Gyermekétkeztetés üzemeltetési támogatása </t>
  </si>
  <si>
    <t>A települési önkormányzatok szociális, gyermekjóléti és gyermekétkeztetési feladatainak támogatása</t>
  </si>
  <si>
    <t>Ft</t>
  </si>
  <si>
    <t xml:space="preserve">Könyvtári, közművelődési és múzeumi feladatok támogatása
 Települési önkormányzatok nyilvános könyvtári és a közművelődési feladatainak támogatása </t>
  </si>
  <si>
    <t>A települési önkormányzatok kulturális feladatainak támogatása</t>
  </si>
  <si>
    <t>13.2 melléklet</t>
  </si>
  <si>
    <t>Hitelező pénzintézet</t>
  </si>
  <si>
    <t>Hitel típusa</t>
  </si>
  <si>
    <t>Hitelállomány Tárgyév</t>
  </si>
  <si>
    <t>Lejárat</t>
  </si>
  <si>
    <t>Tárgyév</t>
  </si>
  <si>
    <t>J</t>
  </si>
  <si>
    <t>K</t>
  </si>
  <si>
    <t>L</t>
  </si>
  <si>
    <t>M</t>
  </si>
  <si>
    <t>N</t>
  </si>
  <si>
    <t>Saját bevételek</t>
  </si>
  <si>
    <t>Tárgy év</t>
  </si>
  <si>
    <t>Osztalék,koncessziós díjak</t>
  </si>
  <si>
    <t>Díjak,pótlékok, bírságok</t>
  </si>
  <si>
    <t>Tárgyi eszközök, immateriális javak, vagyoni értékű jog értékesítése, vagyonhasznosításból származó bevétel</t>
  </si>
  <si>
    <t>Részvények részesedések értékesítése</t>
  </si>
  <si>
    <t>Vállalatértékesítésből, privatizációból származó bevételek</t>
  </si>
  <si>
    <t>Kezesség-,illetve garanciavállalással kapcsolatos megtérülés</t>
  </si>
  <si>
    <t>Saját bevételek (01+.....+07)</t>
  </si>
  <si>
    <t>Saját bevételek (08.sor) 50%-a</t>
  </si>
  <si>
    <t>Herendi Polgármesteri Hivatal összesen</t>
  </si>
  <si>
    <t>II.4.a (1)</t>
  </si>
  <si>
    <t>finanszírozás szempontjából elismert dolgozók bértámogatása</t>
  </si>
  <si>
    <t>Bölcsődei üzemeltetési támogatás</t>
  </si>
  <si>
    <t xml:space="preserve">TOP-5.2.1-15 A társadalmi együttműködés erősítését szolgáló helyi szintű komplex programok </t>
  </si>
  <si>
    <t>Top-2.1.2. Zöld város kialakítása önerő</t>
  </si>
  <si>
    <t>TOP-4.3.1-15 Leromlott területek rehabilitációja önerő</t>
  </si>
  <si>
    <t>TOP-5.2.1-15 A társadalmi együttműködés erősítését szolgáló helyi szintű komplex programok önerő</t>
  </si>
  <si>
    <t>TOP-3.1.1-15 Városrészeket összekötő kerékpárút</t>
  </si>
  <si>
    <t>Herendi Városüzemeltetési Közszolg.Int.</t>
  </si>
  <si>
    <t>Herend Város Önkormányzata</t>
  </si>
  <si>
    <t xml:space="preserve">      egyéb működési bevételek</t>
  </si>
  <si>
    <t>Működési célú pénzeszköz átvétel</t>
  </si>
  <si>
    <t>felhalmozási célú finnaszírózási kiadás</t>
  </si>
  <si>
    <t>Bérleti díj</t>
  </si>
  <si>
    <t xml:space="preserve">6.melléklet </t>
  </si>
  <si>
    <t>7.melléklet</t>
  </si>
  <si>
    <t>II.5. Nemzetiségi pótlék</t>
  </si>
  <si>
    <t>II-5.(1)</t>
  </si>
  <si>
    <t>Óvodai napi nyitvatartási ideje eléri a nyolc órát</t>
  </si>
  <si>
    <t>III.6. Bölcsőde, mini bölcsőde támogatása</t>
  </si>
  <si>
    <t>Szabadidősport tevékenység és támogatása</t>
  </si>
  <si>
    <t xml:space="preserve">     általános forgalmi adó visszatérülés</t>
  </si>
  <si>
    <t xml:space="preserve">                         karbantartás</t>
  </si>
  <si>
    <t>22. melléklet</t>
  </si>
  <si>
    <t>KIMUTATÁS</t>
  </si>
  <si>
    <t>az Európai Uniós forrásból finanszírozott támogatással megvalósuló programok, projektek kiadásai és bevételei az Ávr. 24. § (1) bekezdés a)és bd) pontjainak megfelelően</t>
  </si>
  <si>
    <t xml:space="preserve">A projekt neve: </t>
  </si>
  <si>
    <t>TOP-3.1.1-15-VE-2016-00004 Városrészeket összekötő kerékpárút Herenden</t>
  </si>
  <si>
    <t>Források összesen: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</si>
  <si>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</si>
  <si>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</si>
  <si>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</si>
  <si>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</si>
  <si>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</si>
  <si>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</si>
  <si>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</si>
  <si>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</si>
  <si>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</si>
  <si>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</si>
  <si>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</si>
  <si>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Hozzájárulás  ( Ft)</t>
  </si>
  <si>
    <t>TOP-2.1.2-15-VE1-2016-0002  Herend Zöld várossá fejlesztése</t>
  </si>
  <si>
    <t>Céltartalék</t>
  </si>
  <si>
    <t>Hozzájárulás  (E Ft)</t>
  </si>
  <si>
    <t>TOP-5.2.1-15-VE1-2016-00005 A társadalmi együttműködést erősítését szolgáló helyi szintű komplex programok</t>
  </si>
  <si>
    <t>ebből: ingatlan értékesítés ( telkek)</t>
  </si>
  <si>
    <t>Szennyvíz gyűjtése</t>
  </si>
  <si>
    <t>Iskola eü. Egyéb egészségügyi ellátás</t>
  </si>
  <si>
    <t>Egyéb kiegészítő szolgáltatások</t>
  </si>
  <si>
    <t>társadalombiztosítás alapjai</t>
  </si>
  <si>
    <t>Egyéb szociális pénzbeli és természetbeni ellátások</t>
  </si>
  <si>
    <t>Bursa Hungarica támogatás</t>
  </si>
  <si>
    <t>XVI.</t>
  </si>
  <si>
    <t>Sportlétesítmények működtetése</t>
  </si>
  <si>
    <t>Ebből: dologi kiadások</t>
  </si>
  <si>
    <t>XVIII.</t>
  </si>
  <si>
    <t>Iskolai, diáksport tevékenység és támogatása</t>
  </si>
  <si>
    <t xml:space="preserve">             működési célú pénzeszköz átadás</t>
  </si>
  <si>
    <t>XIX.</t>
  </si>
  <si>
    <t>Ebből: Dologi kiadások</t>
  </si>
  <si>
    <t>XVII.</t>
  </si>
  <si>
    <t xml:space="preserve">         ebből: munkaruha</t>
  </si>
  <si>
    <t xml:space="preserve">    ebből: munkaruha</t>
  </si>
  <si>
    <t xml:space="preserve">Családsegítés </t>
  </si>
  <si>
    <t>egyéb felhalmozási  kiadások</t>
  </si>
  <si>
    <t>Top-2.1.2. Zöld város kialakítása (beruházáis költségek)</t>
  </si>
  <si>
    <t>KÖFOP-1.2.1-VEKOP-16-2016-00028 ASP projekt fel nem használt összege</t>
  </si>
  <si>
    <t>Kubinyi Ágoston Program a múzeumok szakmai támogatása állandó kiállítás teljes körű felújítása és korszerűsítése pályázat (5 év)</t>
  </si>
  <si>
    <t>VP6-19.2.1-1-815-17 Bakonyi rendezvények, képzések, hálozati tevékenységek önerő</t>
  </si>
  <si>
    <t>VP6-19.2.1.-1-813-17 Települések megújítása pályázat önerő</t>
  </si>
  <si>
    <t>Polgárőrség támogatása</t>
  </si>
  <si>
    <t>Biztosító által fizetett kártérítés</t>
  </si>
  <si>
    <t>Herendi Hétszínvilág Óvoda és Bölcsöde</t>
  </si>
  <si>
    <t>148.</t>
  </si>
  <si>
    <t>149.</t>
  </si>
  <si>
    <t>204.</t>
  </si>
  <si>
    <t>205.</t>
  </si>
  <si>
    <t>206.</t>
  </si>
  <si>
    <t>207.</t>
  </si>
  <si>
    <t>208.</t>
  </si>
  <si>
    <t>209.</t>
  </si>
  <si>
    <t>210.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</si>
  <si>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</si>
  <si>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</si>
  <si>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</si>
  <si>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</si>
  <si>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</si>
  <si>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</si>
  <si>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</si>
  <si>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</si>
  <si>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</si>
  <si>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</si>
  <si>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223.</t>
  </si>
  <si>
    <t>222.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</si>
  <si>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</si>
  <si>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</si>
  <si>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</si>
  <si>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</si>
  <si>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</si>
  <si>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</si>
  <si>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</si>
  <si>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</si>
  <si>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</si>
  <si>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</si>
  <si>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</si>
  <si>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</si>
  <si>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</si>
  <si>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</si>
  <si>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</si>
  <si>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</si>
  <si>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</si>
  <si>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</si>
  <si>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</si>
  <si>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224.</t>
  </si>
  <si>
    <t>225.</t>
  </si>
  <si>
    <t>TOP-3.1.1-15 Városrészeket összekötő kerékpárút önerő</t>
  </si>
  <si>
    <t>Helyi Önkormányzatok előző évi elszámolásból száramzó kiadásai</t>
  </si>
  <si>
    <t>Helyi önkormányzatok előző évi elszámolásból száramzó kiadásai</t>
  </si>
  <si>
    <t>Pesovár Ernő Művelődési Ház  kiadások összesen</t>
  </si>
  <si>
    <t xml:space="preserve">          Közvetített szolgáltatások</t>
  </si>
  <si>
    <t xml:space="preserve">Pesovár Ernő Művelődési Ház </t>
  </si>
  <si>
    <t>Herendi Porcelánművészeti Alapítvány</t>
  </si>
  <si>
    <t xml:space="preserve">Herendi Porcelánművészeti Alapítvány  </t>
  </si>
  <si>
    <t>Pesovár Ernő Művelődési ház bevétele összesen</t>
  </si>
  <si>
    <t xml:space="preserve">                      Herendi Porcelánművészeti Alapítvány</t>
  </si>
  <si>
    <t>Pesovár Ernő Művelődési Ház</t>
  </si>
  <si>
    <t>245.</t>
  </si>
  <si>
    <t>Mükődési célú pénzeszköz átvétel államháztartáson kivülről</t>
  </si>
  <si>
    <t>Pesovár Ernő Művelődési Ház bevételei és kiadásai kötelező és önként vállalt feladat valamint államigazgatási feladatai szerinti bontásban</t>
  </si>
  <si>
    <t>Közvetitett szolgáltatások</t>
  </si>
  <si>
    <t>EP választás</t>
  </si>
  <si>
    <t xml:space="preserve">         Herend, Pipacs u 22 sz. lakás értékesítése</t>
  </si>
  <si>
    <t>ellátási díjak</t>
  </si>
  <si>
    <t>biztosító által fizetett kártérítések</t>
  </si>
  <si>
    <t>211.</t>
  </si>
  <si>
    <t>246.</t>
  </si>
  <si>
    <t>247.</t>
  </si>
  <si>
    <t>248.</t>
  </si>
  <si>
    <t>249.</t>
  </si>
  <si>
    <t>Egyéb működési célú támogatások áhn belülről</t>
  </si>
  <si>
    <t>Európai parlemneti képviselő választás</t>
  </si>
  <si>
    <t>Önkormányzati választás</t>
  </si>
  <si>
    <t>Önk. Választás</t>
  </si>
  <si>
    <t>Műkődési célú támogatások (EP választás, önk választás))</t>
  </si>
  <si>
    <t>TOP-3.1.1.-16-VE1-2017-00010 Herend és Szentgál közötti kerékpárút létesítése</t>
  </si>
  <si>
    <t xml:space="preserve">VP6-7.2.1.-7.4.1.2.-16 Külterületi helyi közutak fejlesztése, önkormányzati utak kezeléséhez, állapotjavításához </t>
  </si>
  <si>
    <t xml:space="preserve">TOP-4.3.1-15 Leromlott területek rehabilitációja </t>
  </si>
  <si>
    <t>Társaság a Kultúra és Filművészet támogatására</t>
  </si>
  <si>
    <t>Herendi Római Katolikus Plébánia</t>
  </si>
  <si>
    <t>Trappancs Szervátültetett Sportegyesület</t>
  </si>
  <si>
    <t>Herendi Porcelán Sportkör</t>
  </si>
  <si>
    <t>Herendi modellező SE</t>
  </si>
  <si>
    <t>Herendi Teakwondosok Baráti Köre</t>
  </si>
  <si>
    <t>Herend Városi Teke klub</t>
  </si>
  <si>
    <t>Hajagi Természetvédő és Szabadidős Egyesület</t>
  </si>
  <si>
    <t>Kenguru Torna Club Sportegyesület</t>
  </si>
  <si>
    <t>Herendi Horgászegyesület</t>
  </si>
  <si>
    <t>Országos Mentőszolgálat Alapítvány</t>
  </si>
  <si>
    <t>Fagyöngy Emlőbetegek. Gyógyultak és Támogatók Önsegítő Egyesülete</t>
  </si>
  <si>
    <t>Nononprofit szervek támogatása</t>
  </si>
  <si>
    <t>XX.</t>
  </si>
  <si>
    <t>XXI.</t>
  </si>
  <si>
    <t>Egyéb műkődési bevételek</t>
  </si>
  <si>
    <t>Egyéb működési célú ámogatások áhn belülről</t>
  </si>
  <si>
    <t xml:space="preserve">         Felhalmozási kiadások</t>
  </si>
  <si>
    <t>Önkormányzati  választás</t>
  </si>
  <si>
    <t>250.</t>
  </si>
  <si>
    <t>251.</t>
  </si>
  <si>
    <t>252.</t>
  </si>
  <si>
    <t>253.</t>
  </si>
  <si>
    <t>254.</t>
  </si>
  <si>
    <t>TOP-3.1.1.-16-VE1-2017-00010 Herend -Szentgál kerékpátút</t>
  </si>
  <si>
    <t>Közfoglalkoztatás hosszabb idótartamú</t>
  </si>
  <si>
    <t>Közfoglalkoztatás hosszabb időtartamú</t>
  </si>
  <si>
    <t xml:space="preserve">        felhalmozási kiadások</t>
  </si>
  <si>
    <t>255.</t>
  </si>
  <si>
    <t>256.</t>
  </si>
  <si>
    <t>VP6-19-2-1-1-813-17 Bakonyi települések megújítása</t>
  </si>
  <si>
    <t>TOP-4.3.1-15-VE1-2016-00002 Herend, Bányatelep leromlott városi területek infrastrukturális rehabilitációja</t>
  </si>
  <si>
    <t>Segítő szívvel jó szándékkal Közhasznú Alapítvány</t>
  </si>
  <si>
    <t>adatok Ft-ban</t>
  </si>
  <si>
    <t>2019. MÓD V.</t>
  </si>
  <si>
    <t>2020. évi előirányzat</t>
  </si>
  <si>
    <t>Pesovár Ernő Művelődési Ház 2020. évi költségvetése</t>
  </si>
  <si>
    <t>2021 utáni</t>
  </si>
  <si>
    <t>Önkormányzaton kívüli EU-s projektekhez történő hozzájárulás 2020. évi előirányzat</t>
  </si>
  <si>
    <t>Beruházási tartalék</t>
  </si>
  <si>
    <t>Kötelező , önként vállalt és állami (államigazgatási) feladatainak kiadásai 2020. évre</t>
  </si>
  <si>
    <t>Herend Város Önkormányzat 2020. évi  költségvetése</t>
  </si>
  <si>
    <t>Herendi Polgármesteri Hivatal  2020. évi költségvetése</t>
  </si>
  <si>
    <t>2019MÓD V.</t>
  </si>
  <si>
    <t>Nyomtató beszerzése</t>
  </si>
  <si>
    <t>Laptop beszerzés</t>
  </si>
  <si>
    <t>Irodai székek</t>
  </si>
  <si>
    <t>Herendi Polgármesteri Hivatal 2020. évi beruházási kiadásai</t>
  </si>
  <si>
    <t xml:space="preserve">Herendi Városüzemeltetési Közszolgáltató Intézmény 2020. évi beruházási kiadásai </t>
  </si>
  <si>
    <t>Herendi Hétszínvilág Óvoda és Bölcsőde 2020. évi beruházási kiadásai</t>
  </si>
  <si>
    <t>Pesovár Ernő Művelődési Ház 2020. évi beruházási kiadásai</t>
  </si>
  <si>
    <t>Kombinált hűtőszekrény</t>
  </si>
  <si>
    <t>Televizió</t>
  </si>
  <si>
    <t>Nyomtató A3-as</t>
  </si>
  <si>
    <t>Asztali lámpa 2 db</t>
  </si>
  <si>
    <t>Szerszámok</t>
  </si>
  <si>
    <t>Egyéb eszköz bezserzése</t>
  </si>
  <si>
    <t>Egyéb irodai eszköz beszerzése</t>
  </si>
  <si>
    <t>Herend Város Önkormányzata 2020. évi beruházási kiadásai</t>
  </si>
  <si>
    <t>Herend Város Önkormányzat 2020.évi felhalmozási kiadások előirányzata feladatonként</t>
  </si>
  <si>
    <t>Herendi Városüzemeltetési Közszolgáltató Intézmény 2020. évi költségvetése</t>
  </si>
  <si>
    <t>2020. évi költségvetés</t>
  </si>
  <si>
    <t>Herendi Hétszínvilág Óvoda és Bölcsőde 2020. évi  költségvetése</t>
  </si>
  <si>
    <t xml:space="preserve">         Járulékok</t>
  </si>
  <si>
    <t xml:space="preserve">         Dologi kiadás</t>
  </si>
  <si>
    <t xml:space="preserve">                ebből munkaruha</t>
  </si>
  <si>
    <t>Laptop és hangszór Bölcsődébe</t>
  </si>
  <si>
    <t>Porszívó</t>
  </si>
  <si>
    <t>Mósógép</t>
  </si>
  <si>
    <t>Új gázfogadóhoz útépítés</t>
  </si>
  <si>
    <t>Képviselői laptop beszerzés</t>
  </si>
  <si>
    <t>Városüzemeltetési Közszolgáltató Intézmény telephelyén kémény felújítása</t>
  </si>
  <si>
    <t>Herend Város Önkormányzat 2020. évi létszámkerete költségvetési szervenként  és a közfoglalkoztatottak száma (fő)</t>
  </si>
  <si>
    <t>2020-2023 évre tervezett bevételei és kiadásai</t>
  </si>
  <si>
    <t>Herend Város Önkormányzat 2020. évi költségvetési támogatása</t>
  </si>
  <si>
    <t>I.1.a - I.1.f</t>
  </si>
  <si>
    <t>I.1.b-I.1.f</t>
  </si>
  <si>
    <t>Támogatás összesen-beszámítás után</t>
  </si>
  <si>
    <t>I.1.ba-I.1.-f</t>
  </si>
  <si>
    <t>A zöldterület-gazdálkodással kapcsolatos feladatok ellátásnak támogatása-beszámítás után</t>
  </si>
  <si>
    <t>I.1.bb.-I.1.f</t>
  </si>
  <si>
    <t>Közvilágítás fenntartásának támogatása-beszámítás után</t>
  </si>
  <si>
    <t>I.1.bc-I.1.f</t>
  </si>
  <si>
    <t>I.1.bd-I.1.f</t>
  </si>
  <si>
    <t>Köztemető fentartássak kapcsolatos feladatok támogatása-beszámítás után</t>
  </si>
  <si>
    <t>Közutak fenntartásának támogatása-beszámítás után</t>
  </si>
  <si>
    <t>I.1.c - I.1.f</t>
  </si>
  <si>
    <t>I.1.d - I.1.f</t>
  </si>
  <si>
    <t>I.1.f beszámítás</t>
  </si>
  <si>
    <t>I.1.-I.1.F</t>
  </si>
  <si>
    <t>Óvoda napi nyitvatartási ideje eléri a nyolc órát</t>
  </si>
  <si>
    <t xml:space="preserve">II.1. (1) </t>
  </si>
  <si>
    <t xml:space="preserve">Pedagógusok elismert létszáma </t>
  </si>
  <si>
    <t xml:space="preserve">II.1. (2) </t>
  </si>
  <si>
    <t>Óvoda napi nyitvatartási ideje elési a nyolc órát</t>
  </si>
  <si>
    <t>II.2. (1)</t>
  </si>
  <si>
    <t>II.4. Kiegészítő támogatás a pedagógusok ás a pedagógus szakképzettséggel rendelkező segítők minősítéséből adódó többletkiadáshoz</t>
  </si>
  <si>
    <t xml:space="preserve"> alapfokozatú végzettségű pedagógus II. kategóriába sorolt óvodapedagógusok kiegészítő támogatása - akik a minősítést 2019. január 1-jei átsorolással szerezték meg.</t>
  </si>
  <si>
    <t>III.1</t>
  </si>
  <si>
    <t>III.2.a</t>
  </si>
  <si>
    <t xml:space="preserve">III.3.a. (1) </t>
  </si>
  <si>
    <t>A finanszírozás szempontjából elismert szakmai dolgozók bértámogatása: felsőfokú végzettségű kisgyermeknevelők, szaktanácsadók</t>
  </si>
  <si>
    <t>III.3.a (2)</t>
  </si>
  <si>
    <t xml:space="preserve"> A finanszírozás szempontjából elismerszakmai t dolgozók bértámogatása : bölcsődei dajkák, középfokú végzettségű kisgyermeknevelők, szaktanácsadók</t>
  </si>
  <si>
    <t>II.3.b</t>
  </si>
  <si>
    <t>III.5.aa.</t>
  </si>
  <si>
    <t>III.5.ab</t>
  </si>
  <si>
    <t>IV.b.</t>
  </si>
  <si>
    <t>Herend Város Önkormányzat 2020. évi működési és felhalmozási mérlege</t>
  </si>
  <si>
    <t>Herend Város Önkormányzat 2020. évi bevételi előirányzatai forrásonként</t>
  </si>
  <si>
    <t>önkormányzati igazgatási tevékenység</t>
  </si>
  <si>
    <t>Herend Város Önkormányzat és költségvetési szervei 2020. évi működési és felhalmozási  kiadási előirányzatai  kormányzati funkciónként</t>
  </si>
  <si>
    <t>2020. Engedélyezett létszám</t>
  </si>
  <si>
    <t>Herend Város Önkormányzat  2020.évi közvetett támogatások</t>
  </si>
  <si>
    <t xml:space="preserve">Herend Város Önkormányzat 2020. évi pénzeszköz átadásainak és egyéb támogatásainak előirányzata </t>
  </si>
  <si>
    <t>2020. évi működési és felhalmozási bevételek mérlegszerűen</t>
  </si>
  <si>
    <t>2020. évi előirányzat felhasználási ütemterv</t>
  </si>
  <si>
    <t>magyar Falu Program Temető fejlesztése MFP-FFT/2019</t>
  </si>
  <si>
    <t xml:space="preserve">              </t>
  </si>
  <si>
    <t>Családsegítés</t>
  </si>
  <si>
    <t>MÓD I.</t>
  </si>
  <si>
    <t xml:space="preserve">MÓD I. </t>
  </si>
  <si>
    <t>Módosított összeg (Ft)</t>
  </si>
  <si>
    <t xml:space="preserve">TOP-2.1.2-15-VE1-2016-00002 Zöld város kivitelezési munka </t>
  </si>
  <si>
    <t>TOP-1.4.1-19-VE1-2019-00008 Bölcsődei férőhely bővítés</t>
  </si>
  <si>
    <t>Monitor</t>
  </si>
  <si>
    <t>550 l-es állatu hulladékgyűjtő</t>
  </si>
  <si>
    <t>Rozmaring étterem konyhai eszközök beszerzése</t>
  </si>
  <si>
    <t>Szivattyú beszerzése</t>
  </si>
  <si>
    <t>szeletelőgép</t>
  </si>
  <si>
    <t>lábtörlők</t>
  </si>
  <si>
    <t>Kártyaolvasó</t>
  </si>
  <si>
    <t>VP6-19.2.1-1-813-17 Bakonyi települések megújítása játszótéri eszközök</t>
  </si>
  <si>
    <t>Herendi Polgárőr Egyesület</t>
  </si>
  <si>
    <t>Szentgáli Református Egyházközség Lelkész Hivatala</t>
  </si>
  <si>
    <t>Ebből : Dologi kiadások</t>
  </si>
  <si>
    <t>Fertőző megbetegedések megelőzése, járványügyi ellátás (COVID-19)</t>
  </si>
  <si>
    <t>Fertőző megbetegedések megelőzésie, járványügyi ellátás</t>
  </si>
  <si>
    <t xml:space="preserve">         dologi kiadások</t>
  </si>
  <si>
    <t>Fetőző megbetegedések megelőzése, járványügyi ellátás</t>
  </si>
  <si>
    <t>Kamat bevételek</t>
  </si>
  <si>
    <t>MÓD II.</t>
  </si>
  <si>
    <t xml:space="preserve">MÓD II. </t>
  </si>
  <si>
    <t>TOP-3.1.1.-16-VE1-2017-00010 Herend és Szentgál közötti kerékpárút létesítése önerő</t>
  </si>
  <si>
    <t>TOP-4.3.1-15 Leromlott területek rehabilitációja</t>
  </si>
  <si>
    <t>VP6-19.2.1-1-813-17 Bakonyi települések megújítása nyomtató beszerzése</t>
  </si>
  <si>
    <t>Barlangász hátizsák (6db)</t>
  </si>
  <si>
    <t>Futópad beszerzése</t>
  </si>
  <si>
    <t>Futópad tartozék beszerzése</t>
  </si>
  <si>
    <t>Csavarbehajtó</t>
  </si>
  <si>
    <t>Makita orrfűrész</t>
  </si>
  <si>
    <t>Sarokcsiszoló</t>
  </si>
  <si>
    <t>TOP-5.2.1-15 Társadalmi együttműködést erősítő szolgáló helyi szintű komplex programok pályázat fűkasza vásárlása</t>
  </si>
  <si>
    <t>Könyvtár részére mágneses mobil flipchart tábla</t>
  </si>
  <si>
    <t>Sörpad garnitira beszerzése</t>
  </si>
  <si>
    <t>Pótkocsi beszerzése</t>
  </si>
  <si>
    <t>Futkerékpár 2 db</t>
  </si>
  <si>
    <t xml:space="preserve">Bursa Hungarica </t>
  </si>
  <si>
    <t>Civil szervek közvetett támogatása</t>
  </si>
  <si>
    <t xml:space="preserve">Általános Iskolás Gyermekeinkért Közalapítvány </t>
  </si>
  <si>
    <t>Civil szervezetek működési támogatása</t>
  </si>
  <si>
    <t>Nonprofit szervezetek támogatása</t>
  </si>
  <si>
    <t>Központi orvos ügyelet támogatása</t>
  </si>
  <si>
    <t>Veszprém Többcélú Kistérségi Társulás</t>
  </si>
  <si>
    <t xml:space="preserve">Családsegítő társulás </t>
  </si>
  <si>
    <t>XIV</t>
  </si>
  <si>
    <t>XV</t>
  </si>
  <si>
    <t>Temetőbe székelykapu</t>
  </si>
  <si>
    <t>Herendi Hétszínvilág Óvoda és Bölcsőde tető felújítása</t>
  </si>
  <si>
    <t>MFP-AEE/2020 orvos eszköz pályázat eszköz beszerzések</t>
  </si>
  <si>
    <t>MFP-KTF/2020 Közösségi tér átalakítása (Műv ház)</t>
  </si>
  <si>
    <t>Települési önkormányzatok szociális, gyermekjóléti  feladatainak támogatása</t>
  </si>
  <si>
    <t>Települési önkormányzatok  gyermekétkeztetési feladatainak támogatása</t>
  </si>
  <si>
    <t xml:space="preserve">          Szentgál község önkormányzat hj</t>
  </si>
  <si>
    <t xml:space="preserve">          felhalmozási célú önkormányzati támogatások vis maior</t>
  </si>
  <si>
    <t>ebből: TOP-1.4.-19-VE1-2019 bölcsődei férőhely bővítés</t>
  </si>
  <si>
    <t>MFP-AEE/2020 orvosi eszköz beszerzése</t>
  </si>
  <si>
    <t>MFP-KTF/2020 Közösségi tér átalakítása</t>
  </si>
  <si>
    <t>VP6-7.2.1- Külterületi helyi közútak</t>
  </si>
  <si>
    <t>510/8 hrsz értékesítése</t>
  </si>
  <si>
    <t>079/22/A/16 hrsz értékesítése</t>
  </si>
  <si>
    <t>194 hrsz értékesítése</t>
  </si>
  <si>
    <t>195 hrsz értékesítése</t>
  </si>
  <si>
    <t>795/30 hrsz értékesítése</t>
  </si>
  <si>
    <t>795/95 hrsz értékesítése</t>
  </si>
  <si>
    <t>795/53 étékesítése</t>
  </si>
  <si>
    <t>Helyi önkormányzatok előző évi elszámolása</t>
  </si>
  <si>
    <t>Helyi önkormányzatok előző évi elszámolásai</t>
  </si>
  <si>
    <t>Helyi önk előző évi visszafizetése</t>
  </si>
  <si>
    <t>Települési önkormányzatok gyermekétkeztetési feladatainak támogatása</t>
  </si>
  <si>
    <t>ebből: Szentgál Község önkormányzata hj</t>
  </si>
  <si>
    <t>Civil szervezetek működésének támogatása</t>
  </si>
  <si>
    <t>Helyi önkormányzato előző évi elszámolása</t>
  </si>
  <si>
    <t>Központi orvosi ügyelet támogatása</t>
  </si>
  <si>
    <t>Veszprémi Többcélú Kistérségi Társulás</t>
  </si>
  <si>
    <t>Herend Környéki Önkormányzatok Család és Gyermekjóléti szolgálatott Fenntartó Társulása</t>
  </si>
  <si>
    <t>XIV.</t>
  </si>
  <si>
    <t>IXX.</t>
  </si>
  <si>
    <t>Helyi Önkormányzatok előző évi elszámolása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</si>
  <si>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</si>
  <si>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</si>
  <si>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</si>
  <si>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</si>
  <si>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</si>
  <si>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</si>
  <si>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</si>
  <si>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</si>
  <si>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</si>
  <si>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</si>
  <si>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</si>
  <si>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Helyi önk előző évi elszámolásai</t>
  </si>
  <si>
    <t>Civil szervezetek működésénel támogatása</t>
  </si>
  <si>
    <t>Óvoda Pályaépítési program  önerő</t>
  </si>
  <si>
    <t>MÓD III.</t>
  </si>
  <si>
    <t xml:space="preserve">Közhatalmi bevételek </t>
  </si>
  <si>
    <t xml:space="preserve">MÓD III. </t>
  </si>
  <si>
    <t>INFORMIR gyermekmyilvántartsi, étk. Nyilvántartási program</t>
  </si>
  <si>
    <t>Érintésmentes hőmérő</t>
  </si>
  <si>
    <t>Kézi mixer</t>
  </si>
  <si>
    <t>Mobiltelefon készülék</t>
  </si>
  <si>
    <t>Szenzoros kézfertőtlenítők</t>
  </si>
  <si>
    <t>Egyéb közhatalmi bevételek (B36)</t>
  </si>
  <si>
    <t>Zöldterület kezelés</t>
  </si>
  <si>
    <t>Város, községgazdlkodási szolgáltatás</t>
  </si>
  <si>
    <t>Város és községgazdálkodási szolg</t>
  </si>
  <si>
    <t>IV:</t>
  </si>
  <si>
    <t>Egyéb felhalmozási kiadások</t>
  </si>
  <si>
    <t>TOP-2.1.3-16-VE1-2019-00025 Bel és csapadék-vízvédelmi létesítmények fejlesztése Herenden</t>
  </si>
  <si>
    <t>TOP-1.4.1-19-VE1-2019-0008 Bölcsődei férőhelybővítés Herenden</t>
  </si>
  <si>
    <t>VP6-7.2.1-7.4.1.2-16 Külterületi helyi közútak fejlesztsée</t>
  </si>
  <si>
    <t>MÓD IV.</t>
  </si>
  <si>
    <t xml:space="preserve">MÓD IV. </t>
  </si>
  <si>
    <t>MÓD IV</t>
  </si>
  <si>
    <t>Magyr Falu program MFP-TKK/2020 Építési telkek kialakítása, kőzművesítése</t>
  </si>
  <si>
    <t>Közművelődési intézmény</t>
  </si>
  <si>
    <t>Kimutatás a Magyarország gazdasági stabilitásáról szóló 2011. évi CXCIV. Törvény 8.§ (2) bekezdése szerinti ügyletekről és kezességvállalásokból fennálló kötelezettségekről és a 353/2011. (XII.30.) Kormányrendelet 2.§-a szerinti saját bevételekről</t>
  </si>
  <si>
    <t>Zöld Város in hause beszerzés keretében park kialakítás</t>
  </si>
  <si>
    <t>egyéb gép beszerzése</t>
  </si>
  <si>
    <t>MÓD IV..</t>
  </si>
  <si>
    <t>Herend  596 hrsz utca útfelújítása</t>
  </si>
  <si>
    <t>szőnyeg bölcsődébe</t>
  </si>
  <si>
    <t xml:space="preserve">Érintésmentes lázmérő </t>
  </si>
  <si>
    <t>CD rádió</t>
  </si>
  <si>
    <t xml:space="preserve">szőnyeg   </t>
  </si>
  <si>
    <t>fém gurulós állvány</t>
  </si>
  <si>
    <t>Vagyoni értékű jog szerzése (Műfűves pálya Óvoda )</t>
  </si>
  <si>
    <t>TOP-2.1.3-16-VE1-2019-00025 Bel és Csapadék vízvédelmi létesítményke fejlesztése</t>
  </si>
  <si>
    <t>Lenovo laptop beszerzése könyvtár részére</t>
  </si>
  <si>
    <t>pavilon sátor beszerzése</t>
  </si>
  <si>
    <t>Magyar Falu program temetőfejlesztés</t>
  </si>
  <si>
    <t xml:space="preserve">          Bakonyi telelpülések megújítása pályázat</t>
  </si>
  <si>
    <t xml:space="preserve">              Magyar Falu program építési telekek kialakítása</t>
  </si>
  <si>
    <t>795/6 hrsz értékesítés</t>
  </si>
  <si>
    <t>795/26 hrsz értékesítés</t>
  </si>
  <si>
    <t>Pipacs u 2 ingatlan értékesítés</t>
  </si>
  <si>
    <t>Pótkocsi értékesítés</t>
  </si>
  <si>
    <t>n</t>
  </si>
  <si>
    <t>2020. ÉVI TARTALÉK FELHALSZNÁLÁSA</t>
  </si>
  <si>
    <t>3/2020.(II.14.) önkormányzati rendelethez</t>
  </si>
  <si>
    <t>1/2021.(II.9.) önkormányzati rendelethez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</si>
  <si>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</si>
  <si>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</si>
  <si>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</si>
  <si>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</si>
  <si>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</si>
  <si>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</si>
  <si>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</si>
  <si>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</si>
  <si>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</si>
  <si>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</si>
  <si>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13. melléklet</t>
  </si>
  <si>
    <t>14. melléklet</t>
  </si>
  <si>
    <t>15. melléklet</t>
  </si>
  <si>
    <t>18.3. melléklet</t>
  </si>
  <si>
    <t>18.2. melléklet</t>
  </si>
  <si>
    <t>18.1. melléklet</t>
  </si>
  <si>
    <t>18.4. melléklet</t>
  </si>
  <si>
    <t>18.5. melléklet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</si>
</sst>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\ * #,##0.00&quot;     &quot;;\-* #,##0.00&quot;     &quot;;\ * \-#&quot;     &quot;;@\ "/>
    <numFmt numFmtId="175" formatCode="\ * #,##0&quot;     &quot;;\-* #,##0&quot;     &quot;;\ * \-#&quot;     &quot;;@\ "/>
    <numFmt numFmtId="176" formatCode="\ * #,##0.00&quot; Ft &quot;;\-* #,##0.00&quot; Ft &quot;;\ * \-#&quot; Ft &quot;;@\ "/>
    <numFmt numFmtId="177" formatCode="0.0"/>
    <numFmt numFmtId="178" formatCode="#,##0.0"/>
    <numFmt numFmtId="179" formatCode="\ * #,##0.0&quot;     &quot;;\-* #,##0.0&quot;     &quot;;\ * \-#&quot;     &quot;;@\ "/>
    <numFmt numFmtId="180" formatCode="[$-40E]yyyy\.\ mmmm\ d\."/>
    <numFmt numFmtId="181" formatCode="0.0%"/>
    <numFmt numFmtId="182" formatCode="[$-40E]yyyy\.\ mmmm\ d\.\,\ dddd"/>
    <numFmt numFmtId="183" formatCode="\ * #,##0.000&quot;     &quot;;\-* #,##0.000&quot;     &quot;;\ * \-#.0&quot;     &quot;;@\ "/>
    <numFmt numFmtId="184" formatCode="\ * #,##0.0000&quot;     &quot;;\-* #,##0.0000&quot;     &quot;;\ * \-#.00&quot;     &quot;;@\ "/>
  </numFmts>
  <fonts count="10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9"/>
      <color indexed="8"/>
      <name val="Arial"/>
      <family val="2"/>
    </font>
    <font>
      <i/>
      <sz val="12"/>
      <name val="Arial Black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i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Black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Black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2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0" fillId="0" borderId="9" applyNumberFormat="0" applyFill="0" applyAlignment="0" applyProtection="0"/>
    <xf numFmtId="176" fontId="0" fillId="0" borderId="0" applyFill="0" applyBorder="0" applyAlignment="0" applyProtection="0"/>
    <xf numFmtId="168" fontId="0" fillId="0" borderId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ill="0" applyBorder="0" applyAlignment="0" applyProtection="0"/>
  </cellStyleXfs>
  <cellXfs count="230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175" fontId="0" fillId="0" borderId="0" xfId="46" applyNumberFormat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75" fontId="8" fillId="0" borderId="12" xfId="46" applyNumberFormat="1" applyFont="1" applyBorder="1" applyAlignment="1">
      <alignment/>
    </xf>
    <xf numFmtId="175" fontId="8" fillId="36" borderId="12" xfId="46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center"/>
    </xf>
    <xf numFmtId="175" fontId="2" fillId="0" borderId="12" xfId="46" applyNumberFormat="1" applyFont="1" applyBorder="1" applyAlignment="1">
      <alignment/>
    </xf>
    <xf numFmtId="175" fontId="2" fillId="36" borderId="12" xfId="46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8" fillId="0" borderId="18" xfId="0" applyNumberFormat="1" applyFont="1" applyBorder="1" applyAlignment="1">
      <alignment/>
    </xf>
    <xf numFmtId="175" fontId="8" fillId="0" borderId="18" xfId="46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/>
    </xf>
    <xf numFmtId="175" fontId="0" fillId="0" borderId="12" xfId="46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5" fontId="0" fillId="36" borderId="12" xfId="46" applyNumberFormat="1" applyFont="1" applyFill="1" applyBorder="1" applyAlignment="1">
      <alignment/>
    </xf>
    <xf numFmtId="175" fontId="0" fillId="36" borderId="12" xfId="46" applyNumberFormat="1" applyFill="1" applyBorder="1" applyAlignment="1">
      <alignment/>
    </xf>
    <xf numFmtId="175" fontId="2" fillId="0" borderId="18" xfId="46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14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wrapText="1"/>
    </xf>
    <xf numFmtId="3" fontId="4" fillId="0" borderId="11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/>
    </xf>
    <xf numFmtId="175" fontId="13" fillId="36" borderId="12" xfId="46" applyNumberFormat="1" applyFont="1" applyFill="1" applyBorder="1" applyAlignment="1">
      <alignment/>
    </xf>
    <xf numFmtId="3" fontId="13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175" fontId="8" fillId="36" borderId="18" xfId="46" applyNumberFormat="1" applyFont="1" applyFill="1" applyBorder="1" applyAlignment="1">
      <alignment/>
    </xf>
    <xf numFmtId="0" fontId="0" fillId="0" borderId="14" xfId="0" applyBorder="1" applyAlignment="1">
      <alignment wrapText="1"/>
    </xf>
    <xf numFmtId="175" fontId="0" fillId="36" borderId="14" xfId="46" applyNumberFormat="1" applyFont="1" applyFill="1" applyBorder="1" applyAlignment="1">
      <alignment/>
    </xf>
    <xf numFmtId="3" fontId="2" fillId="0" borderId="22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175" fontId="1" fillId="33" borderId="0" xfId="46" applyNumberFormat="1" applyFont="1" applyFill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12" xfId="0" applyNumberFormat="1" applyBorder="1" applyAlignment="1">
      <alignment wrapText="1"/>
    </xf>
    <xf numFmtId="175" fontId="0" fillId="0" borderId="12" xfId="46" applyNumberFormat="1" applyFont="1" applyBorder="1" applyAlignment="1">
      <alignment/>
    </xf>
    <xf numFmtId="175" fontId="0" fillId="0" borderId="0" xfId="46" applyNumberForma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175" fontId="0" fillId="0" borderId="14" xfId="46" applyNumberFormat="1" applyBorder="1" applyAlignment="1">
      <alignment/>
    </xf>
    <xf numFmtId="175" fontId="0" fillId="0" borderId="14" xfId="46" applyNumberFormat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175" fontId="0" fillId="33" borderId="0" xfId="46" applyNumberFormat="1" applyFill="1" applyAlignment="1">
      <alignment/>
    </xf>
    <xf numFmtId="3" fontId="1" fillId="0" borderId="0" xfId="0" applyNumberFormat="1" applyFont="1" applyAlignment="1">
      <alignment horizontal="center"/>
    </xf>
    <xf numFmtId="175" fontId="0" fillId="0" borderId="0" xfId="46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2" fillId="0" borderId="24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18" xfId="0" applyNumberFormat="1" applyBorder="1" applyAlignment="1">
      <alignment/>
    </xf>
    <xf numFmtId="175" fontId="0" fillId="0" borderId="18" xfId="46" applyNumberFormat="1" applyBorder="1" applyAlignment="1">
      <alignment/>
    </xf>
    <xf numFmtId="3" fontId="0" fillId="0" borderId="0" xfId="0" applyNumberFormat="1" applyAlignment="1">
      <alignment vertical="center"/>
    </xf>
    <xf numFmtId="3" fontId="2" fillId="0" borderId="12" xfId="0" applyNumberFormat="1" applyFont="1" applyBorder="1" applyAlignment="1">
      <alignment wrapText="1"/>
    </xf>
    <xf numFmtId="177" fontId="2" fillId="0" borderId="12" xfId="0" applyNumberFormat="1" applyFon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5" fontId="2" fillId="0" borderId="12" xfId="46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36" borderId="12" xfId="0" applyNumberFormat="1" applyFill="1" applyBorder="1" applyAlignment="1">
      <alignment horizontal="center"/>
    </xf>
    <xf numFmtId="175" fontId="0" fillId="0" borderId="13" xfId="46" applyNumberFormat="1" applyBorder="1" applyAlignment="1">
      <alignment/>
    </xf>
    <xf numFmtId="3" fontId="0" fillId="36" borderId="12" xfId="0" applyNumberForma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5" fontId="3" fillId="0" borderId="12" xfId="46" applyNumberFormat="1" applyFont="1" applyBorder="1" applyAlignment="1">
      <alignment/>
    </xf>
    <xf numFmtId="175" fontId="3" fillId="0" borderId="0" xfId="46" applyNumberFormat="1" applyFont="1" applyAlignment="1">
      <alignment/>
    </xf>
    <xf numFmtId="175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175" fontId="0" fillId="0" borderId="0" xfId="46" applyNumberFormat="1" applyAlignment="1">
      <alignment horizontal="center" vertical="center"/>
    </xf>
    <xf numFmtId="0" fontId="0" fillId="36" borderId="0" xfId="0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75" fontId="2" fillId="0" borderId="13" xfId="46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2" fillId="37" borderId="24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36" borderId="14" xfId="0" applyNumberFormat="1" applyFill="1" applyBorder="1" applyAlignment="1">
      <alignment horizontal="center"/>
    </xf>
    <xf numFmtId="3" fontId="0" fillId="36" borderId="14" xfId="0" applyNumberFormat="1" applyFill="1" applyBorder="1" applyAlignment="1">
      <alignment/>
    </xf>
    <xf numFmtId="177" fontId="0" fillId="36" borderId="14" xfId="0" applyNumberFormat="1" applyFill="1" applyBorder="1" applyAlignment="1">
      <alignment/>
    </xf>
    <xf numFmtId="175" fontId="0" fillId="0" borderId="0" xfId="46" applyNumberFormat="1" applyAlignment="1">
      <alignment horizontal="right"/>
    </xf>
    <xf numFmtId="0" fontId="16" fillId="0" borderId="0" xfId="0" applyFont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 horizontal="right"/>
    </xf>
    <xf numFmtId="175" fontId="2" fillId="33" borderId="30" xfId="46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175" fontId="0" fillId="0" borderId="32" xfId="46" applyNumberFormat="1" applyBorder="1" applyAlignment="1">
      <alignment horizontal="center" vertical="center"/>
    </xf>
    <xf numFmtId="3" fontId="5" fillId="36" borderId="0" xfId="0" applyNumberFormat="1" applyFont="1" applyFill="1" applyAlignment="1">
      <alignment horizontal="center"/>
    </xf>
    <xf numFmtId="3" fontId="5" fillId="36" borderId="0" xfId="0" applyNumberFormat="1" applyFont="1" applyFill="1" applyAlignment="1">
      <alignment horizontal="left"/>
    </xf>
    <xf numFmtId="175" fontId="5" fillId="36" borderId="0" xfId="46" applyNumberFormat="1" applyFont="1" applyFill="1" applyAlignment="1">
      <alignment/>
    </xf>
    <xf numFmtId="177" fontId="2" fillId="0" borderId="18" xfId="0" applyNumberFormat="1" applyFont="1" applyBorder="1" applyAlignment="1">
      <alignment/>
    </xf>
    <xf numFmtId="175" fontId="0" fillId="0" borderId="33" xfId="46" applyNumberForma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34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/>
    </xf>
    <xf numFmtId="3" fontId="2" fillId="33" borderId="3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left" wrapText="1"/>
    </xf>
    <xf numFmtId="177" fontId="2" fillId="0" borderId="14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77" fontId="2" fillId="36" borderId="12" xfId="0" applyNumberFormat="1" applyFont="1" applyFill="1" applyBorder="1" applyAlignment="1">
      <alignment horizontal="center"/>
    </xf>
    <xf numFmtId="177" fontId="0" fillId="36" borderId="12" xfId="0" applyNumberForma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18" fillId="36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18" fillId="33" borderId="36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8" fillId="33" borderId="37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/>
    </xf>
    <xf numFmtId="3" fontId="18" fillId="33" borderId="12" xfId="0" applyNumberFormat="1" applyFont="1" applyFill="1" applyBorder="1" applyAlignment="1">
      <alignment horizontal="left"/>
    </xf>
    <xf numFmtId="3" fontId="18" fillId="33" borderId="38" xfId="0" applyNumberFormat="1" applyFont="1" applyFill="1" applyBorder="1" applyAlignment="1">
      <alignment horizontal="center"/>
    </xf>
    <xf numFmtId="3" fontId="18" fillId="33" borderId="18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175" fontId="0" fillId="0" borderId="12" xfId="46" applyNumberFormat="1" applyFont="1" applyBorder="1" applyAlignment="1">
      <alignment horizontal="center"/>
    </xf>
    <xf numFmtId="0" fontId="0" fillId="0" borderId="18" xfId="0" applyBorder="1" applyAlignment="1">
      <alignment/>
    </xf>
    <xf numFmtId="175" fontId="0" fillId="0" borderId="18" xfId="46" applyNumberFormat="1" applyFont="1" applyBorder="1" applyAlignment="1">
      <alignment/>
    </xf>
    <xf numFmtId="175" fontId="8" fillId="0" borderId="14" xfId="46" applyNumberFormat="1" applyFont="1" applyBorder="1" applyAlignment="1">
      <alignment/>
    </xf>
    <xf numFmtId="0" fontId="0" fillId="0" borderId="14" xfId="0" applyBorder="1" applyAlignment="1">
      <alignment/>
    </xf>
    <xf numFmtId="175" fontId="0" fillId="0" borderId="14" xfId="46" applyNumberFormat="1" applyFont="1" applyBorder="1" applyAlignment="1">
      <alignment/>
    </xf>
    <xf numFmtId="175" fontId="2" fillId="0" borderId="14" xfId="46" applyNumberFormat="1" applyFont="1" applyBorder="1" applyAlignment="1">
      <alignment/>
    </xf>
    <xf numFmtId="175" fontId="8" fillId="0" borderId="18" xfId="46" applyNumberFormat="1" applyFont="1" applyBorder="1" applyAlignment="1">
      <alignment horizontal="center"/>
    </xf>
    <xf numFmtId="175" fontId="0" fillId="0" borderId="25" xfId="46" applyNumberFormat="1" applyBorder="1" applyAlignment="1">
      <alignment/>
    </xf>
    <xf numFmtId="0" fontId="2" fillId="35" borderId="0" xfId="0" applyFont="1" applyFill="1" applyAlignment="1">
      <alignment horizontal="center"/>
    </xf>
    <xf numFmtId="0" fontId="2" fillId="35" borderId="35" xfId="0" applyFont="1" applyFill="1" applyBorder="1" applyAlignment="1">
      <alignment/>
    </xf>
    <xf numFmtId="0" fontId="2" fillId="35" borderId="39" xfId="0" applyFont="1" applyFill="1" applyBorder="1" applyAlignment="1">
      <alignment wrapText="1"/>
    </xf>
    <xf numFmtId="0" fontId="2" fillId="35" borderId="40" xfId="0" applyFont="1" applyFill="1" applyBorder="1" applyAlignment="1">
      <alignment/>
    </xf>
    <xf numFmtId="175" fontId="2" fillId="35" borderId="12" xfId="46" applyNumberFormat="1" applyFont="1" applyFill="1" applyBorder="1" applyAlignment="1">
      <alignment/>
    </xf>
    <xf numFmtId="175" fontId="2" fillId="35" borderId="41" xfId="46" applyNumberFormat="1" applyFont="1" applyFill="1" applyBorder="1" applyAlignment="1">
      <alignment/>
    </xf>
    <xf numFmtId="175" fontId="2" fillId="35" borderId="42" xfId="46" applyNumberFormat="1" applyFont="1" applyFill="1" applyBorder="1" applyAlignment="1">
      <alignment/>
    </xf>
    <xf numFmtId="0" fontId="8" fillId="35" borderId="43" xfId="0" applyFont="1" applyFill="1" applyBorder="1" applyAlignment="1">
      <alignment/>
    </xf>
    <xf numFmtId="175" fontId="8" fillId="35" borderId="14" xfId="46" applyNumberFormat="1" applyFont="1" applyFill="1" applyBorder="1" applyAlignment="1">
      <alignment/>
    </xf>
    <xf numFmtId="175" fontId="8" fillId="35" borderId="30" xfId="46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44" xfId="0" applyFont="1" applyFill="1" applyBorder="1" applyAlignment="1">
      <alignment/>
    </xf>
    <xf numFmtId="175" fontId="8" fillId="35" borderId="12" xfId="46" applyNumberFormat="1" applyFont="1" applyFill="1" applyBorder="1" applyAlignment="1">
      <alignment/>
    </xf>
    <xf numFmtId="0" fontId="2" fillId="35" borderId="44" xfId="0" applyFont="1" applyFill="1" applyBorder="1" applyAlignment="1">
      <alignment/>
    </xf>
    <xf numFmtId="175" fontId="2" fillId="35" borderId="32" xfId="46" applyNumberFormat="1" applyFont="1" applyFill="1" applyBorder="1" applyAlignment="1">
      <alignment/>
    </xf>
    <xf numFmtId="175" fontId="8" fillId="35" borderId="32" xfId="46" applyNumberFormat="1" applyFont="1" applyFill="1" applyBorder="1" applyAlignment="1">
      <alignment/>
    </xf>
    <xf numFmtId="175" fontId="2" fillId="35" borderId="14" xfId="46" applyNumberFormat="1" applyFont="1" applyFill="1" applyBorder="1" applyAlignment="1">
      <alignment/>
    </xf>
    <xf numFmtId="175" fontId="2" fillId="35" borderId="30" xfId="46" applyNumberFormat="1" applyFont="1" applyFill="1" applyBorder="1" applyAlignment="1">
      <alignment/>
    </xf>
    <xf numFmtId="0" fontId="2" fillId="35" borderId="45" xfId="0" applyFont="1" applyFill="1" applyBorder="1" applyAlignment="1">
      <alignment/>
    </xf>
    <xf numFmtId="175" fontId="2" fillId="35" borderId="35" xfId="46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33" borderId="46" xfId="0" applyNumberFormat="1" applyFont="1" applyFill="1" applyBorder="1" applyAlignment="1">
      <alignment horizontal="center" vertical="center" wrapText="1"/>
    </xf>
    <xf numFmtId="175" fontId="2" fillId="33" borderId="46" xfId="46" applyNumberFormat="1" applyFont="1" applyFill="1" applyBorder="1" applyAlignment="1">
      <alignment horizontal="center"/>
    </xf>
    <xf numFmtId="3" fontId="2" fillId="38" borderId="16" xfId="0" applyNumberFormat="1" applyFont="1" applyFill="1" applyBorder="1" applyAlignment="1">
      <alignment horizontal="center"/>
    </xf>
    <xf numFmtId="3" fontId="2" fillId="38" borderId="27" xfId="0" applyNumberFormat="1" applyFont="1" applyFill="1" applyBorder="1" applyAlignment="1">
      <alignment horizontal="center"/>
    </xf>
    <xf numFmtId="3" fontId="2" fillId="38" borderId="18" xfId="0" applyNumberFormat="1" applyFont="1" applyFill="1" applyBorder="1" applyAlignment="1">
      <alignment/>
    </xf>
    <xf numFmtId="175" fontId="2" fillId="38" borderId="18" xfId="46" applyNumberFormat="1" applyFont="1" applyFill="1" applyBorder="1" applyAlignment="1">
      <alignment/>
    </xf>
    <xf numFmtId="0" fontId="0" fillId="38" borderId="12" xfId="0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0" fontId="2" fillId="38" borderId="12" xfId="0" applyFont="1" applyFill="1" applyBorder="1" applyAlignment="1">
      <alignment/>
    </xf>
    <xf numFmtId="175" fontId="2" fillId="38" borderId="12" xfId="46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38" borderId="25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 horizontal="center"/>
    </xf>
    <xf numFmtId="0" fontId="30" fillId="0" borderId="18" xfId="0" applyFont="1" applyBorder="1" applyAlignment="1">
      <alignment horizontal="left" wrapText="1"/>
    </xf>
    <xf numFmtId="175" fontId="30" fillId="36" borderId="18" xfId="46" applyNumberFormat="1" applyFont="1" applyFill="1" applyBorder="1" applyAlignment="1">
      <alignment/>
    </xf>
    <xf numFmtId="0" fontId="30" fillId="0" borderId="0" xfId="0" applyFont="1" applyAlignment="1">
      <alignment/>
    </xf>
    <xf numFmtId="3" fontId="31" fillId="0" borderId="11" xfId="0" applyNumberFormat="1" applyFont="1" applyBorder="1" applyAlignment="1">
      <alignment horizontal="center"/>
    </xf>
    <xf numFmtId="175" fontId="30" fillId="36" borderId="12" xfId="46" applyNumberFormat="1" applyFont="1" applyFill="1" applyBorder="1" applyAlignment="1">
      <alignment/>
    </xf>
    <xf numFmtId="0" fontId="29" fillId="0" borderId="0" xfId="0" applyFont="1" applyAlignment="1">
      <alignment/>
    </xf>
    <xf numFmtId="3" fontId="2" fillId="0" borderId="26" xfId="0" applyNumberFormat="1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3" fontId="0" fillId="0" borderId="47" xfId="0" applyNumberForma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175" fontId="1" fillId="36" borderId="49" xfId="46" applyNumberFormat="1" applyFont="1" applyFill="1" applyBorder="1" applyAlignment="1">
      <alignment/>
    </xf>
    <xf numFmtId="175" fontId="0" fillId="36" borderId="18" xfId="46" applyNumberFormat="1" applyFont="1" applyFill="1" applyBorder="1" applyAlignment="1">
      <alignment/>
    </xf>
    <xf numFmtId="175" fontId="8" fillId="36" borderId="14" xfId="46" applyNumberFormat="1" applyFont="1" applyFill="1" applyBorder="1" applyAlignment="1">
      <alignment/>
    </xf>
    <xf numFmtId="175" fontId="2" fillId="36" borderId="49" xfId="46" applyNumberFormat="1" applyFont="1" applyFill="1" applyBorder="1" applyAlignment="1">
      <alignment/>
    </xf>
    <xf numFmtId="0" fontId="0" fillId="0" borderId="14" xfId="0" applyBorder="1" applyAlignment="1">
      <alignment horizontal="left" wrapText="1"/>
    </xf>
    <xf numFmtId="3" fontId="2" fillId="0" borderId="49" xfId="0" applyNumberFormat="1" applyFont="1" applyBorder="1" applyAlignment="1">
      <alignment/>
    </xf>
    <xf numFmtId="3" fontId="2" fillId="37" borderId="50" xfId="0" applyNumberFormat="1" applyFont="1" applyFill="1" applyBorder="1" applyAlignment="1">
      <alignment horizontal="center" vertical="center"/>
    </xf>
    <xf numFmtId="3" fontId="2" fillId="37" borderId="51" xfId="0" applyNumberFormat="1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23" xfId="0" applyNumberFormat="1" applyBorder="1" applyAlignment="1">
      <alignment wrapText="1"/>
    </xf>
    <xf numFmtId="3" fontId="30" fillId="0" borderId="0" xfId="0" applyNumberFormat="1" applyFont="1" applyAlignment="1">
      <alignment/>
    </xf>
    <xf numFmtId="3" fontId="2" fillId="39" borderId="23" xfId="0" applyNumberFormat="1" applyFont="1" applyFill="1" applyBorder="1" applyAlignment="1">
      <alignment wrapText="1"/>
    </xf>
    <xf numFmtId="3" fontId="2" fillId="39" borderId="12" xfId="0" applyNumberFormat="1" applyFont="1" applyFill="1" applyBorder="1" applyAlignment="1">
      <alignment/>
    </xf>
    <xf numFmtId="3" fontId="2" fillId="39" borderId="0" xfId="0" applyNumberFormat="1" applyFont="1" applyFill="1" applyAlignment="1">
      <alignment/>
    </xf>
    <xf numFmtId="3" fontId="0" fillId="0" borderId="34" xfId="0" applyNumberFormat="1" applyBorder="1" applyAlignment="1">
      <alignment/>
    </xf>
    <xf numFmtId="3" fontId="0" fillId="0" borderId="52" xfId="0" applyNumberFormat="1" applyBorder="1" applyAlignment="1">
      <alignment wrapText="1"/>
    </xf>
    <xf numFmtId="3" fontId="2" fillId="37" borderId="54" xfId="0" applyNumberFormat="1" applyFont="1" applyFill="1" applyBorder="1" applyAlignment="1">
      <alignment vertical="center" wrapText="1"/>
    </xf>
    <xf numFmtId="3" fontId="2" fillId="37" borderId="49" xfId="0" applyNumberFormat="1" applyFont="1" applyFill="1" applyBorder="1" applyAlignment="1">
      <alignment vertical="center"/>
    </xf>
    <xf numFmtId="3" fontId="2" fillId="33" borderId="54" xfId="0" applyNumberFormat="1" applyFont="1" applyFill="1" applyBorder="1" applyAlignment="1">
      <alignment wrapText="1"/>
    </xf>
    <xf numFmtId="3" fontId="2" fillId="33" borderId="55" xfId="0" applyNumberFormat="1" applyFont="1" applyFill="1" applyBorder="1" applyAlignment="1">
      <alignment horizontal="center" vertical="center"/>
    </xf>
    <xf numFmtId="3" fontId="2" fillId="33" borderId="56" xfId="0" applyNumberFormat="1" applyFont="1" applyFill="1" applyBorder="1" applyAlignment="1">
      <alignment horizontal="center" vertical="center" wrapText="1"/>
    </xf>
    <xf numFmtId="3" fontId="2" fillId="33" borderId="57" xfId="0" applyNumberFormat="1" applyFont="1" applyFill="1" applyBorder="1" applyAlignment="1">
      <alignment horizontal="center" vertical="center"/>
    </xf>
    <xf numFmtId="3" fontId="2" fillId="33" borderId="58" xfId="0" applyNumberFormat="1" applyFont="1" applyFill="1" applyBorder="1" applyAlignment="1">
      <alignment horizontal="center" vertical="center"/>
    </xf>
    <xf numFmtId="3" fontId="2" fillId="40" borderId="54" xfId="0" applyNumberFormat="1" applyFont="1" applyFill="1" applyBorder="1" applyAlignment="1">
      <alignment wrapText="1"/>
    </xf>
    <xf numFmtId="3" fontId="2" fillId="37" borderId="59" xfId="0" applyNumberFormat="1" applyFont="1" applyFill="1" applyBorder="1" applyAlignment="1">
      <alignment/>
    </xf>
    <xf numFmtId="3" fontId="2" fillId="37" borderId="60" xfId="0" applyNumberFormat="1" applyFont="1" applyFill="1" applyBorder="1" applyAlignment="1">
      <alignment/>
    </xf>
    <xf numFmtId="3" fontId="8" fillId="0" borderId="53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30" fillId="0" borderId="53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3" fillId="0" borderId="61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3" fontId="2" fillId="40" borderId="63" xfId="0" applyNumberFormat="1" applyFont="1" applyFill="1" applyBorder="1" applyAlignment="1">
      <alignment/>
    </xf>
    <xf numFmtId="3" fontId="30" fillId="0" borderId="6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62" xfId="0" applyNumberFormat="1" applyFont="1" applyBorder="1" applyAlignment="1">
      <alignment wrapText="1"/>
    </xf>
    <xf numFmtId="3" fontId="13" fillId="0" borderId="62" xfId="0" applyNumberFormat="1" applyFont="1" applyBorder="1" applyAlignment="1">
      <alignment/>
    </xf>
    <xf numFmtId="3" fontId="8" fillId="0" borderId="53" xfId="0" applyNumberFormat="1" applyFont="1" applyBorder="1" applyAlignment="1">
      <alignment wrapText="1"/>
    </xf>
    <xf numFmtId="3" fontId="2" fillId="33" borderId="57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0" fillId="39" borderId="23" xfId="0" applyNumberFormat="1" applyFill="1" applyBorder="1" applyAlignment="1">
      <alignment wrapText="1"/>
    </xf>
    <xf numFmtId="3" fontId="2" fillId="0" borderId="64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75" fontId="0" fillId="0" borderId="65" xfId="46" applyNumberFormat="1" applyBorder="1" applyAlignment="1">
      <alignment/>
    </xf>
    <xf numFmtId="3" fontId="0" fillId="39" borderId="53" xfId="0" applyNumberFormat="1" applyFill="1" applyBorder="1" applyAlignment="1">
      <alignment wrapText="1"/>
    </xf>
    <xf numFmtId="3" fontId="4" fillId="0" borderId="12" xfId="0" applyNumberFormat="1" applyFont="1" applyBorder="1" applyAlignment="1">
      <alignment horizontal="center"/>
    </xf>
    <xf numFmtId="3" fontId="2" fillId="41" borderId="53" xfId="0" applyNumberFormat="1" applyFont="1" applyFill="1" applyBorder="1" applyAlignment="1">
      <alignment wrapText="1"/>
    </xf>
    <xf numFmtId="175" fontId="2" fillId="0" borderId="25" xfId="46" applyNumberFormat="1" applyFont="1" applyBorder="1" applyAlignment="1">
      <alignment/>
    </xf>
    <xf numFmtId="3" fontId="2" fillId="39" borderId="53" xfId="0" applyNumberFormat="1" applyFont="1" applyFill="1" applyBorder="1" applyAlignment="1">
      <alignment wrapText="1"/>
    </xf>
    <xf numFmtId="3" fontId="2" fillId="42" borderId="53" xfId="0" applyNumberFormat="1" applyFont="1" applyFill="1" applyBorder="1" applyAlignment="1">
      <alignment/>
    </xf>
    <xf numFmtId="3" fontId="2" fillId="39" borderId="53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0" fontId="17" fillId="0" borderId="0" xfId="0" applyFont="1" applyAlignment="1">
      <alignment/>
    </xf>
    <xf numFmtId="3" fontId="29" fillId="0" borderId="12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175" fontId="29" fillId="0" borderId="12" xfId="46" applyNumberFormat="1" applyFont="1" applyBorder="1" applyAlignment="1">
      <alignment/>
    </xf>
    <xf numFmtId="3" fontId="30" fillId="0" borderId="53" xfId="0" applyNumberFormat="1" applyFont="1" applyBorder="1" applyAlignment="1">
      <alignment horizontal="center"/>
    </xf>
    <xf numFmtId="3" fontId="14" fillId="0" borderId="64" xfId="0" applyNumberFormat="1" applyFont="1" applyBorder="1" applyAlignment="1">
      <alignment horizontal="center"/>
    </xf>
    <xf numFmtId="3" fontId="30" fillId="0" borderId="53" xfId="0" applyNumberFormat="1" applyFont="1" applyBorder="1" applyAlignment="1">
      <alignment wrapText="1"/>
    </xf>
    <xf numFmtId="3" fontId="4" fillId="0" borderId="53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/>
    </xf>
    <xf numFmtId="3" fontId="14" fillId="0" borderId="66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left" wrapText="1"/>
    </xf>
    <xf numFmtId="175" fontId="30" fillId="0" borderId="67" xfId="46" applyNumberFormat="1" applyFont="1" applyBorder="1" applyAlignment="1">
      <alignment/>
    </xf>
    <xf numFmtId="3" fontId="2" fillId="33" borderId="68" xfId="0" applyNumberFormat="1" applyFont="1" applyFill="1" applyBorder="1" applyAlignment="1">
      <alignment horizontal="center" vertical="center"/>
    </xf>
    <xf numFmtId="175" fontId="2" fillId="33" borderId="69" xfId="46" applyNumberFormat="1" applyFont="1" applyFill="1" applyBorder="1" applyAlignment="1">
      <alignment horizontal="center" vertical="center" wrapText="1"/>
    </xf>
    <xf numFmtId="3" fontId="2" fillId="33" borderId="70" xfId="0" applyNumberFormat="1" applyFont="1" applyFill="1" applyBorder="1" applyAlignment="1">
      <alignment horizontal="center" vertical="center"/>
    </xf>
    <xf numFmtId="175" fontId="2" fillId="33" borderId="71" xfId="46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2" fillId="39" borderId="61" xfId="0" applyNumberFormat="1" applyFont="1" applyFill="1" applyBorder="1" applyAlignment="1">
      <alignment/>
    </xf>
    <xf numFmtId="175" fontId="2" fillId="0" borderId="27" xfId="46" applyNumberFormat="1" applyFont="1" applyBorder="1" applyAlignment="1">
      <alignment/>
    </xf>
    <xf numFmtId="3" fontId="5" fillId="33" borderId="47" xfId="0" applyNumberFormat="1" applyFont="1" applyFill="1" applyBorder="1" applyAlignment="1">
      <alignment horizontal="center"/>
    </xf>
    <xf numFmtId="3" fontId="17" fillId="33" borderId="49" xfId="0" applyNumberFormat="1" applyFont="1" applyFill="1" applyBorder="1" applyAlignment="1">
      <alignment horizontal="center"/>
    </xf>
    <xf numFmtId="3" fontId="5" fillId="33" borderId="49" xfId="0" applyNumberFormat="1" applyFont="1" applyFill="1" applyBorder="1" applyAlignment="1">
      <alignment/>
    </xf>
    <xf numFmtId="175" fontId="5" fillId="33" borderId="72" xfId="46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5" fontId="2" fillId="33" borderId="71" xfId="46" applyNumberFormat="1" applyFont="1" applyFill="1" applyBorder="1" applyAlignment="1">
      <alignment horizontal="center" vertical="center" wrapText="1"/>
    </xf>
    <xf numFmtId="3" fontId="2" fillId="39" borderId="53" xfId="0" applyNumberFormat="1" applyFont="1" applyFill="1" applyBorder="1" applyAlignment="1">
      <alignment horizontal="center"/>
    </xf>
    <xf numFmtId="175" fontId="2" fillId="39" borderId="53" xfId="46" applyNumberFormat="1" applyFont="1" applyFill="1" applyBorder="1" applyAlignment="1">
      <alignment/>
    </xf>
    <xf numFmtId="175" fontId="2" fillId="41" borderId="14" xfId="46" applyNumberFormat="1" applyFont="1" applyFill="1" applyBorder="1" applyAlignment="1">
      <alignment horizontal="center" vertical="center" wrapText="1"/>
    </xf>
    <xf numFmtId="3" fontId="4" fillId="41" borderId="53" xfId="0" applyNumberFormat="1" applyFont="1" applyFill="1" applyBorder="1" applyAlignment="1">
      <alignment horizontal="center" vertical="center" wrapText="1"/>
    </xf>
    <xf numFmtId="3" fontId="3" fillId="41" borderId="5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175" fontId="2" fillId="0" borderId="31" xfId="46" applyNumberFormat="1" applyFont="1" applyBorder="1" applyAlignment="1">
      <alignment/>
    </xf>
    <xf numFmtId="3" fontId="2" fillId="43" borderId="73" xfId="0" applyNumberFormat="1" applyFont="1" applyFill="1" applyBorder="1" applyAlignment="1">
      <alignment horizontal="center" vertical="center"/>
    </xf>
    <xf numFmtId="3" fontId="2" fillId="43" borderId="50" xfId="0" applyNumberFormat="1" applyFont="1" applyFill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33" borderId="47" xfId="0" applyNumberFormat="1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75" fontId="2" fillId="33" borderId="49" xfId="46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9" xfId="0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61" xfId="0" applyNumberFormat="1" applyFont="1" applyBorder="1" applyAlignment="1">
      <alignment horizontal="center"/>
    </xf>
    <xf numFmtId="0" fontId="2" fillId="0" borderId="61" xfId="0" applyFont="1" applyBorder="1" applyAlignment="1">
      <alignment/>
    </xf>
    <xf numFmtId="175" fontId="2" fillId="0" borderId="61" xfId="46" applyNumberFormat="1" applyFont="1" applyBorder="1" applyAlignment="1">
      <alignment/>
    </xf>
    <xf numFmtId="0" fontId="2" fillId="33" borderId="49" xfId="0" applyFont="1" applyFill="1" applyBorder="1" applyAlignment="1">
      <alignment wrapText="1"/>
    </xf>
    <xf numFmtId="3" fontId="2" fillId="33" borderId="74" xfId="0" applyNumberFormat="1" applyFont="1" applyFill="1" applyBorder="1" applyAlignment="1">
      <alignment horizontal="center" vertical="center" wrapText="1"/>
    </xf>
    <xf numFmtId="3" fontId="2" fillId="33" borderId="70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/>
    </xf>
    <xf numFmtId="0" fontId="0" fillId="0" borderId="53" xfId="0" applyBorder="1" applyAlignment="1">
      <alignment/>
    </xf>
    <xf numFmtId="175" fontId="0" fillId="0" borderId="53" xfId="46" applyNumberFormat="1" applyBorder="1" applyAlignment="1">
      <alignment/>
    </xf>
    <xf numFmtId="3" fontId="0" fillId="36" borderId="53" xfId="0" applyNumberFormat="1" applyFill="1" applyBorder="1" applyAlignment="1">
      <alignment/>
    </xf>
    <xf numFmtId="0" fontId="18" fillId="33" borderId="75" xfId="0" applyFont="1" applyFill="1" applyBorder="1" applyAlignment="1">
      <alignment horizontal="left" vertical="center" wrapText="1"/>
    </xf>
    <xf numFmtId="49" fontId="19" fillId="33" borderId="74" xfId="0" applyNumberFormat="1" applyFont="1" applyFill="1" applyBorder="1" applyAlignment="1">
      <alignment horizontal="center" vertical="center" wrapText="1"/>
    </xf>
    <xf numFmtId="49" fontId="19" fillId="33" borderId="69" xfId="0" applyNumberFormat="1" applyFont="1" applyFill="1" applyBorder="1" applyAlignment="1">
      <alignment horizontal="center" vertical="center" wrapText="1"/>
    </xf>
    <xf numFmtId="0" fontId="2" fillId="44" borderId="76" xfId="0" applyFont="1" applyFill="1" applyBorder="1" applyAlignment="1">
      <alignment horizontal="left" vertical="center" wrapText="1"/>
    </xf>
    <xf numFmtId="175" fontId="3" fillId="0" borderId="77" xfId="46" applyNumberFormat="1" applyFont="1" applyBorder="1" applyAlignment="1">
      <alignment/>
    </xf>
    <xf numFmtId="0" fontId="0" fillId="44" borderId="76" xfId="0" applyFill="1" applyBorder="1" applyAlignment="1">
      <alignment horizontal="left" vertical="center" wrapText="1"/>
    </xf>
    <xf numFmtId="0" fontId="2" fillId="33" borderId="76" xfId="0" applyFont="1" applyFill="1" applyBorder="1" applyAlignment="1">
      <alignment horizontal="left" vertical="center" wrapText="1"/>
    </xf>
    <xf numFmtId="3" fontId="2" fillId="33" borderId="77" xfId="0" applyNumberFormat="1" applyFont="1" applyFill="1" applyBorder="1" applyAlignment="1">
      <alignment/>
    </xf>
    <xf numFmtId="3" fontId="0" fillId="0" borderId="77" xfId="0" applyNumberFormat="1" applyBorder="1" applyAlignment="1">
      <alignment/>
    </xf>
    <xf numFmtId="0" fontId="2" fillId="44" borderId="78" xfId="0" applyFont="1" applyFill="1" applyBorder="1" applyAlignment="1">
      <alignment horizontal="left" vertical="center" wrapText="1"/>
    </xf>
    <xf numFmtId="3" fontId="2" fillId="44" borderId="70" xfId="0" applyNumberFormat="1" applyFont="1" applyFill="1" applyBorder="1" applyAlignment="1">
      <alignment/>
    </xf>
    <xf numFmtId="3" fontId="2" fillId="44" borderId="71" xfId="0" applyNumberFormat="1" applyFont="1" applyFill="1" applyBorder="1" applyAlignment="1">
      <alignment/>
    </xf>
    <xf numFmtId="175" fontId="30" fillId="0" borderId="53" xfId="46" applyNumberFormat="1" applyFont="1" applyBorder="1" applyAlignment="1">
      <alignment/>
    </xf>
    <xf numFmtId="175" fontId="2" fillId="0" borderId="53" xfId="46" applyNumberFormat="1" applyFont="1" applyBorder="1" applyAlignment="1">
      <alignment/>
    </xf>
    <xf numFmtId="3" fontId="2" fillId="37" borderId="79" xfId="0" applyNumberFormat="1" applyFont="1" applyFill="1" applyBorder="1" applyAlignment="1">
      <alignment horizontal="center" vertical="center"/>
    </xf>
    <xf numFmtId="3" fontId="4" fillId="37" borderId="80" xfId="0" applyNumberFormat="1" applyFont="1" applyFill="1" applyBorder="1" applyAlignment="1">
      <alignment horizontal="center" vertical="center" wrapText="1"/>
    </xf>
    <xf numFmtId="175" fontId="2" fillId="37" borderId="81" xfId="46" applyNumberFormat="1" applyFont="1" applyFill="1" applyBorder="1" applyAlignment="1">
      <alignment horizontal="center" vertical="center" wrapText="1"/>
    </xf>
    <xf numFmtId="3" fontId="2" fillId="37" borderId="82" xfId="0" applyNumberFormat="1" applyFont="1" applyFill="1" applyBorder="1" applyAlignment="1">
      <alignment horizontal="center" vertical="center"/>
    </xf>
    <xf numFmtId="175" fontId="2" fillId="37" borderId="83" xfId="46" applyNumberFormat="1" applyFont="1" applyFill="1" applyBorder="1" applyAlignment="1">
      <alignment horizontal="center"/>
    </xf>
    <xf numFmtId="175" fontId="2" fillId="0" borderId="84" xfId="46" applyNumberFormat="1" applyFont="1" applyBorder="1" applyAlignment="1">
      <alignment/>
    </xf>
    <xf numFmtId="175" fontId="30" fillId="0" borderId="84" xfId="46" applyNumberFormat="1" applyFont="1" applyBorder="1" applyAlignment="1">
      <alignment/>
    </xf>
    <xf numFmtId="175" fontId="6" fillId="0" borderId="85" xfId="46" applyNumberFormat="1" applyFont="1" applyBorder="1" applyAlignment="1">
      <alignment/>
    </xf>
    <xf numFmtId="0" fontId="0" fillId="0" borderId="0" xfId="0" applyAlignment="1">
      <alignment vertical="center"/>
    </xf>
    <xf numFmtId="177" fontId="2" fillId="0" borderId="53" xfId="0" applyNumberFormat="1" applyFont="1" applyBorder="1" applyAlignment="1">
      <alignment/>
    </xf>
    <xf numFmtId="0" fontId="17" fillId="36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3" fontId="2" fillId="37" borderId="73" xfId="0" applyNumberFormat="1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175" fontId="2" fillId="0" borderId="77" xfId="46" applyNumberFormat="1" applyFont="1" applyBorder="1" applyAlignment="1">
      <alignment/>
    </xf>
    <xf numFmtId="0" fontId="0" fillId="0" borderId="86" xfId="0" applyBorder="1" applyAlignment="1">
      <alignment horizontal="center"/>
    </xf>
    <xf numFmtId="175" fontId="0" fillId="0" borderId="77" xfId="46" applyNumberFormat="1" applyBorder="1" applyAlignment="1">
      <alignment/>
    </xf>
    <xf numFmtId="175" fontId="0" fillId="36" borderId="77" xfId="46" applyNumberFormat="1" applyFill="1" applyBorder="1" applyAlignment="1">
      <alignment/>
    </xf>
    <xf numFmtId="175" fontId="0" fillId="0" borderId="87" xfId="46" applyNumberFormat="1" applyBorder="1" applyAlignment="1">
      <alignment/>
    </xf>
    <xf numFmtId="175" fontId="0" fillId="0" borderId="84" xfId="46" applyNumberFormat="1" applyBorder="1" applyAlignment="1">
      <alignment/>
    </xf>
    <xf numFmtId="175" fontId="0" fillId="0" borderId="88" xfId="46" applyNumberFormat="1" applyBorder="1" applyAlignment="1">
      <alignment/>
    </xf>
    <xf numFmtId="3" fontId="5" fillId="33" borderId="89" xfId="0" applyNumberFormat="1" applyFont="1" applyFill="1" applyBorder="1" applyAlignment="1">
      <alignment horizontal="center" vertical="center"/>
    </xf>
    <xf numFmtId="175" fontId="8" fillId="0" borderId="53" xfId="46" applyNumberFormat="1" applyFont="1" applyBorder="1" applyAlignment="1">
      <alignment/>
    </xf>
    <xf numFmtId="175" fontId="2" fillId="0" borderId="56" xfId="46" applyNumberFormat="1" applyFont="1" applyBorder="1" applyAlignment="1">
      <alignment/>
    </xf>
    <xf numFmtId="175" fontId="2" fillId="0" borderId="62" xfId="46" applyNumberFormat="1" applyFont="1" applyBorder="1" applyAlignment="1">
      <alignment/>
    </xf>
    <xf numFmtId="175" fontId="2" fillId="0" borderId="90" xfId="46" applyNumberFormat="1" applyFont="1" applyBorder="1" applyAlignment="1">
      <alignment/>
    </xf>
    <xf numFmtId="175" fontId="6" fillId="0" borderId="91" xfId="46" applyNumberFormat="1" applyFont="1" applyBorder="1" applyAlignment="1">
      <alignment vertical="center"/>
    </xf>
    <xf numFmtId="175" fontId="5" fillId="38" borderId="92" xfId="46" applyNumberFormat="1" applyFont="1" applyFill="1" applyBorder="1" applyAlignment="1">
      <alignment/>
    </xf>
    <xf numFmtId="175" fontId="6" fillId="36" borderId="91" xfId="46" applyNumberFormat="1" applyFont="1" applyFill="1" applyBorder="1" applyAlignment="1">
      <alignment vertical="center"/>
    </xf>
    <xf numFmtId="3" fontId="2" fillId="33" borderId="93" xfId="0" applyNumberFormat="1" applyFont="1" applyFill="1" applyBorder="1" applyAlignment="1">
      <alignment horizontal="center" vertical="center" wrapText="1"/>
    </xf>
    <xf numFmtId="175" fontId="13" fillId="0" borderId="94" xfId="46" applyNumberFormat="1" applyFont="1" applyBorder="1" applyAlignment="1">
      <alignment/>
    </xf>
    <xf numFmtId="175" fontId="13" fillId="0" borderId="95" xfId="46" applyNumberFormat="1" applyFont="1" applyBorder="1" applyAlignment="1">
      <alignment/>
    </xf>
    <xf numFmtId="3" fontId="0" fillId="0" borderId="31" xfId="0" applyNumberFormat="1" applyBorder="1" applyAlignment="1">
      <alignment/>
    </xf>
    <xf numFmtId="175" fontId="0" fillId="0" borderId="96" xfId="46" applyNumberFormat="1" applyFont="1" applyBorder="1" applyAlignment="1">
      <alignment/>
    </xf>
    <xf numFmtId="175" fontId="6" fillId="0" borderId="97" xfId="46" applyNumberFormat="1" applyFont="1" applyBorder="1" applyAlignment="1">
      <alignment/>
    </xf>
    <xf numFmtId="0" fontId="5" fillId="37" borderId="98" xfId="0" applyFont="1" applyFill="1" applyBorder="1" applyAlignment="1">
      <alignment/>
    </xf>
    <xf numFmtId="0" fontId="5" fillId="37" borderId="99" xfId="0" applyFont="1" applyFill="1" applyBorder="1" applyAlignment="1">
      <alignment/>
    </xf>
    <xf numFmtId="175" fontId="5" fillId="37" borderId="100" xfId="46" applyNumberFormat="1" applyFont="1" applyFill="1" applyBorder="1" applyAlignment="1">
      <alignment/>
    </xf>
    <xf numFmtId="3" fontId="2" fillId="0" borderId="53" xfId="0" applyNumberFormat="1" applyFont="1" applyBorder="1" applyAlignment="1">
      <alignment wrapText="1"/>
    </xf>
    <xf numFmtId="177" fontId="0" fillId="0" borderId="53" xfId="0" applyNumberFormat="1" applyBorder="1" applyAlignment="1">
      <alignment/>
    </xf>
    <xf numFmtId="3" fontId="13" fillId="0" borderId="53" xfId="0" applyNumberFormat="1" applyFont="1" applyBorder="1" applyAlignment="1">
      <alignment horizontal="center"/>
    </xf>
    <xf numFmtId="177" fontId="13" fillId="0" borderId="53" xfId="0" applyNumberFormat="1" applyFont="1" applyBorder="1" applyAlignment="1">
      <alignment/>
    </xf>
    <xf numFmtId="3" fontId="2" fillId="33" borderId="60" xfId="0" applyNumberFormat="1" applyFont="1" applyFill="1" applyBorder="1" applyAlignment="1">
      <alignment horizontal="center" vertical="center" wrapText="1"/>
    </xf>
    <xf numFmtId="3" fontId="2" fillId="0" borderId="101" xfId="0" applyNumberFormat="1" applyFon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175" fontId="0" fillId="0" borderId="84" xfId="46" applyNumberFormat="1" applyFont="1" applyBorder="1" applyAlignment="1">
      <alignment/>
    </xf>
    <xf numFmtId="3" fontId="13" fillId="0" borderId="101" xfId="0" applyNumberFormat="1" applyFont="1" applyBorder="1" applyAlignment="1">
      <alignment horizontal="center"/>
    </xf>
    <xf numFmtId="175" fontId="13" fillId="0" borderId="84" xfId="46" applyNumberFormat="1" applyFont="1" applyBorder="1" applyAlignment="1">
      <alignment/>
    </xf>
    <xf numFmtId="0" fontId="2" fillId="0" borderId="101" xfId="0" applyFont="1" applyBorder="1" applyAlignment="1">
      <alignment/>
    </xf>
    <xf numFmtId="3" fontId="2" fillId="0" borderId="102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wrapText="1"/>
    </xf>
    <xf numFmtId="177" fontId="2" fillId="0" borderId="62" xfId="0" applyNumberFormat="1" applyFont="1" applyBorder="1" applyAlignment="1">
      <alignment/>
    </xf>
    <xf numFmtId="3" fontId="0" fillId="33" borderId="70" xfId="0" applyNumberFormat="1" applyFill="1" applyBorder="1" applyAlignment="1">
      <alignment horizontal="center" vertical="center"/>
    </xf>
    <xf numFmtId="3" fontId="0" fillId="0" borderId="103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177" fontId="0" fillId="0" borderId="61" xfId="0" applyNumberFormat="1" applyBorder="1" applyAlignment="1">
      <alignment/>
    </xf>
    <xf numFmtId="175" fontId="0" fillId="0" borderId="104" xfId="46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175" fontId="6" fillId="0" borderId="105" xfId="46" applyNumberFormat="1" applyFont="1" applyBorder="1" applyAlignment="1">
      <alignment horizontal="right" vertical="center"/>
    </xf>
    <xf numFmtId="175" fontId="6" fillId="36" borderId="91" xfId="46" applyNumberFormat="1" applyFont="1" applyFill="1" applyBorder="1" applyAlignment="1">
      <alignment horizontal="right" vertical="center"/>
    </xf>
    <xf numFmtId="175" fontId="5" fillId="37" borderId="72" xfId="46" applyNumberFormat="1" applyFont="1" applyFill="1" applyBorder="1" applyAlignment="1">
      <alignment horizontal="center" vertical="center"/>
    </xf>
    <xf numFmtId="3" fontId="5" fillId="37" borderId="106" xfId="0" applyNumberFormat="1" applyFont="1" applyFill="1" applyBorder="1" applyAlignment="1">
      <alignment horizontal="center" vertical="center"/>
    </xf>
    <xf numFmtId="3" fontId="5" fillId="37" borderId="54" xfId="0" applyNumberFormat="1" applyFont="1" applyFill="1" applyBorder="1" applyAlignment="1">
      <alignment horizontal="center" vertical="center"/>
    </xf>
    <xf numFmtId="3" fontId="5" fillId="37" borderId="48" xfId="0" applyNumberFormat="1" applyFont="1" applyFill="1" applyBorder="1" applyAlignment="1">
      <alignment horizontal="left" vertical="center"/>
    </xf>
    <xf numFmtId="3" fontId="5" fillId="37" borderId="107" xfId="0" applyNumberFormat="1" applyFont="1" applyFill="1" applyBorder="1" applyAlignment="1">
      <alignment horizontal="left" vertical="center"/>
    </xf>
    <xf numFmtId="3" fontId="6" fillId="0" borderId="106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08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3" fontId="8" fillId="0" borderId="109" xfId="0" applyNumberFormat="1" applyFont="1" applyBorder="1" applyAlignment="1">
      <alignment horizontal="center"/>
    </xf>
    <xf numFmtId="175" fontId="8" fillId="0" borderId="77" xfId="46" applyNumberFormat="1" applyFont="1" applyBorder="1" applyAlignment="1">
      <alignment horizontal="right" vertical="center"/>
    </xf>
    <xf numFmtId="3" fontId="8" fillId="0" borderId="110" xfId="0" applyNumberFormat="1" applyFont="1" applyBorder="1" applyAlignment="1">
      <alignment horizontal="center"/>
    </xf>
    <xf numFmtId="175" fontId="8" fillId="0" borderId="87" xfId="46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center"/>
    </xf>
    <xf numFmtId="3" fontId="2" fillId="0" borderId="109" xfId="0" applyNumberFormat="1" applyFon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0" fillId="0" borderId="111" xfId="0" applyNumberFormat="1" applyBorder="1" applyAlignment="1">
      <alignment horizontal="center"/>
    </xf>
    <xf numFmtId="3" fontId="5" fillId="45" borderId="63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5" fontId="2" fillId="36" borderId="53" xfId="46" applyNumberFormat="1" applyFont="1" applyFill="1" applyBorder="1" applyAlignment="1">
      <alignment/>
    </xf>
    <xf numFmtId="3" fontId="8" fillId="0" borderId="53" xfId="0" applyNumberFormat="1" applyFont="1" applyBorder="1" applyAlignment="1">
      <alignment horizontal="center"/>
    </xf>
    <xf numFmtId="3" fontId="25" fillId="33" borderId="69" xfId="0" applyNumberFormat="1" applyFont="1" applyFill="1" applyBorder="1" applyAlignment="1">
      <alignment horizontal="center" vertical="center" wrapText="1"/>
    </xf>
    <xf numFmtId="3" fontId="36" fillId="37" borderId="98" xfId="0" applyNumberFormat="1" applyFont="1" applyFill="1" applyBorder="1" applyAlignment="1">
      <alignment horizontal="center"/>
    </xf>
    <xf numFmtId="3" fontId="22" fillId="37" borderId="112" xfId="0" applyNumberFormat="1" applyFont="1" applyFill="1" applyBorder="1" applyAlignment="1">
      <alignment/>
    </xf>
    <xf numFmtId="3" fontId="24" fillId="33" borderId="71" xfId="0" applyNumberFormat="1" applyFont="1" applyFill="1" applyBorder="1" applyAlignment="1">
      <alignment horizontal="center"/>
    </xf>
    <xf numFmtId="3" fontId="22" fillId="37" borderId="113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wrapText="1"/>
    </xf>
    <xf numFmtId="3" fontId="24" fillId="0" borderId="53" xfId="0" applyNumberFormat="1" applyFont="1" applyBorder="1" applyAlignment="1">
      <alignment/>
    </xf>
    <xf numFmtId="3" fontId="18" fillId="39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5" fontId="8" fillId="0" borderId="13" xfId="46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75" fontId="6" fillId="0" borderId="13" xfId="46" applyNumberFormat="1" applyFont="1" applyBorder="1" applyAlignment="1">
      <alignment/>
    </xf>
    <xf numFmtId="0" fontId="6" fillId="0" borderId="0" xfId="0" applyFont="1" applyAlignment="1">
      <alignment/>
    </xf>
    <xf numFmtId="0" fontId="5" fillId="46" borderId="13" xfId="0" applyFont="1" applyFill="1" applyBorder="1" applyAlignment="1">
      <alignment/>
    </xf>
    <xf numFmtId="175" fontId="5" fillId="46" borderId="13" xfId="46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wrapText="1"/>
    </xf>
    <xf numFmtId="175" fontId="0" fillId="0" borderId="10" xfId="46" applyNumberFormat="1" applyBorder="1" applyAlignment="1">
      <alignment/>
    </xf>
    <xf numFmtId="0" fontId="5" fillId="46" borderId="16" xfId="0" applyFont="1" applyFill="1" applyBorder="1" applyAlignment="1">
      <alignment horizontal="center"/>
    </xf>
    <xf numFmtId="0" fontId="5" fillId="46" borderId="16" xfId="0" applyFont="1" applyFill="1" applyBorder="1" applyAlignment="1">
      <alignment/>
    </xf>
    <xf numFmtId="175" fontId="5" fillId="46" borderId="16" xfId="46" applyNumberFormat="1" applyFont="1" applyFill="1" applyBorder="1" applyAlignment="1">
      <alignment/>
    </xf>
    <xf numFmtId="3" fontId="6" fillId="0" borderId="53" xfId="0" applyNumberFormat="1" applyFont="1" applyBorder="1" applyAlignment="1">
      <alignment horizontal="center"/>
    </xf>
    <xf numFmtId="3" fontId="6" fillId="0" borderId="53" xfId="0" applyNumberFormat="1" applyFont="1" applyBorder="1" applyAlignment="1">
      <alignment/>
    </xf>
    <xf numFmtId="3" fontId="18" fillId="33" borderId="18" xfId="0" applyNumberFormat="1" applyFont="1" applyFill="1" applyBorder="1" applyAlignment="1">
      <alignment horizontal="left" wrapText="1"/>
    </xf>
    <xf numFmtId="3" fontId="18" fillId="33" borderId="53" xfId="0" applyNumberFormat="1" applyFont="1" applyFill="1" applyBorder="1" applyAlignment="1">
      <alignment horizontal="center"/>
    </xf>
    <xf numFmtId="3" fontId="18" fillId="40" borderId="53" xfId="0" applyNumberFormat="1" applyFont="1" applyFill="1" applyBorder="1" applyAlignment="1">
      <alignment wrapText="1"/>
    </xf>
    <xf numFmtId="3" fontId="18" fillId="33" borderId="53" xfId="0" applyNumberFormat="1" applyFont="1" applyFill="1" applyBorder="1" applyAlignment="1">
      <alignment/>
    </xf>
    <xf numFmtId="177" fontId="0" fillId="0" borderId="53" xfId="0" applyNumberFormat="1" applyBorder="1" applyAlignment="1">
      <alignment horizontal="center"/>
    </xf>
    <xf numFmtId="177" fontId="0" fillId="0" borderId="61" xfId="0" applyNumberFormat="1" applyBorder="1" applyAlignment="1">
      <alignment horizontal="center"/>
    </xf>
    <xf numFmtId="175" fontId="2" fillId="33" borderId="87" xfId="46" applyNumberFormat="1" applyFont="1" applyFill="1" applyBorder="1" applyAlignment="1">
      <alignment horizontal="center" vertical="center"/>
    </xf>
    <xf numFmtId="175" fontId="2" fillId="0" borderId="114" xfId="46" applyNumberFormat="1" applyFont="1" applyBorder="1" applyAlignment="1">
      <alignment horizontal="right" vertical="center"/>
    </xf>
    <xf numFmtId="175" fontId="0" fillId="36" borderId="115" xfId="46" applyNumberFormat="1" applyFill="1" applyBorder="1" applyAlignment="1">
      <alignment horizontal="right" vertical="center"/>
    </xf>
    <xf numFmtId="175" fontId="2" fillId="36" borderId="115" xfId="46" applyNumberFormat="1" applyFont="1" applyFill="1" applyBorder="1" applyAlignment="1">
      <alignment horizontal="right" vertical="center"/>
    </xf>
    <xf numFmtId="175" fontId="0" fillId="0" borderId="115" xfId="46" applyNumberFormat="1" applyBorder="1" applyAlignment="1">
      <alignment horizontal="right" vertical="center"/>
    </xf>
    <xf numFmtId="175" fontId="2" fillId="0" borderId="115" xfId="46" applyNumberFormat="1" applyFont="1" applyBorder="1" applyAlignment="1">
      <alignment horizontal="right" vertical="center"/>
    </xf>
    <xf numFmtId="175" fontId="0" fillId="0" borderId="116" xfId="46" applyNumberFormat="1" applyBorder="1" applyAlignment="1">
      <alignment horizontal="right" vertical="center"/>
    </xf>
    <xf numFmtId="175" fontId="0" fillId="0" borderId="117" xfId="46" applyNumberFormat="1" applyBorder="1" applyAlignment="1">
      <alignment horizontal="right" vertical="center"/>
    </xf>
    <xf numFmtId="175" fontId="0" fillId="0" borderId="118" xfId="46" applyNumberFormat="1" applyBorder="1" applyAlignment="1">
      <alignment horizontal="right" vertical="center"/>
    </xf>
    <xf numFmtId="175" fontId="2" fillId="0" borderId="119" xfId="46" applyNumberFormat="1" applyFont="1" applyBorder="1" applyAlignment="1">
      <alignment horizontal="right" vertical="center"/>
    </xf>
    <xf numFmtId="175" fontId="8" fillId="0" borderId="120" xfId="46" applyNumberFormat="1" applyFont="1" applyBorder="1" applyAlignment="1">
      <alignment horizontal="right" vertical="center"/>
    </xf>
    <xf numFmtId="175" fontId="8" fillId="36" borderId="121" xfId="46" applyNumberFormat="1" applyFont="1" applyFill="1" applyBorder="1" applyAlignment="1">
      <alignment horizontal="right" vertical="center"/>
    </xf>
    <xf numFmtId="3" fontId="32" fillId="0" borderId="122" xfId="0" applyNumberFormat="1" applyFont="1" applyBorder="1" applyAlignment="1">
      <alignment horizontal="center"/>
    </xf>
    <xf numFmtId="3" fontId="2" fillId="0" borderId="123" xfId="0" applyNumberFormat="1" applyFont="1" applyBorder="1" applyAlignment="1">
      <alignment horizontal="center"/>
    </xf>
    <xf numFmtId="3" fontId="8" fillId="0" borderId="124" xfId="0" applyNumberFormat="1" applyFont="1" applyBorder="1" applyAlignment="1">
      <alignment horizontal="center"/>
    </xf>
    <xf numFmtId="3" fontId="8" fillId="0" borderId="125" xfId="0" applyNumberFormat="1" applyFont="1" applyBorder="1" applyAlignment="1">
      <alignment horizontal="center"/>
    </xf>
    <xf numFmtId="175" fontId="5" fillId="45" borderId="126" xfId="46" applyNumberFormat="1" applyFont="1" applyFill="1" applyBorder="1" applyAlignment="1">
      <alignment horizontal="center" vertical="center"/>
    </xf>
    <xf numFmtId="3" fontId="5" fillId="40" borderId="108" xfId="0" applyNumberFormat="1" applyFont="1" applyFill="1" applyBorder="1" applyAlignment="1">
      <alignment horizontal="center" vertical="center"/>
    </xf>
    <xf numFmtId="3" fontId="34" fillId="39" borderId="12" xfId="0" applyNumberFormat="1" applyFont="1" applyFill="1" applyBorder="1" applyAlignment="1">
      <alignment/>
    </xf>
    <xf numFmtId="175" fontId="8" fillId="39" borderId="84" xfId="46" applyNumberFormat="1" applyFont="1" applyFill="1" applyBorder="1" applyAlignment="1">
      <alignment/>
    </xf>
    <xf numFmtId="3" fontId="18" fillId="47" borderId="12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 wrapText="1"/>
    </xf>
    <xf numFmtId="3" fontId="24" fillId="0" borderId="53" xfId="0" applyNumberFormat="1" applyFont="1" applyBorder="1" applyAlignment="1">
      <alignment horizontal="center"/>
    </xf>
    <xf numFmtId="175" fontId="24" fillId="0" borderId="53" xfId="46" applyNumberFormat="1" applyFont="1" applyBorder="1" applyAlignment="1">
      <alignment/>
    </xf>
    <xf numFmtId="0" fontId="2" fillId="0" borderId="62" xfId="0" applyFont="1" applyBorder="1" applyAlignment="1">
      <alignment/>
    </xf>
    <xf numFmtId="3" fontId="2" fillId="33" borderId="127" xfId="0" applyNumberFormat="1" applyFont="1" applyFill="1" applyBorder="1" applyAlignment="1">
      <alignment horizontal="center" vertical="center" wrapText="1"/>
    </xf>
    <xf numFmtId="175" fontId="2" fillId="33" borderId="128" xfId="46" applyNumberFormat="1" applyFont="1" applyFill="1" applyBorder="1" applyAlignment="1">
      <alignment horizontal="center"/>
    </xf>
    <xf numFmtId="175" fontId="0" fillId="0" borderId="61" xfId="46" applyNumberFormat="1" applyBorder="1" applyAlignment="1">
      <alignment/>
    </xf>
    <xf numFmtId="3" fontId="2" fillId="37" borderId="108" xfId="0" applyNumberFormat="1" applyFont="1" applyFill="1" applyBorder="1" applyAlignment="1">
      <alignment horizontal="center"/>
    </xf>
    <xf numFmtId="3" fontId="2" fillId="37" borderId="63" xfId="0" applyNumberFormat="1" applyFont="1" applyFill="1" applyBorder="1" applyAlignment="1">
      <alignment horizontal="center"/>
    </xf>
    <xf numFmtId="175" fontId="2" fillId="37" borderId="91" xfId="46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9" xfId="0" applyNumberFormat="1" applyFont="1" applyFill="1" applyBorder="1" applyAlignment="1">
      <alignment vertical="center"/>
    </xf>
    <xf numFmtId="175" fontId="5" fillId="33" borderId="49" xfId="46" applyNumberFormat="1" applyFont="1" applyFill="1" applyBorder="1" applyAlignment="1">
      <alignment vertical="center"/>
    </xf>
    <xf numFmtId="3" fontId="9" fillId="0" borderId="129" xfId="0" applyNumberFormat="1" applyFont="1" applyBorder="1" applyAlignment="1">
      <alignment horizontal="center"/>
    </xf>
    <xf numFmtId="3" fontId="6" fillId="0" borderId="129" xfId="0" applyNumberFormat="1" applyFont="1" applyBorder="1" applyAlignment="1">
      <alignment horizontal="center"/>
    </xf>
    <xf numFmtId="175" fontId="6" fillId="0" borderId="129" xfId="46" applyNumberFormat="1" applyFont="1" applyBorder="1" applyAlignment="1">
      <alignment/>
    </xf>
    <xf numFmtId="3" fontId="2" fillId="0" borderId="130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2" fillId="0" borderId="60" xfId="0" applyNumberFormat="1" applyFont="1" applyBorder="1" applyAlignment="1">
      <alignment/>
    </xf>
    <xf numFmtId="3" fontId="2" fillId="0" borderId="131" xfId="0" applyNumberFormat="1" applyFon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3" fontId="0" fillId="0" borderId="132" xfId="0" applyNumberForma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2" fillId="0" borderId="134" xfId="0" applyNumberFormat="1" applyFont="1" applyBorder="1" applyAlignment="1">
      <alignment horizontal="center"/>
    </xf>
    <xf numFmtId="3" fontId="2" fillId="0" borderId="125" xfId="0" applyNumberFormat="1" applyFont="1" applyBorder="1" applyAlignment="1">
      <alignment horizontal="center"/>
    </xf>
    <xf numFmtId="3" fontId="6" fillId="0" borderId="125" xfId="0" applyNumberFormat="1" applyFont="1" applyBorder="1" applyAlignment="1">
      <alignment horizontal="center"/>
    </xf>
    <xf numFmtId="175" fontId="2" fillId="0" borderId="125" xfId="46" applyNumberFormat="1" applyFont="1" applyBorder="1" applyAlignment="1">
      <alignment/>
    </xf>
    <xf numFmtId="3" fontId="6" fillId="36" borderId="129" xfId="0" applyNumberFormat="1" applyFont="1" applyFill="1" applyBorder="1" applyAlignment="1">
      <alignment horizontal="center" vertical="center" wrapText="1"/>
    </xf>
    <xf numFmtId="175" fontId="6" fillId="36" borderId="129" xfId="46" applyNumberFormat="1" applyFont="1" applyFill="1" applyBorder="1" applyAlignment="1">
      <alignment vertical="center"/>
    </xf>
    <xf numFmtId="3" fontId="6" fillId="0" borderId="53" xfId="0" applyNumberFormat="1" applyFont="1" applyBorder="1" applyAlignment="1">
      <alignment horizontal="center" vertical="center"/>
    </xf>
    <xf numFmtId="175" fontId="6" fillId="0" borderId="53" xfId="46" applyNumberFormat="1" applyFont="1" applyBorder="1" applyAlignment="1">
      <alignment vertical="center"/>
    </xf>
    <xf numFmtId="3" fontId="2" fillId="0" borderId="135" xfId="0" applyNumberFormat="1" applyFont="1" applyBorder="1" applyAlignment="1">
      <alignment horizontal="center"/>
    </xf>
    <xf numFmtId="3" fontId="2" fillId="0" borderId="136" xfId="0" applyNumberFormat="1" applyFont="1" applyBorder="1" applyAlignment="1">
      <alignment horizontal="center"/>
    </xf>
    <xf numFmtId="3" fontId="2" fillId="0" borderId="136" xfId="0" applyNumberFormat="1" applyFont="1" applyBorder="1" applyAlignment="1">
      <alignment wrapText="1"/>
    </xf>
    <xf numFmtId="3" fontId="5" fillId="37" borderId="137" xfId="0" applyNumberFormat="1" applyFont="1" applyFill="1" applyBorder="1" applyAlignment="1">
      <alignment horizontal="center" vertical="center"/>
    </xf>
    <xf numFmtId="175" fontId="5" fillId="37" borderId="137" xfId="46" applyNumberFormat="1" applyFont="1" applyFill="1" applyBorder="1" applyAlignment="1">
      <alignment horizontal="center" vertical="center"/>
    </xf>
    <xf numFmtId="175" fontId="0" fillId="39" borderId="95" xfId="46" applyNumberFormat="1" applyFill="1" applyBorder="1" applyAlignment="1">
      <alignment/>
    </xf>
    <xf numFmtId="175" fontId="0" fillId="39" borderId="30" xfId="46" applyNumberFormat="1" applyFill="1" applyBorder="1" applyAlignment="1">
      <alignment horizontal="center" vertical="center"/>
    </xf>
    <xf numFmtId="175" fontId="0" fillId="36" borderId="138" xfId="46" applyNumberFormat="1" applyFont="1" applyFill="1" applyBorder="1" applyAlignment="1">
      <alignment/>
    </xf>
    <xf numFmtId="3" fontId="0" fillId="0" borderId="139" xfId="0" applyNumberFormat="1" applyBorder="1" applyAlignment="1">
      <alignment horizontal="center"/>
    </xf>
    <xf numFmtId="3" fontId="2" fillId="0" borderId="137" xfId="0" applyNumberFormat="1" applyFont="1" applyBorder="1" applyAlignment="1">
      <alignment horizontal="center"/>
    </xf>
    <xf numFmtId="0" fontId="2" fillId="0" borderId="137" xfId="0" applyFont="1" applyBorder="1" applyAlignment="1">
      <alignment/>
    </xf>
    <xf numFmtId="175" fontId="2" fillId="36" borderId="137" xfId="46" applyNumberFormat="1" applyFont="1" applyFill="1" applyBorder="1" applyAlignment="1">
      <alignment/>
    </xf>
    <xf numFmtId="175" fontId="0" fillId="36" borderId="53" xfId="46" applyNumberFormat="1" applyFont="1" applyFill="1" applyBorder="1" applyAlignment="1">
      <alignment/>
    </xf>
    <xf numFmtId="3" fontId="2" fillId="42" borderId="61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39" borderId="62" xfId="0" applyNumberFormat="1" applyFont="1" applyFill="1" applyBorder="1" applyAlignment="1">
      <alignment/>
    </xf>
    <xf numFmtId="3" fontId="30" fillId="0" borderId="53" xfId="0" applyNumberFormat="1" applyFont="1" applyBorder="1" applyAlignment="1">
      <alignment horizontal="left" wrapText="1"/>
    </xf>
    <xf numFmtId="3" fontId="2" fillId="33" borderId="49" xfId="0" applyNumberFormat="1" applyFont="1" applyFill="1" applyBorder="1" applyAlignment="1">
      <alignment horizontal="center" vertical="center"/>
    </xf>
    <xf numFmtId="175" fontId="2" fillId="33" borderId="49" xfId="46" applyNumberFormat="1" applyFont="1" applyFill="1" applyBorder="1" applyAlignment="1">
      <alignment horizontal="center" vertical="center"/>
    </xf>
    <xf numFmtId="175" fontId="0" fillId="0" borderId="138" xfId="46" applyNumberFormat="1" applyBorder="1" applyAlignment="1">
      <alignment horizontal="center"/>
    </xf>
    <xf numFmtId="175" fontId="0" fillId="0" borderId="53" xfId="46" applyNumberFormat="1" applyBorder="1" applyAlignment="1">
      <alignment horizontal="center"/>
    </xf>
    <xf numFmtId="0" fontId="2" fillId="0" borderId="53" xfId="0" applyFont="1" applyBorder="1" applyAlignment="1">
      <alignment/>
    </xf>
    <xf numFmtId="175" fontId="0" fillId="0" borderId="53" xfId="46" applyNumberFormat="1" applyBorder="1" applyAlignment="1">
      <alignment horizontal="center" vertical="center"/>
    </xf>
    <xf numFmtId="175" fontId="2" fillId="0" borderId="53" xfId="46" applyNumberFormat="1" applyFont="1" applyBorder="1" applyAlignment="1">
      <alignment horizontal="center" vertical="center"/>
    </xf>
    <xf numFmtId="175" fontId="0" fillId="0" borderId="18" xfId="46" applyNumberFormat="1" applyFont="1" applyBorder="1" applyAlignment="1">
      <alignment horizontal="center"/>
    </xf>
    <xf numFmtId="175" fontId="2" fillId="0" borderId="49" xfId="46" applyNumberFormat="1" applyFont="1" applyBorder="1" applyAlignment="1">
      <alignment/>
    </xf>
    <xf numFmtId="175" fontId="2" fillId="0" borderId="72" xfId="46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2" fillId="40" borderId="53" xfId="0" applyNumberFormat="1" applyFont="1" applyFill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39" borderId="17" xfId="0" applyNumberFormat="1" applyFont="1" applyFill="1" applyBorder="1" applyAlignment="1">
      <alignment horizontal="center"/>
    </xf>
    <xf numFmtId="3" fontId="2" fillId="33" borderId="140" xfId="0" applyNumberFormat="1" applyFont="1" applyFill="1" applyBorder="1" applyAlignment="1">
      <alignment horizontal="center"/>
    </xf>
    <xf numFmtId="3" fontId="2" fillId="40" borderId="140" xfId="0" applyNumberFormat="1" applyFont="1" applyFill="1" applyBorder="1" applyAlignment="1">
      <alignment horizontal="center"/>
    </xf>
    <xf numFmtId="3" fontId="0" fillId="0" borderId="141" xfId="0" applyNumberFormat="1" applyBorder="1" applyAlignment="1">
      <alignment horizontal="center"/>
    </xf>
    <xf numFmtId="3" fontId="2" fillId="37" borderId="140" xfId="0" applyNumberFormat="1" applyFont="1" applyFill="1" applyBorder="1" applyAlignment="1">
      <alignment horizontal="center" vertical="center"/>
    </xf>
    <xf numFmtId="3" fontId="0" fillId="0" borderId="65" xfId="0" applyNumberFormat="1" applyBorder="1" applyAlignment="1">
      <alignment horizontal="center"/>
    </xf>
    <xf numFmtId="3" fontId="2" fillId="37" borderId="73" xfId="0" applyNumberFormat="1" applyFont="1" applyFill="1" applyBorder="1" applyAlignment="1">
      <alignment horizontal="center"/>
    </xf>
    <xf numFmtId="3" fontId="0" fillId="0" borderId="65" xfId="0" applyNumberFormat="1" applyBorder="1" applyAlignment="1">
      <alignment/>
    </xf>
    <xf numFmtId="3" fontId="0" fillId="0" borderId="142" xfId="0" applyNumberFormat="1" applyBorder="1" applyAlignment="1">
      <alignment/>
    </xf>
    <xf numFmtId="3" fontId="2" fillId="40" borderId="143" xfId="0" applyNumberFormat="1" applyFont="1" applyFill="1" applyBorder="1" applyAlignment="1">
      <alignment/>
    </xf>
    <xf numFmtId="3" fontId="0" fillId="0" borderId="67" xfId="0" applyNumberFormat="1" applyBorder="1" applyAlignment="1">
      <alignment/>
    </xf>
    <xf numFmtId="3" fontId="30" fillId="0" borderId="65" xfId="0" applyNumberFormat="1" applyFont="1" applyBorder="1" applyAlignment="1">
      <alignment/>
    </xf>
    <xf numFmtId="3" fontId="30" fillId="0" borderId="142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2" fillId="40" borderId="65" xfId="0" applyNumberFormat="1" applyFont="1" applyFill="1" applyBorder="1" applyAlignment="1">
      <alignment/>
    </xf>
    <xf numFmtId="3" fontId="5" fillId="0" borderId="65" xfId="0" applyNumberFormat="1" applyFont="1" applyBorder="1" applyAlignment="1">
      <alignment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53" xfId="0" applyNumberFormat="1" applyFont="1" applyFill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0" fillId="0" borderId="144" xfId="0" applyNumberFormat="1" applyBorder="1" applyAlignment="1">
      <alignment horizontal="center"/>
    </xf>
    <xf numFmtId="3" fontId="29" fillId="0" borderId="76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3" fontId="30" fillId="0" borderId="76" xfId="0" applyNumberFormat="1" applyFont="1" applyBorder="1" applyAlignment="1">
      <alignment horizontal="center"/>
    </xf>
    <xf numFmtId="176" fontId="11" fillId="0" borderId="0" xfId="61" applyFont="1" applyAlignment="1">
      <alignment horizontal="center" vertical="center" wrapText="1"/>
    </xf>
    <xf numFmtId="3" fontId="11" fillId="39" borderId="0" xfId="0" applyNumberFormat="1" applyFont="1" applyFill="1" applyAlignment="1">
      <alignment/>
    </xf>
    <xf numFmtId="3" fontId="0" fillId="39" borderId="0" xfId="0" applyNumberFormat="1" applyFill="1" applyAlignment="1">
      <alignment/>
    </xf>
    <xf numFmtId="3" fontId="3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 horizontal="center"/>
    </xf>
    <xf numFmtId="0" fontId="5" fillId="39" borderId="0" xfId="0" applyFont="1" applyFill="1" applyAlignment="1">
      <alignment vertical="center" wrapText="1"/>
    </xf>
    <xf numFmtId="0" fontId="2" fillId="39" borderId="12" xfId="0" applyFont="1" applyFill="1" applyBorder="1" applyAlignment="1">
      <alignment/>
    </xf>
    <xf numFmtId="175" fontId="2" fillId="39" borderId="12" xfId="46" applyNumberFormat="1" applyFont="1" applyFill="1" applyBorder="1" applyAlignment="1">
      <alignment/>
    </xf>
    <xf numFmtId="175" fontId="2" fillId="36" borderId="79" xfId="46" applyNumberFormat="1" applyFont="1" applyFill="1" applyBorder="1" applyAlignment="1">
      <alignment/>
    </xf>
    <xf numFmtId="175" fontId="2" fillId="33" borderId="11" xfId="46" applyNumberFormat="1" applyFont="1" applyFill="1" applyBorder="1" applyAlignment="1">
      <alignment horizontal="center"/>
    </xf>
    <xf numFmtId="175" fontId="2" fillId="36" borderId="145" xfId="46" applyNumberFormat="1" applyFont="1" applyFill="1" applyBorder="1" applyAlignment="1">
      <alignment/>
    </xf>
    <xf numFmtId="3" fontId="8" fillId="0" borderId="44" xfId="0" applyNumberFormat="1" applyFont="1" applyBorder="1" applyAlignment="1">
      <alignment horizontal="left"/>
    </xf>
    <xf numFmtId="3" fontId="0" fillId="0" borderId="62" xfId="0" applyNumberFormat="1" applyBorder="1" applyAlignment="1">
      <alignment horizontal="center"/>
    </xf>
    <xf numFmtId="3" fontId="84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33" borderId="53" xfId="0" applyFont="1" applyFill="1" applyBorder="1" applyAlignment="1">
      <alignment horizontal="left" vertical="center" wrapText="1"/>
    </xf>
    <xf numFmtId="0" fontId="88" fillId="33" borderId="53" xfId="0" applyFont="1" applyFill="1" applyBorder="1" applyAlignment="1">
      <alignment/>
    </xf>
    <xf numFmtId="0" fontId="85" fillId="33" borderId="53" xfId="0" applyFont="1" applyFill="1" applyBorder="1" applyAlignment="1">
      <alignment/>
    </xf>
    <xf numFmtId="0" fontId="89" fillId="44" borderId="53" xfId="0" applyFont="1" applyFill="1" applyBorder="1" applyAlignment="1">
      <alignment horizontal="left" vertical="center" wrapText="1"/>
    </xf>
    <xf numFmtId="3" fontId="85" fillId="0" borderId="53" xfId="0" applyNumberFormat="1" applyFont="1" applyBorder="1" applyAlignment="1">
      <alignment/>
    </xf>
    <xf numFmtId="175" fontId="85" fillId="0" borderId="53" xfId="46" applyNumberFormat="1" applyFont="1" applyBorder="1" applyAlignment="1">
      <alignment/>
    </xf>
    <xf numFmtId="3" fontId="85" fillId="47" borderId="53" xfId="0" applyNumberFormat="1" applyFont="1" applyFill="1" applyBorder="1" applyAlignment="1">
      <alignment/>
    </xf>
    <xf numFmtId="3" fontId="85" fillId="0" borderId="53" xfId="0" applyNumberFormat="1" applyFont="1" applyBorder="1" applyAlignment="1">
      <alignment/>
    </xf>
    <xf numFmtId="3" fontId="89" fillId="0" borderId="53" xfId="0" applyNumberFormat="1" applyFont="1" applyBorder="1" applyAlignment="1">
      <alignment/>
    </xf>
    <xf numFmtId="0" fontId="85" fillId="0" borderId="53" xfId="0" applyFont="1" applyBorder="1" applyAlignment="1">
      <alignment/>
    </xf>
    <xf numFmtId="175" fontId="85" fillId="0" borderId="53" xfId="46" applyNumberFormat="1" applyFont="1" applyBorder="1" applyAlignment="1">
      <alignment/>
    </xf>
    <xf numFmtId="0" fontId="87" fillId="44" borderId="53" xfId="0" applyFont="1" applyFill="1" applyBorder="1" applyAlignment="1">
      <alignment horizontal="left" vertical="center" wrapText="1"/>
    </xf>
    <xf numFmtId="3" fontId="86" fillId="44" borderId="53" xfId="0" applyNumberFormat="1" applyFont="1" applyFill="1" applyBorder="1" applyAlignment="1">
      <alignment/>
    </xf>
    <xf numFmtId="0" fontId="86" fillId="33" borderId="53" xfId="0" applyFont="1" applyFill="1" applyBorder="1" applyAlignment="1">
      <alignment/>
    </xf>
    <xf numFmtId="3" fontId="85" fillId="36" borderId="53" xfId="0" applyNumberFormat="1" applyFont="1" applyFill="1" applyBorder="1" applyAlignment="1">
      <alignment/>
    </xf>
    <xf numFmtId="3" fontId="86" fillId="0" borderId="53" xfId="0" applyNumberFormat="1" applyFont="1" applyBorder="1" applyAlignment="1">
      <alignment/>
    </xf>
    <xf numFmtId="3" fontId="86" fillId="33" borderId="53" xfId="0" applyNumberFormat="1" applyFont="1" applyFill="1" applyBorder="1" applyAlignment="1">
      <alignment/>
    </xf>
    <xf numFmtId="3" fontId="89" fillId="0" borderId="0" xfId="0" applyNumberFormat="1" applyFont="1" applyAlignment="1">
      <alignment/>
    </xf>
    <xf numFmtId="3" fontId="8" fillId="0" borderId="146" xfId="0" applyNumberFormat="1" applyFont="1" applyBorder="1" applyAlignment="1">
      <alignment/>
    </xf>
    <xf numFmtId="3" fontId="8" fillId="0" borderId="147" xfId="0" applyNumberFormat="1" applyFont="1" applyBorder="1" applyAlignment="1">
      <alignment/>
    </xf>
    <xf numFmtId="3" fontId="8" fillId="0" borderId="26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left"/>
    </xf>
    <xf numFmtId="3" fontId="24" fillId="33" borderId="14" xfId="0" applyNumberFormat="1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175" fontId="2" fillId="0" borderId="76" xfId="46" applyNumberFormat="1" applyFont="1" applyBorder="1" applyAlignment="1">
      <alignment/>
    </xf>
    <xf numFmtId="175" fontId="0" fillId="36" borderId="76" xfId="46" applyNumberFormat="1" applyFont="1" applyFill="1" applyBorder="1" applyAlignment="1">
      <alignment/>
    </xf>
    <xf numFmtId="175" fontId="0" fillId="0" borderId="77" xfId="46" applyNumberFormat="1" applyFont="1" applyBorder="1" applyAlignment="1">
      <alignment/>
    </xf>
    <xf numFmtId="175" fontId="0" fillId="0" borderId="87" xfId="46" applyNumberFormat="1" applyFont="1" applyBorder="1" applyAlignment="1">
      <alignment/>
    </xf>
    <xf numFmtId="175" fontId="2" fillId="0" borderId="47" xfId="46" applyNumberFormat="1" applyFont="1" applyBorder="1" applyAlignment="1">
      <alignment/>
    </xf>
    <xf numFmtId="175" fontId="0" fillId="36" borderId="86" xfId="46" applyNumberFormat="1" applyFont="1" applyFill="1" applyBorder="1" applyAlignment="1">
      <alignment/>
    </xf>
    <xf numFmtId="175" fontId="0" fillId="0" borderId="88" xfId="46" applyNumberFormat="1" applyFont="1" applyBorder="1" applyAlignment="1">
      <alignment/>
    </xf>
    <xf numFmtId="175" fontId="8" fillId="0" borderId="86" xfId="46" applyNumberFormat="1" applyFont="1" applyBorder="1" applyAlignment="1">
      <alignment/>
    </xf>
    <xf numFmtId="175" fontId="8" fillId="0" borderId="88" xfId="46" applyNumberFormat="1" applyFont="1" applyBorder="1" applyAlignment="1">
      <alignment/>
    </xf>
    <xf numFmtId="175" fontId="8" fillId="0" borderId="87" xfId="46" applyNumberFormat="1" applyFont="1" applyBorder="1" applyAlignment="1">
      <alignment/>
    </xf>
    <xf numFmtId="175" fontId="8" fillId="0" borderId="77" xfId="46" applyNumberFormat="1" applyFont="1" applyBorder="1" applyAlignment="1">
      <alignment/>
    </xf>
    <xf numFmtId="175" fontId="0" fillId="0" borderId="86" xfId="46" applyNumberFormat="1" applyFont="1" applyBorder="1" applyAlignment="1">
      <alignment/>
    </xf>
    <xf numFmtId="175" fontId="2" fillId="0" borderId="88" xfId="46" applyNumberFormat="1" applyFont="1" applyBorder="1" applyAlignment="1">
      <alignment/>
    </xf>
    <xf numFmtId="0" fontId="2" fillId="0" borderId="148" xfId="0" applyFont="1" applyBorder="1" applyAlignment="1">
      <alignment/>
    </xf>
    <xf numFmtId="0" fontId="0" fillId="0" borderId="148" xfId="0" applyBorder="1" applyAlignment="1">
      <alignment/>
    </xf>
    <xf numFmtId="0" fontId="0" fillId="0" borderId="133" xfId="0" applyBorder="1" applyAlignment="1">
      <alignment/>
    </xf>
    <xf numFmtId="0" fontId="0" fillId="0" borderId="149" xfId="0" applyBorder="1" applyAlignment="1">
      <alignment/>
    </xf>
    <xf numFmtId="0" fontId="0" fillId="0" borderId="131" xfId="0" applyBorder="1" applyAlignment="1">
      <alignment/>
    </xf>
    <xf numFmtId="0" fontId="0" fillId="0" borderId="131" xfId="0" applyBorder="1" applyAlignment="1">
      <alignment horizontal="left"/>
    </xf>
    <xf numFmtId="0" fontId="0" fillId="0" borderId="132" xfId="0" applyBorder="1" applyAlignment="1">
      <alignment horizontal="left"/>
    </xf>
    <xf numFmtId="175" fontId="8" fillId="39" borderId="12" xfId="46" applyNumberFormat="1" applyFont="1" applyFill="1" applyBorder="1" applyAlignment="1">
      <alignment/>
    </xf>
    <xf numFmtId="175" fontId="8" fillId="47" borderId="12" xfId="46" applyNumberFormat="1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53" xfId="0" applyFont="1" applyBorder="1" applyAlignment="1">
      <alignment horizontal="center" vertical="center" wrapText="1"/>
    </xf>
    <xf numFmtId="0" fontId="0" fillId="39" borderId="53" xfId="0" applyFont="1" applyFill="1" applyBorder="1" applyAlignment="1">
      <alignment horizontal="left" vertical="top" wrapText="1"/>
    </xf>
    <xf numFmtId="0" fontId="2" fillId="39" borderId="53" xfId="0" applyFont="1" applyFill="1" applyBorder="1" applyAlignment="1">
      <alignment horizontal="left" vertical="top" wrapText="1"/>
    </xf>
    <xf numFmtId="0" fontId="8" fillId="0" borderId="53" xfId="0" applyFont="1" applyBorder="1" applyAlignment="1">
      <alignment/>
    </xf>
    <xf numFmtId="0" fontId="2" fillId="0" borderId="61" xfId="0" applyFont="1" applyBorder="1" applyAlignment="1">
      <alignment horizontal="center" vertical="center" wrapText="1"/>
    </xf>
    <xf numFmtId="175" fontId="0" fillId="0" borderId="62" xfId="46" applyNumberFormat="1" applyBorder="1" applyAlignment="1">
      <alignment/>
    </xf>
    <xf numFmtId="0" fontId="2" fillId="0" borderId="63" xfId="0" applyFont="1" applyBorder="1" applyAlignment="1">
      <alignment wrapText="1"/>
    </xf>
    <xf numFmtId="0" fontId="2" fillId="39" borderId="63" xfId="0" applyFont="1" applyFill="1" applyBorder="1" applyAlignment="1">
      <alignment horizontal="left" vertical="top" wrapText="1"/>
    </xf>
    <xf numFmtId="0" fontId="0" fillId="39" borderId="61" xfId="0" applyFont="1" applyFill="1" applyBorder="1" applyAlignment="1">
      <alignment horizontal="left" vertical="top" wrapText="1"/>
    </xf>
    <xf numFmtId="0" fontId="5" fillId="39" borderId="53" xfId="0" applyFont="1" applyFill="1" applyBorder="1" applyAlignment="1">
      <alignment horizontal="left" vertical="top" wrapText="1"/>
    </xf>
    <xf numFmtId="0" fontId="0" fillId="0" borderId="108" xfId="0" applyBorder="1" applyAlignment="1">
      <alignment/>
    </xf>
    <xf numFmtId="0" fontId="5" fillId="39" borderId="63" xfId="0" applyFont="1" applyFill="1" applyBorder="1" applyAlignment="1">
      <alignment horizontal="left" vertical="top" wrapText="1"/>
    </xf>
    <xf numFmtId="0" fontId="8" fillId="0" borderId="61" xfId="0" applyFont="1" applyBorder="1" applyAlignment="1">
      <alignment/>
    </xf>
    <xf numFmtId="175" fontId="8" fillId="0" borderId="53" xfId="46" applyNumberFormat="1" applyFont="1" applyBorder="1" applyAlignment="1">
      <alignment horizontal="center" vertical="center"/>
    </xf>
    <xf numFmtId="175" fontId="8" fillId="0" borderId="61" xfId="46" applyNumberFormat="1" applyFont="1" applyBorder="1" applyAlignment="1">
      <alignment horizontal="center" vertical="center"/>
    </xf>
    <xf numFmtId="175" fontId="2" fillId="0" borderId="63" xfId="46" applyNumberFormat="1" applyFont="1" applyBorder="1" applyAlignment="1">
      <alignment horizontal="center" vertical="center"/>
    </xf>
    <xf numFmtId="175" fontId="2" fillId="0" borderId="91" xfId="46" applyNumberFormat="1" applyFont="1" applyBorder="1" applyAlignment="1">
      <alignment horizontal="center" vertical="center"/>
    </xf>
    <xf numFmtId="175" fontId="0" fillId="0" borderId="150" xfId="46" applyNumberFormat="1" applyBorder="1" applyAlignment="1">
      <alignment horizontal="center" vertical="center"/>
    </xf>
    <xf numFmtId="175" fontId="8" fillId="39" borderId="62" xfId="46" applyNumberFormat="1" applyFont="1" applyFill="1" applyBorder="1" applyAlignment="1">
      <alignment horizontal="center" vertical="center" wrapText="1"/>
    </xf>
    <xf numFmtId="175" fontId="8" fillId="0" borderId="62" xfId="46" applyNumberFormat="1" applyFont="1" applyBorder="1" applyAlignment="1">
      <alignment horizontal="center" vertical="center"/>
    </xf>
    <xf numFmtId="175" fontId="8" fillId="39" borderId="53" xfId="46" applyNumberFormat="1" applyFont="1" applyFill="1" applyBorder="1" applyAlignment="1">
      <alignment horizontal="center" vertical="center" wrapText="1"/>
    </xf>
    <xf numFmtId="175" fontId="8" fillId="39" borderId="61" xfId="46" applyNumberFormat="1" applyFont="1" applyFill="1" applyBorder="1" applyAlignment="1">
      <alignment horizontal="center" vertical="center" wrapText="1"/>
    </xf>
    <xf numFmtId="175" fontId="5" fillId="0" borderId="63" xfId="46" applyNumberFormat="1" applyFont="1" applyBorder="1" applyAlignment="1">
      <alignment horizontal="center" vertical="center"/>
    </xf>
    <xf numFmtId="175" fontId="5" fillId="0" borderId="91" xfId="46" applyNumberFormat="1" applyFont="1" applyBorder="1" applyAlignment="1">
      <alignment horizontal="center" vertical="center"/>
    </xf>
    <xf numFmtId="175" fontId="0" fillId="0" borderId="62" xfId="46" applyNumberFormat="1" applyBorder="1" applyAlignment="1">
      <alignment horizontal="center" vertical="center"/>
    </xf>
    <xf numFmtId="175" fontId="0" fillId="0" borderId="61" xfId="46" applyNumberFormat="1" applyBorder="1" applyAlignment="1">
      <alignment horizontal="center" vertical="center"/>
    </xf>
    <xf numFmtId="175" fontId="0" fillId="0" borderId="63" xfId="46" applyNumberFormat="1" applyBorder="1" applyAlignment="1">
      <alignment horizontal="center" vertical="center"/>
    </xf>
    <xf numFmtId="175" fontId="5" fillId="48" borderId="63" xfId="46" applyNumberFormat="1" applyFont="1" applyFill="1" applyBorder="1" applyAlignment="1">
      <alignment horizontal="center" vertical="center"/>
    </xf>
    <xf numFmtId="175" fontId="5" fillId="48" borderId="91" xfId="46" applyNumberFormat="1" applyFont="1" applyFill="1" applyBorder="1" applyAlignment="1">
      <alignment horizontal="center" vertical="center"/>
    </xf>
    <xf numFmtId="0" fontId="2" fillId="0" borderId="108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2" fillId="0" borderId="151" xfId="0" applyFont="1" applyBorder="1" applyAlignment="1">
      <alignment horizontal="right"/>
    </xf>
    <xf numFmtId="175" fontId="2" fillId="0" borderId="152" xfId="46" applyNumberFormat="1" applyFont="1" applyBorder="1" applyAlignment="1">
      <alignment horizontal="center" vertical="center"/>
    </xf>
    <xf numFmtId="175" fontId="2" fillId="0" borderId="92" xfId="46" applyNumberFormat="1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175" fontId="2" fillId="0" borderId="53" xfId="0" applyNumberFormat="1" applyFont="1" applyBorder="1" applyAlignment="1">
      <alignment/>
    </xf>
    <xf numFmtId="0" fontId="5" fillId="48" borderId="108" xfId="0" applyFont="1" applyFill="1" applyBorder="1" applyAlignment="1">
      <alignment/>
    </xf>
    <xf numFmtId="0" fontId="5" fillId="48" borderId="63" xfId="0" applyFont="1" applyFill="1" applyBorder="1" applyAlignment="1">
      <alignment/>
    </xf>
    <xf numFmtId="175" fontId="5" fillId="48" borderId="63" xfId="0" applyNumberFormat="1" applyFont="1" applyFill="1" applyBorder="1" applyAlignment="1">
      <alignment/>
    </xf>
    <xf numFmtId="175" fontId="5" fillId="48" borderId="91" xfId="0" applyNumberFormat="1" applyFont="1" applyFill="1" applyBorder="1" applyAlignment="1">
      <alignment/>
    </xf>
    <xf numFmtId="175" fontId="8" fillId="0" borderId="150" xfId="46" applyNumberFormat="1" applyFont="1" applyBorder="1" applyAlignment="1">
      <alignment horizontal="center" vertical="center"/>
    </xf>
    <xf numFmtId="175" fontId="0" fillId="0" borderId="53" xfId="46" applyNumberFormat="1" applyBorder="1" applyAlignment="1">
      <alignment horizontal="right"/>
    </xf>
    <xf numFmtId="175" fontId="0" fillId="0" borderId="61" xfId="46" applyNumberFormat="1" applyBorder="1" applyAlignment="1">
      <alignment horizontal="right"/>
    </xf>
    <xf numFmtId="0" fontId="1" fillId="39" borderId="53" xfId="0" applyFont="1" applyFill="1" applyBorder="1" applyAlignment="1">
      <alignment horizontal="left" vertical="top" wrapText="1"/>
    </xf>
    <xf numFmtId="0" fontId="30" fillId="39" borderId="53" xfId="0" applyFont="1" applyFill="1" applyBorder="1" applyAlignment="1">
      <alignment horizontal="left" vertical="top" wrapText="1"/>
    </xf>
    <xf numFmtId="0" fontId="2" fillId="0" borderId="104" xfId="0" applyFont="1" applyBorder="1" applyAlignment="1">
      <alignment horizontal="center" vertical="center" wrapText="1"/>
    </xf>
    <xf numFmtId="175" fontId="0" fillId="0" borderId="53" xfId="46" applyNumberFormat="1" applyBorder="1" applyAlignment="1">
      <alignment horizontal="center" vertical="center" wrapText="1"/>
    </xf>
    <xf numFmtId="175" fontId="1" fillId="0" borderId="53" xfId="46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5" fontId="5" fillId="0" borderId="53" xfId="46" applyNumberFormat="1" applyFont="1" applyBorder="1" applyAlignment="1">
      <alignment horizontal="center" vertical="center" wrapText="1"/>
    </xf>
    <xf numFmtId="175" fontId="5" fillId="0" borderId="53" xfId="0" applyNumberFormat="1" applyFont="1" applyBorder="1" applyAlignment="1">
      <alignment horizontal="center" vertical="center" wrapText="1"/>
    </xf>
    <xf numFmtId="0" fontId="0" fillId="39" borderId="61" xfId="0" applyFill="1" applyBorder="1" applyAlignment="1">
      <alignment horizontal="left" vertical="top" wrapText="1"/>
    </xf>
    <xf numFmtId="0" fontId="5" fillId="48" borderId="153" xfId="0" applyFont="1" applyFill="1" applyBorder="1" applyAlignment="1">
      <alignment/>
    </xf>
    <xf numFmtId="0" fontId="5" fillId="48" borderId="150" xfId="0" applyFont="1" applyFill="1" applyBorder="1" applyAlignment="1">
      <alignment/>
    </xf>
    <xf numFmtId="175" fontId="5" fillId="48" borderId="15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9" borderId="61" xfId="0" applyFont="1" applyFill="1" applyBorder="1" applyAlignment="1">
      <alignment horizontal="left" vertical="top" wrapText="1"/>
    </xf>
    <xf numFmtId="0" fontId="0" fillId="0" borderId="111" xfId="0" applyBorder="1" applyAlignment="1">
      <alignment horizontal="center"/>
    </xf>
    <xf numFmtId="3" fontId="0" fillId="36" borderId="18" xfId="0" applyNumberFormat="1" applyFill="1" applyBorder="1" applyAlignment="1">
      <alignment horizontal="center"/>
    </xf>
    <xf numFmtId="3" fontId="0" fillId="36" borderId="18" xfId="0" applyNumberFormat="1" applyFill="1" applyBorder="1" applyAlignment="1">
      <alignment/>
    </xf>
    <xf numFmtId="177" fontId="0" fillId="36" borderId="18" xfId="0" applyNumberFormat="1" applyFill="1" applyBorder="1" applyAlignment="1">
      <alignment/>
    </xf>
    <xf numFmtId="3" fontId="0" fillId="36" borderId="53" xfId="0" applyNumberFormat="1" applyFill="1" applyBorder="1" applyAlignment="1">
      <alignment horizontal="center"/>
    </xf>
    <xf numFmtId="177" fontId="0" fillId="36" borderId="53" xfId="0" applyNumberFormat="1" applyFill="1" applyBorder="1" applyAlignment="1">
      <alignment/>
    </xf>
    <xf numFmtId="3" fontId="8" fillId="36" borderId="53" xfId="0" applyNumberFormat="1" applyFont="1" applyFill="1" applyBorder="1" applyAlignment="1">
      <alignment horizontal="right"/>
    </xf>
    <xf numFmtId="0" fontId="8" fillId="36" borderId="53" xfId="0" applyFont="1" applyFill="1" applyBorder="1" applyAlignment="1">
      <alignment horizontal="right"/>
    </xf>
    <xf numFmtId="0" fontId="8" fillId="36" borderId="0" xfId="0" applyFont="1" applyFill="1" applyAlignment="1">
      <alignment horizontal="right"/>
    </xf>
    <xf numFmtId="3" fontId="5" fillId="37" borderId="130" xfId="0" applyNumberFormat="1" applyFont="1" applyFill="1" applyBorder="1" applyAlignment="1">
      <alignment horizontal="center" wrapText="1"/>
    </xf>
    <xf numFmtId="3" fontId="5" fillId="37" borderId="60" xfId="0" applyNumberFormat="1" applyFont="1" applyFill="1" applyBorder="1" applyAlignment="1">
      <alignment horizontal="center"/>
    </xf>
    <xf numFmtId="3" fontId="5" fillId="37" borderId="60" xfId="0" applyNumberFormat="1" applyFont="1" applyFill="1" applyBorder="1" applyAlignment="1">
      <alignment wrapText="1"/>
    </xf>
    <xf numFmtId="177" fontId="5" fillId="37" borderId="60" xfId="0" applyNumberFormat="1" applyFont="1" applyFill="1" applyBorder="1" applyAlignment="1">
      <alignment/>
    </xf>
    <xf numFmtId="175" fontId="5" fillId="37" borderId="56" xfId="46" applyNumberFormat="1" applyFont="1" applyFill="1" applyBorder="1" applyAlignment="1">
      <alignment/>
    </xf>
    <xf numFmtId="3" fontId="0" fillId="0" borderId="135" xfId="0" applyNumberFormat="1" applyBorder="1" applyAlignment="1">
      <alignment horizontal="center"/>
    </xf>
    <xf numFmtId="3" fontId="0" fillId="36" borderId="136" xfId="0" applyNumberFormat="1" applyFill="1" applyBorder="1" applyAlignment="1">
      <alignment horizontal="center"/>
    </xf>
    <xf numFmtId="3" fontId="0" fillId="36" borderId="136" xfId="0" applyNumberFormat="1" applyFill="1" applyBorder="1" applyAlignment="1">
      <alignment/>
    </xf>
    <xf numFmtId="177" fontId="0" fillId="36" borderId="136" xfId="0" applyNumberFormat="1" applyFill="1" applyBorder="1" applyAlignment="1">
      <alignment/>
    </xf>
    <xf numFmtId="175" fontId="0" fillId="36" borderId="127" xfId="46" applyNumberFormat="1" applyFill="1" applyBorder="1" applyAlignment="1">
      <alignment/>
    </xf>
    <xf numFmtId="175" fontId="0" fillId="36" borderId="84" xfId="46" applyNumberFormat="1" applyFill="1" applyBorder="1" applyAlignment="1">
      <alignment/>
    </xf>
    <xf numFmtId="175" fontId="0" fillId="36" borderId="84" xfId="46" applyNumberFormat="1" applyFill="1" applyBorder="1" applyAlignment="1">
      <alignment horizontal="right"/>
    </xf>
    <xf numFmtId="0" fontId="8" fillId="36" borderId="101" xfId="0" applyFont="1" applyFill="1" applyBorder="1" applyAlignment="1">
      <alignment horizontal="right"/>
    </xf>
    <xf numFmtId="175" fontId="8" fillId="36" borderId="84" xfId="46" applyNumberFormat="1" applyFont="1" applyFill="1" applyBorder="1" applyAlignment="1">
      <alignment horizontal="right"/>
    </xf>
    <xf numFmtId="0" fontId="8" fillId="0" borderId="124" xfId="0" applyFont="1" applyBorder="1" applyAlignment="1">
      <alignment horizontal="right"/>
    </xf>
    <xf numFmtId="0" fontId="8" fillId="0" borderId="125" xfId="0" applyFont="1" applyBorder="1" applyAlignment="1">
      <alignment horizontal="right"/>
    </xf>
    <xf numFmtId="175" fontId="8" fillId="0" borderId="128" xfId="46" applyNumberFormat="1" applyFont="1" applyBorder="1" applyAlignment="1">
      <alignment horizontal="right"/>
    </xf>
    <xf numFmtId="175" fontId="0" fillId="36" borderId="84" xfId="46" applyNumberFormat="1" applyFill="1" applyBorder="1" applyAlignment="1">
      <alignment horizontal="center" vertical="center"/>
    </xf>
    <xf numFmtId="3" fontId="0" fillId="36" borderId="74" xfId="0" applyNumberFormat="1" applyFill="1" applyBorder="1" applyAlignment="1">
      <alignment/>
    </xf>
    <xf numFmtId="175" fontId="0" fillId="36" borderId="154" xfId="46" applyNumberFormat="1" applyFill="1" applyBorder="1" applyAlignment="1">
      <alignment horizontal="center" vertical="center"/>
    </xf>
    <xf numFmtId="175" fontId="8" fillId="36" borderId="84" xfId="46" applyNumberFormat="1" applyFont="1" applyFill="1" applyBorder="1" applyAlignment="1">
      <alignment horizontal="right" vertical="center"/>
    </xf>
    <xf numFmtId="175" fontId="8" fillId="0" borderId="128" xfId="46" applyNumberFormat="1" applyFont="1" applyBorder="1" applyAlignment="1">
      <alignment horizontal="right" vertical="center"/>
    </xf>
    <xf numFmtId="3" fontId="0" fillId="36" borderId="18" xfId="0" applyNumberFormat="1" applyFill="1" applyBorder="1" applyAlignment="1">
      <alignment horizontal="left"/>
    </xf>
    <xf numFmtId="175" fontId="0" fillId="36" borderId="155" xfId="46" applyNumberFormat="1" applyFill="1" applyBorder="1" applyAlignment="1">
      <alignment horizontal="right" vertical="center"/>
    </xf>
    <xf numFmtId="3" fontId="0" fillId="36" borderId="53" xfId="0" applyNumberFormat="1" applyFill="1" applyBorder="1" applyAlignment="1">
      <alignment horizontal="left"/>
    </xf>
    <xf numFmtId="3" fontId="0" fillId="0" borderId="75" xfId="0" applyNumberFormat="1" applyBorder="1" applyAlignment="1">
      <alignment horizontal="center"/>
    </xf>
    <xf numFmtId="1" fontId="0" fillId="36" borderId="74" xfId="0" applyNumberFormat="1" applyFill="1" applyBorder="1" applyAlignment="1">
      <alignment horizontal="center"/>
    </xf>
    <xf numFmtId="177" fontId="2" fillId="36" borderId="74" xfId="0" applyNumberFormat="1" applyFont="1" applyFill="1" applyBorder="1" applyAlignment="1">
      <alignment/>
    </xf>
    <xf numFmtId="175" fontId="0" fillId="36" borderId="114" xfId="46" applyNumberFormat="1" applyFill="1" applyBorder="1" applyAlignment="1">
      <alignment horizontal="right" vertical="center"/>
    </xf>
    <xf numFmtId="175" fontId="0" fillId="36" borderId="84" xfId="46" applyNumberFormat="1" applyFill="1" applyBorder="1" applyAlignment="1">
      <alignment horizontal="right" vertical="center"/>
    </xf>
    <xf numFmtId="0" fontId="8" fillId="0" borderId="101" xfId="0" applyFont="1" applyBorder="1" applyAlignment="1">
      <alignment horizontal="right"/>
    </xf>
    <xf numFmtId="175" fontId="8" fillId="0" borderId="84" xfId="46" applyNumberFormat="1" applyFont="1" applyBorder="1" applyAlignment="1">
      <alignment horizontal="right" vertical="center"/>
    </xf>
    <xf numFmtId="3" fontId="26" fillId="33" borderId="37" xfId="0" applyNumberFormat="1" applyFont="1" applyFill="1" applyBorder="1" applyAlignment="1">
      <alignment horizontal="right"/>
    </xf>
    <xf numFmtId="3" fontId="26" fillId="33" borderId="12" xfId="0" applyNumberFormat="1" applyFont="1" applyFill="1" applyBorder="1" applyAlignment="1">
      <alignment horizontal="right"/>
    </xf>
    <xf numFmtId="3" fontId="0" fillId="0" borderId="64" xfId="0" applyNumberFormat="1" applyBorder="1" applyAlignment="1">
      <alignment horizontal="left"/>
    </xf>
    <xf numFmtId="3" fontId="0" fillId="0" borderId="65" xfId="0" applyNumberFormat="1" applyBorder="1" applyAlignment="1">
      <alignment horizontal="left"/>
    </xf>
    <xf numFmtId="175" fontId="2" fillId="0" borderId="95" xfId="46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175" fontId="6" fillId="0" borderId="100" xfId="46" applyNumberFormat="1" applyFont="1" applyBorder="1" applyAlignment="1">
      <alignment/>
    </xf>
    <xf numFmtId="3" fontId="30" fillId="0" borderId="64" xfId="0" applyNumberFormat="1" applyFont="1" applyBorder="1" applyAlignment="1">
      <alignment/>
    </xf>
    <xf numFmtId="3" fontId="0" fillId="0" borderId="156" xfId="0" applyNumberForma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175" fontId="2" fillId="0" borderId="88" xfId="46" applyNumberFormat="1" applyFont="1" applyBorder="1" applyAlignment="1">
      <alignment horizontal="right" vertical="center"/>
    </xf>
    <xf numFmtId="175" fontId="2" fillId="41" borderId="53" xfId="46" applyNumberFormat="1" applyFont="1" applyFill="1" applyBorder="1" applyAlignment="1">
      <alignment horizontal="center" vertical="center"/>
    </xf>
    <xf numFmtId="175" fontId="8" fillId="41" borderId="53" xfId="46" applyNumberFormat="1" applyFont="1" applyFill="1" applyBorder="1" applyAlignment="1">
      <alignment horizontal="center" vertical="center"/>
    </xf>
    <xf numFmtId="3" fontId="8" fillId="41" borderId="53" xfId="0" applyNumberFormat="1" applyFont="1" applyFill="1" applyBorder="1" applyAlignment="1">
      <alignment vertical="center" wrapText="1"/>
    </xf>
    <xf numFmtId="3" fontId="2" fillId="41" borderId="53" xfId="0" applyNumberFormat="1" applyFont="1" applyFill="1" applyBorder="1" applyAlignment="1">
      <alignment vertical="center" wrapText="1"/>
    </xf>
    <xf numFmtId="0" fontId="2" fillId="0" borderId="157" xfId="0" applyFont="1" applyBorder="1" applyAlignment="1">
      <alignment wrapText="1"/>
    </xf>
    <xf numFmtId="0" fontId="2" fillId="0" borderId="151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39" borderId="53" xfId="0" applyFill="1" applyBorder="1" applyAlignment="1">
      <alignment horizontal="left" vertical="top" wrapText="1"/>
    </xf>
    <xf numFmtId="3" fontId="2" fillId="33" borderId="108" xfId="0" applyNumberFormat="1" applyFont="1" applyFill="1" applyBorder="1" applyAlignment="1">
      <alignment horizontal="center"/>
    </xf>
    <xf numFmtId="3" fontId="2" fillId="33" borderId="72" xfId="0" applyNumberFormat="1" applyFont="1" applyFill="1" applyBorder="1" applyAlignment="1">
      <alignment/>
    </xf>
    <xf numFmtId="3" fontId="0" fillId="41" borderId="62" xfId="0" applyNumberFormat="1" applyFill="1" applyBorder="1" applyAlignment="1">
      <alignment horizontal="center"/>
    </xf>
    <xf numFmtId="3" fontId="0" fillId="41" borderId="62" xfId="0" applyNumberFormat="1" applyFill="1" applyBorder="1" applyAlignment="1">
      <alignment wrapText="1"/>
    </xf>
    <xf numFmtId="3" fontId="0" fillId="41" borderId="62" xfId="0" applyNumberFormat="1" applyFill="1" applyBorder="1" applyAlignment="1">
      <alignment/>
    </xf>
    <xf numFmtId="3" fontId="2" fillId="40" borderId="108" xfId="0" applyNumberFormat="1" applyFont="1" applyFill="1" applyBorder="1" applyAlignment="1">
      <alignment horizontal="center"/>
    </xf>
    <xf numFmtId="3" fontId="2" fillId="40" borderId="72" xfId="0" applyNumberFormat="1" applyFont="1" applyFill="1" applyBorder="1" applyAlignment="1">
      <alignment/>
    </xf>
    <xf numFmtId="3" fontId="0" fillId="0" borderId="158" xfId="0" applyNumberFormat="1" applyBorder="1" applyAlignment="1">
      <alignment horizontal="center"/>
    </xf>
    <xf numFmtId="3" fontId="0" fillId="0" borderId="159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175" fontId="0" fillId="41" borderId="14" xfId="46" applyNumberFormat="1" applyFill="1" applyBorder="1" applyAlignment="1">
      <alignment horizontal="center" vertical="center" wrapText="1"/>
    </xf>
    <xf numFmtId="3" fontId="2" fillId="42" borderId="53" xfId="0" applyNumberFormat="1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176" fontId="6" fillId="0" borderId="0" xfId="61" applyFont="1" applyAlignment="1">
      <alignment horizontal="right" vertical="center"/>
    </xf>
    <xf numFmtId="0" fontId="0" fillId="0" borderId="160" xfId="0" applyBorder="1" applyAlignment="1">
      <alignment horizontal="right"/>
    </xf>
    <xf numFmtId="3" fontId="0" fillId="0" borderId="160" xfId="0" applyNumberFormat="1" applyBorder="1" applyAlignment="1">
      <alignment horizontal="right"/>
    </xf>
    <xf numFmtId="175" fontId="0" fillId="0" borderId="160" xfId="46" applyNumberFormat="1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175" fontId="0" fillId="0" borderId="160" xfId="46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44" borderId="16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44" borderId="13" xfId="0" applyFill="1" applyBorder="1" applyAlignment="1">
      <alignment horizontal="left" vertical="center" wrapText="1"/>
    </xf>
    <xf numFmtId="0" fontId="2" fillId="44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75" fontId="5" fillId="38" borderId="161" xfId="46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5" fillId="38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/>
    </xf>
    <xf numFmtId="0" fontId="5" fillId="38" borderId="12" xfId="0" applyFont="1" applyFill="1" applyBorder="1" applyAlignment="1">
      <alignment wrapText="1"/>
    </xf>
    <xf numFmtId="175" fontId="5" fillId="38" borderId="12" xfId="46" applyNumberFormat="1" applyFont="1" applyFill="1" applyBorder="1" applyAlignment="1">
      <alignment/>
    </xf>
    <xf numFmtId="178" fontId="0" fillId="0" borderId="12" xfId="0" applyNumberFormat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175" fontId="0" fillId="36" borderId="0" xfId="46" applyNumberFormat="1" applyFill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0" fillId="0" borderId="12" xfId="0" applyBorder="1" applyAlignment="1">
      <alignment vertical="center"/>
    </xf>
    <xf numFmtId="175" fontId="0" fillId="0" borderId="12" xfId="46" applyNumberFormat="1" applyBorder="1" applyAlignment="1">
      <alignment vertical="center"/>
    </xf>
    <xf numFmtId="175" fontId="0" fillId="0" borderId="0" xfId="46" applyNumberFormat="1" applyAlignment="1">
      <alignment vertical="center"/>
    </xf>
    <xf numFmtId="0" fontId="5" fillId="38" borderId="12" xfId="0" applyFont="1" applyFill="1" applyBorder="1" applyAlignment="1">
      <alignment vertical="center"/>
    </xf>
    <xf numFmtId="175" fontId="0" fillId="38" borderId="12" xfId="46" applyNumberFormat="1" applyFill="1" applyBorder="1" applyAlignment="1">
      <alignment/>
    </xf>
    <xf numFmtId="175" fontId="2" fillId="0" borderId="12" xfId="46" applyNumberFormat="1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0" fillId="39" borderId="65" xfId="0" applyFont="1" applyFill="1" applyBorder="1" applyAlignment="1">
      <alignment horizontal="left" vertical="top" wrapText="1"/>
    </xf>
    <xf numFmtId="0" fontId="5" fillId="0" borderId="162" xfId="0" applyFont="1" applyBorder="1" applyAlignment="1">
      <alignment/>
    </xf>
    <xf numFmtId="0" fontId="2" fillId="39" borderId="65" xfId="0" applyFont="1" applyFill="1" applyBorder="1" applyAlignment="1">
      <alignment horizontal="left" vertical="top" wrapText="1"/>
    </xf>
    <xf numFmtId="0" fontId="2" fillId="0" borderId="163" xfId="0" applyFont="1" applyBorder="1" applyAlignment="1">
      <alignment horizontal="left" vertical="center" wrapText="1"/>
    </xf>
    <xf numFmtId="0" fontId="2" fillId="0" borderId="157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176" fontId="6" fillId="39" borderId="0" xfId="61" applyFont="1" applyFill="1" applyAlignment="1">
      <alignment vertical="center"/>
    </xf>
    <xf numFmtId="3" fontId="2" fillId="39" borderId="0" xfId="0" applyNumberFormat="1" applyFont="1" applyFill="1" applyAlignment="1">
      <alignment vertical="center"/>
    </xf>
    <xf numFmtId="3" fontId="15" fillId="39" borderId="0" xfId="0" applyNumberFormat="1" applyFont="1" applyFill="1" applyAlignment="1">
      <alignment vertical="center" wrapText="1"/>
    </xf>
    <xf numFmtId="0" fontId="2" fillId="39" borderId="76" xfId="0" applyFont="1" applyFill="1" applyBorder="1" applyAlignment="1">
      <alignment horizontal="center"/>
    </xf>
    <xf numFmtId="0" fontId="2" fillId="41" borderId="78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/>
    </xf>
    <xf numFmtId="0" fontId="8" fillId="39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2" fillId="41" borderId="82" xfId="0" applyFont="1" applyFill="1" applyBorder="1" applyAlignment="1">
      <alignment/>
    </xf>
    <xf numFmtId="0" fontId="2" fillId="42" borderId="119" xfId="0" applyFont="1" applyFill="1" applyBorder="1" applyAlignment="1">
      <alignment horizontal="center"/>
    </xf>
    <xf numFmtId="175" fontId="2" fillId="39" borderId="119" xfId="46" applyNumberFormat="1" applyFont="1" applyFill="1" applyBorder="1" applyAlignment="1">
      <alignment/>
    </xf>
    <xf numFmtId="175" fontId="0" fillId="47" borderId="119" xfId="46" applyNumberFormat="1" applyFill="1" applyBorder="1" applyAlignment="1">
      <alignment/>
    </xf>
    <xf numFmtId="175" fontId="2" fillId="41" borderId="83" xfId="46" applyNumberFormat="1" applyFont="1" applyFill="1" applyBorder="1" applyAlignment="1">
      <alignment/>
    </xf>
    <xf numFmtId="175" fontId="0" fillId="47" borderId="115" xfId="46" applyNumberFormat="1" applyFill="1" applyBorder="1" applyAlignment="1">
      <alignment/>
    </xf>
    <xf numFmtId="3" fontId="30" fillId="0" borderId="11" xfId="0" applyNumberFormat="1" applyFont="1" applyBorder="1" applyAlignment="1">
      <alignment horizontal="left" vertical="center" wrapText="1"/>
    </xf>
    <xf numFmtId="3" fontId="30" fillId="0" borderId="25" xfId="0" applyNumberFormat="1" applyFont="1" applyBorder="1" applyAlignment="1">
      <alignment horizontal="left" vertical="center" wrapText="1"/>
    </xf>
    <xf numFmtId="0" fontId="0" fillId="0" borderId="53" xfId="0" applyBorder="1" applyAlignment="1">
      <alignment horizontal="left"/>
    </xf>
    <xf numFmtId="3" fontId="30" fillId="0" borderId="64" xfId="0" applyNumberFormat="1" applyFont="1" applyBorder="1" applyAlignment="1">
      <alignment horizontal="left"/>
    </xf>
    <xf numFmtId="3" fontId="30" fillId="0" borderId="65" xfId="0" applyNumberFormat="1" applyFont="1" applyBorder="1" applyAlignment="1">
      <alignment horizontal="left"/>
    </xf>
    <xf numFmtId="175" fontId="8" fillId="39" borderId="104" xfId="46" applyNumberFormat="1" applyFont="1" applyFill="1" applyBorder="1" applyAlignment="1">
      <alignment/>
    </xf>
    <xf numFmtId="175" fontId="2" fillId="39" borderId="164" xfId="46" applyNumberFormat="1" applyFont="1" applyFill="1" applyBorder="1" applyAlignment="1">
      <alignment horizontal="right" vertical="center"/>
    </xf>
    <xf numFmtId="175" fontId="2" fillId="47" borderId="12" xfId="46" applyNumberFormat="1" applyFont="1" applyFill="1" applyBorder="1" applyAlignment="1">
      <alignment/>
    </xf>
    <xf numFmtId="175" fontId="2" fillId="39" borderId="18" xfId="46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53" xfId="0" applyFont="1" applyBorder="1" applyAlignment="1">
      <alignment horizontal="center"/>
    </xf>
    <xf numFmtId="3" fontId="0" fillId="0" borderId="133" xfId="0" applyNumberFormat="1" applyBorder="1" applyAlignment="1">
      <alignment/>
    </xf>
    <xf numFmtId="175" fontId="0" fillId="0" borderId="111" xfId="46" applyNumberFormat="1" applyFont="1" applyBorder="1" applyAlignment="1">
      <alignment/>
    </xf>
    <xf numFmtId="175" fontId="0" fillId="0" borderId="53" xfId="46" applyNumberFormat="1" applyFont="1" applyBorder="1" applyAlignment="1">
      <alignment/>
    </xf>
    <xf numFmtId="175" fontId="8" fillId="0" borderId="53" xfId="46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left"/>
    </xf>
    <xf numFmtId="0" fontId="33" fillId="0" borderId="0" xfId="57" applyFont="1">
      <alignment/>
      <protection/>
    </xf>
    <xf numFmtId="0" fontId="5" fillId="0" borderId="0" xfId="58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vertical="center" wrapText="1"/>
      <protection/>
    </xf>
    <xf numFmtId="0" fontId="24" fillId="0" borderId="53" xfId="57" applyFont="1" applyBorder="1" applyAlignment="1">
      <alignment horizontal="center" vertical="center"/>
      <protection/>
    </xf>
    <xf numFmtId="0" fontId="1" fillId="0" borderId="53" xfId="57" applyFont="1" applyBorder="1" applyAlignment="1">
      <alignment horizontal="right"/>
      <protection/>
    </xf>
    <xf numFmtId="0" fontId="38" fillId="0" borderId="0" xfId="57" applyFont="1">
      <alignment/>
      <protection/>
    </xf>
    <xf numFmtId="0" fontId="2" fillId="0" borderId="165" xfId="57" applyFont="1" applyBorder="1" applyAlignment="1">
      <alignment vertical="center"/>
      <protection/>
    </xf>
    <xf numFmtId="0" fontId="2" fillId="0" borderId="138" xfId="57" applyFont="1" applyBorder="1" applyAlignment="1">
      <alignment horizontal="center" vertical="center"/>
      <protection/>
    </xf>
    <xf numFmtId="0" fontId="2" fillId="0" borderId="166" xfId="57" applyFont="1" applyBorder="1" applyAlignment="1">
      <alignment horizontal="center" vertical="center"/>
      <protection/>
    </xf>
    <xf numFmtId="49" fontId="0" fillId="0" borderId="40" xfId="57" applyNumberFormat="1" applyFont="1" applyBorder="1" applyAlignment="1">
      <alignment vertical="center"/>
      <protection/>
    </xf>
    <xf numFmtId="3" fontId="0" fillId="0" borderId="41" xfId="57" applyNumberFormat="1" applyFont="1" applyBorder="1" applyAlignment="1" applyProtection="1">
      <alignment vertical="center"/>
      <protection locked="0"/>
    </xf>
    <xf numFmtId="3" fontId="0" fillId="0" borderId="42" xfId="57" applyNumberFormat="1" applyFont="1" applyBorder="1" applyAlignment="1">
      <alignment vertical="center"/>
      <protection/>
    </xf>
    <xf numFmtId="49" fontId="0" fillId="0" borderId="44" xfId="57" applyNumberFormat="1" applyFont="1" applyBorder="1" applyAlignment="1">
      <alignment vertical="center"/>
      <protection/>
    </xf>
    <xf numFmtId="3" fontId="0" fillId="0" borderId="12" xfId="57" applyNumberFormat="1" applyFont="1" applyBorder="1" applyAlignment="1" applyProtection="1">
      <alignment vertical="center"/>
      <protection locked="0"/>
    </xf>
    <xf numFmtId="3" fontId="0" fillId="0" borderId="32" xfId="57" applyNumberFormat="1" applyFont="1" applyBorder="1" applyAlignment="1">
      <alignment vertical="center"/>
      <protection/>
    </xf>
    <xf numFmtId="49" fontId="0" fillId="0" borderId="167" xfId="57" applyNumberFormat="1" applyFont="1" applyBorder="1" applyAlignment="1" applyProtection="1">
      <alignment vertical="center"/>
      <protection locked="0"/>
    </xf>
    <xf numFmtId="3" fontId="0" fillId="0" borderId="18" xfId="57" applyNumberFormat="1" applyFont="1" applyBorder="1" applyAlignment="1" applyProtection="1">
      <alignment vertical="center"/>
      <protection locked="0"/>
    </xf>
    <xf numFmtId="49" fontId="2" fillId="0" borderId="19" xfId="57" applyNumberFormat="1" applyFont="1" applyBorder="1" applyAlignment="1">
      <alignment vertical="center"/>
      <protection/>
    </xf>
    <xf numFmtId="3" fontId="2" fillId="0" borderId="20" xfId="57" applyNumberFormat="1" applyFont="1" applyBorder="1" applyAlignment="1">
      <alignment vertical="center"/>
      <protection/>
    </xf>
    <xf numFmtId="3" fontId="2" fillId="0" borderId="168" xfId="57" applyNumberFormat="1" applyFont="1" applyBorder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2" fillId="0" borderId="169" xfId="57" applyFont="1" applyBorder="1" applyAlignment="1">
      <alignment vertical="center"/>
      <protection/>
    </xf>
    <xf numFmtId="0" fontId="2" fillId="0" borderId="129" xfId="57" applyFont="1" applyBorder="1" applyAlignment="1">
      <alignment horizontal="center" vertical="center"/>
      <protection/>
    </xf>
    <xf numFmtId="0" fontId="2" fillId="0" borderId="170" xfId="57" applyFont="1" applyBorder="1" applyAlignment="1">
      <alignment horizontal="center" vertical="center"/>
      <protection/>
    </xf>
    <xf numFmtId="49" fontId="0" fillId="0" borderId="44" xfId="57" applyNumberFormat="1" applyFont="1" applyBorder="1" applyAlignment="1">
      <alignment horizontal="left" vertical="center"/>
      <protection/>
    </xf>
    <xf numFmtId="49" fontId="0" fillId="0" borderId="44" xfId="57" applyNumberFormat="1" applyFont="1" applyBorder="1" applyAlignment="1" applyProtection="1">
      <alignment vertical="center"/>
      <protection locked="0"/>
    </xf>
    <xf numFmtId="3" fontId="2" fillId="0" borderId="18" xfId="57" applyNumberFormat="1" applyFont="1" applyBorder="1" applyAlignment="1" applyProtection="1">
      <alignment vertical="center"/>
      <protection locked="0"/>
    </xf>
    <xf numFmtId="3" fontId="2" fillId="0" borderId="32" xfId="57" applyNumberFormat="1" applyFont="1" applyBorder="1" applyAlignment="1">
      <alignment vertical="center"/>
      <protection/>
    </xf>
    <xf numFmtId="0" fontId="18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2" fillId="0" borderId="0" xfId="57" applyFont="1" applyAlignment="1">
      <alignment horizontal="right" indent="1"/>
      <protection/>
    </xf>
    <xf numFmtId="0" fontId="24" fillId="0" borderId="53" xfId="57" applyFont="1" applyBorder="1" applyAlignment="1">
      <alignment vertical="top"/>
      <protection/>
    </xf>
    <xf numFmtId="3" fontId="0" fillId="39" borderId="12" xfId="57" applyNumberFormat="1" applyFont="1" applyFill="1" applyBorder="1" applyAlignment="1" applyProtection="1">
      <alignment vertical="center"/>
      <protection locked="0"/>
    </xf>
    <xf numFmtId="0" fontId="24" fillId="0" borderId="171" xfId="57" applyFont="1" applyBorder="1" applyAlignment="1">
      <alignment vertical="top"/>
      <protection/>
    </xf>
    <xf numFmtId="0" fontId="1" fillId="0" borderId="0" xfId="57" applyFont="1" applyAlignment="1">
      <alignment horizontal="right"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3" fontId="33" fillId="0" borderId="160" xfId="0" applyNumberFormat="1" applyFont="1" applyBorder="1" applyAlignment="1">
      <alignment horizontal="right"/>
    </xf>
    <xf numFmtId="3" fontId="34" fillId="0" borderId="86" xfId="0" applyNumberFormat="1" applyFont="1" applyBorder="1" applyAlignment="1">
      <alignment horizontal="center"/>
    </xf>
    <xf numFmtId="3" fontId="35" fillId="0" borderId="22" xfId="0" applyNumberFormat="1" applyFont="1" applyBorder="1" applyAlignment="1">
      <alignment horizontal="center"/>
    </xf>
    <xf numFmtId="175" fontId="34" fillId="0" borderId="172" xfId="46" applyNumberFormat="1" applyFont="1" applyBorder="1" applyAlignment="1">
      <alignment/>
    </xf>
    <xf numFmtId="0" fontId="34" fillId="0" borderId="0" xfId="0" applyFont="1" applyAlignment="1">
      <alignment/>
    </xf>
    <xf numFmtId="3" fontId="35" fillId="0" borderId="12" xfId="0" applyNumberFormat="1" applyFont="1" applyBorder="1" applyAlignment="1">
      <alignment horizontal="center"/>
    </xf>
    <xf numFmtId="175" fontId="34" fillId="0" borderId="77" xfId="46" applyNumberFormat="1" applyFont="1" applyBorder="1" applyAlignment="1">
      <alignment/>
    </xf>
    <xf numFmtId="3" fontId="34" fillId="0" borderId="173" xfId="0" applyNumberFormat="1" applyFont="1" applyBorder="1" applyAlignment="1">
      <alignment horizontal="center"/>
    </xf>
    <xf numFmtId="3" fontId="34" fillId="0" borderId="14" xfId="0" applyNumberFormat="1" applyFont="1" applyBorder="1" applyAlignment="1">
      <alignment horizontal="center"/>
    </xf>
    <xf numFmtId="3" fontId="34" fillId="0" borderId="174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175" fontId="34" fillId="36" borderId="77" xfId="46" applyNumberFormat="1" applyFont="1" applyFill="1" applyBorder="1" applyAlignment="1">
      <alignment/>
    </xf>
    <xf numFmtId="3" fontId="18" fillId="0" borderId="174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33" fillId="0" borderId="174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/>
    </xf>
    <xf numFmtId="0" fontId="33" fillId="0" borderId="0" xfId="0" applyFont="1" applyAlignment="1">
      <alignment/>
    </xf>
    <xf numFmtId="175" fontId="33" fillId="39" borderId="77" xfId="46" applyNumberFormat="1" applyFont="1" applyFill="1" applyBorder="1" applyAlignment="1">
      <alignment/>
    </xf>
    <xf numFmtId="3" fontId="24" fillId="0" borderId="174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175" fontId="24" fillId="0" borderId="77" xfId="46" applyNumberFormat="1" applyFont="1" applyBorder="1" applyAlignment="1">
      <alignment/>
    </xf>
    <xf numFmtId="0" fontId="24" fillId="0" borderId="0" xfId="0" applyFont="1" applyAlignment="1">
      <alignment vertical="center" wrapText="1"/>
    </xf>
    <xf numFmtId="3" fontId="18" fillId="0" borderId="174" xfId="0" applyNumberFormat="1" applyFont="1" applyBorder="1" applyAlignment="1">
      <alignment horizontal="left" vertical="center" wrapText="1"/>
    </xf>
    <xf numFmtId="3" fontId="18" fillId="0" borderId="12" xfId="0" applyNumberFormat="1" applyFont="1" applyBorder="1" applyAlignment="1">
      <alignment horizontal="left" vertical="center" wrapText="1"/>
    </xf>
    <xf numFmtId="175" fontId="18" fillId="0" borderId="77" xfId="46" applyNumberFormat="1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3" fontId="33" fillId="0" borderId="174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left" vertical="center" wrapText="1"/>
    </xf>
    <xf numFmtId="175" fontId="34" fillId="0" borderId="77" xfId="46" applyNumberFormat="1" applyFont="1" applyBorder="1" applyAlignment="1">
      <alignment horizontal="left"/>
    </xf>
    <xf numFmtId="0" fontId="33" fillId="0" borderId="0" xfId="0" applyFont="1" applyAlignment="1">
      <alignment horizontal="left" vertical="center" wrapText="1"/>
    </xf>
    <xf numFmtId="3" fontId="24" fillId="0" borderId="174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3" fontId="0" fillId="0" borderId="175" xfId="0" applyNumberFormat="1" applyBorder="1" applyAlignment="1">
      <alignment horizontal="left" vertical="center"/>
    </xf>
    <xf numFmtId="3" fontId="0" fillId="0" borderId="176" xfId="0" applyNumberFormat="1" applyBorder="1" applyAlignment="1">
      <alignment horizontal="left" vertical="center"/>
    </xf>
    <xf numFmtId="3" fontId="0" fillId="0" borderId="146" xfId="0" applyNumberFormat="1" applyBorder="1" applyAlignment="1">
      <alignment horizontal="left" vertical="center"/>
    </xf>
    <xf numFmtId="3" fontId="0" fillId="0" borderId="147" xfId="0" applyNumberFormat="1" applyBorder="1" applyAlignment="1">
      <alignment horizontal="left" vertical="center"/>
    </xf>
    <xf numFmtId="3" fontId="24" fillId="0" borderId="12" xfId="0" applyNumberFormat="1" applyFont="1" applyBorder="1" applyAlignment="1">
      <alignment horizontal="center"/>
    </xf>
    <xf numFmtId="175" fontId="34" fillId="0" borderId="11" xfId="46" applyNumberFormat="1" applyFont="1" applyBorder="1" applyAlignment="1">
      <alignment horizontal="left"/>
    </xf>
    <xf numFmtId="175" fontId="34" fillId="0" borderId="25" xfId="46" applyNumberFormat="1" applyFont="1" applyBorder="1" applyAlignment="1">
      <alignment horizontal="left"/>
    </xf>
    <xf numFmtId="175" fontId="30" fillId="0" borderId="77" xfId="46" applyNumberFormat="1" applyFont="1" applyBorder="1" applyAlignment="1">
      <alignment/>
    </xf>
    <xf numFmtId="175" fontId="24" fillId="0" borderId="12" xfId="46" applyNumberFormat="1" applyFont="1" applyBorder="1" applyAlignment="1">
      <alignment/>
    </xf>
    <xf numFmtId="3" fontId="34" fillId="0" borderId="177" xfId="0" applyNumberFormat="1" applyFont="1" applyBorder="1" applyAlignment="1">
      <alignment horizontal="center"/>
    </xf>
    <xf numFmtId="175" fontId="34" fillId="0" borderId="18" xfId="46" applyNumberFormat="1" applyFont="1" applyBorder="1" applyAlignment="1">
      <alignment/>
    </xf>
    <xf numFmtId="175" fontId="34" fillId="0" borderId="26" xfId="46" applyNumberFormat="1" applyFont="1" applyBorder="1" applyAlignment="1">
      <alignment horizontal="left" wrapText="1"/>
    </xf>
    <xf numFmtId="175" fontId="34" fillId="0" borderId="27" xfId="46" applyNumberFormat="1" applyFont="1" applyBorder="1" applyAlignment="1">
      <alignment horizontal="left"/>
    </xf>
    <xf numFmtId="175" fontId="34" fillId="0" borderId="87" xfId="46" applyNumberFormat="1" applyFont="1" applyBorder="1" applyAlignment="1">
      <alignment/>
    </xf>
    <xf numFmtId="175" fontId="34" fillId="0" borderId="26" xfId="46" applyNumberFormat="1" applyFont="1" applyBorder="1" applyAlignment="1">
      <alignment horizontal="left"/>
    </xf>
    <xf numFmtId="3" fontId="24" fillId="0" borderId="177" xfId="0" applyNumberFormat="1" applyFont="1" applyBorder="1" applyAlignment="1">
      <alignment horizontal="center"/>
    </xf>
    <xf numFmtId="175" fontId="24" fillId="0" borderId="18" xfId="46" applyNumberFormat="1" applyFont="1" applyBorder="1" applyAlignment="1">
      <alignment horizontal="center"/>
    </xf>
    <xf numFmtId="175" fontId="24" fillId="0" borderId="87" xfId="46" applyNumberFormat="1" applyFont="1" applyBorder="1" applyAlignment="1">
      <alignment/>
    </xf>
    <xf numFmtId="3" fontId="20" fillId="0" borderId="106" xfId="0" applyNumberFormat="1" applyFont="1" applyBorder="1" applyAlignment="1">
      <alignment horizontal="center"/>
    </xf>
    <xf numFmtId="175" fontId="20" fillId="0" borderId="49" xfId="46" applyNumberFormat="1" applyFont="1" applyBorder="1" applyAlignment="1">
      <alignment horizontal="center"/>
    </xf>
    <xf numFmtId="175" fontId="20" fillId="0" borderId="72" xfId="46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18" fillId="0" borderId="122" xfId="0" applyNumberFormat="1" applyFont="1" applyBorder="1" applyAlignment="1">
      <alignment horizontal="center"/>
    </xf>
    <xf numFmtId="175" fontId="18" fillId="0" borderId="74" xfId="46" applyNumberFormat="1" applyFont="1" applyBorder="1" applyAlignment="1">
      <alignment horizontal="center"/>
    </xf>
    <xf numFmtId="175" fontId="18" fillId="0" borderId="69" xfId="46" applyNumberFormat="1" applyFont="1" applyBorder="1" applyAlignment="1">
      <alignment/>
    </xf>
    <xf numFmtId="3" fontId="27" fillId="0" borderId="110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175" fontId="18" fillId="39" borderId="87" xfId="46" applyNumberFormat="1" applyFont="1" applyFill="1" applyBorder="1" applyAlignment="1">
      <alignment/>
    </xf>
    <xf numFmtId="0" fontId="27" fillId="0" borderId="0" xfId="0" applyFont="1" applyAlignment="1">
      <alignment/>
    </xf>
    <xf numFmtId="3" fontId="27" fillId="0" borderId="101" xfId="0" applyNumberFormat="1" applyFont="1" applyBorder="1" applyAlignment="1">
      <alignment horizontal="center"/>
    </xf>
    <xf numFmtId="3" fontId="27" fillId="0" borderId="53" xfId="0" applyNumberFormat="1" applyFont="1" applyBorder="1" applyAlignment="1">
      <alignment horizontal="center"/>
    </xf>
    <xf numFmtId="175" fontId="26" fillId="39" borderId="84" xfId="46" applyNumberFormat="1" applyFont="1" applyFill="1" applyBorder="1" applyAlignment="1">
      <alignment/>
    </xf>
    <xf numFmtId="3" fontId="18" fillId="0" borderId="101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/>
    </xf>
    <xf numFmtId="3" fontId="18" fillId="0" borderId="84" xfId="0" applyNumberFormat="1" applyFont="1" applyBorder="1" applyAlignment="1">
      <alignment horizontal="center" vertical="center"/>
    </xf>
    <xf numFmtId="3" fontId="20" fillId="0" borderId="151" xfId="0" applyNumberFormat="1" applyFont="1" applyBorder="1" applyAlignment="1">
      <alignment horizontal="center"/>
    </xf>
    <xf numFmtId="3" fontId="20" fillId="0" borderId="152" xfId="0" applyNumberFormat="1" applyFont="1" applyBorder="1" applyAlignment="1">
      <alignment horizontal="center"/>
    </xf>
    <xf numFmtId="175" fontId="20" fillId="0" borderId="92" xfId="46" applyNumberFormat="1" applyFont="1" applyBorder="1" applyAlignment="1">
      <alignment horizontal="right"/>
    </xf>
    <xf numFmtId="3" fontId="22" fillId="37" borderId="98" xfId="0" applyNumberFormat="1" applyFont="1" applyFill="1" applyBorder="1" applyAlignment="1">
      <alignment/>
    </xf>
    <xf numFmtId="3" fontId="22" fillId="37" borderId="99" xfId="0" applyNumberFormat="1" applyFont="1" applyFill="1" applyBorder="1" applyAlignment="1">
      <alignment/>
    </xf>
    <xf numFmtId="0" fontId="36" fillId="0" borderId="0" xfId="0" applyFont="1" applyAlignment="1">
      <alignment/>
    </xf>
    <xf numFmtId="3" fontId="24" fillId="0" borderId="28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/>
    </xf>
    <xf numFmtId="3" fontId="18" fillId="0" borderId="24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3" fontId="24" fillId="0" borderId="24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/>
    </xf>
    <xf numFmtId="3" fontId="18" fillId="0" borderId="25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24" fillId="0" borderId="25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left" wrapText="1"/>
    </xf>
    <xf numFmtId="3" fontId="34" fillId="0" borderId="25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 horizontal="right"/>
    </xf>
    <xf numFmtId="3" fontId="34" fillId="0" borderId="25" xfId="0" applyNumberFormat="1" applyFont="1" applyBorder="1" applyAlignment="1">
      <alignment horizontal="right"/>
    </xf>
    <xf numFmtId="3" fontId="34" fillId="39" borderId="12" xfId="0" applyNumberFormat="1" applyFont="1" applyFill="1" applyBorder="1" applyAlignment="1">
      <alignment horizontal="right"/>
    </xf>
    <xf numFmtId="3" fontId="24" fillId="39" borderId="12" xfId="0" applyNumberFormat="1" applyFont="1" applyFill="1" applyBorder="1" applyAlignment="1">
      <alignment/>
    </xf>
    <xf numFmtId="3" fontId="26" fillId="0" borderId="25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/>
    </xf>
    <xf numFmtId="3" fontId="26" fillId="39" borderId="12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wrapText="1"/>
    </xf>
    <xf numFmtId="3" fontId="18" fillId="0" borderId="0" xfId="0" applyNumberFormat="1" applyFont="1" applyAlignment="1">
      <alignment/>
    </xf>
    <xf numFmtId="3" fontId="24" fillId="0" borderId="13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18" fillId="0" borderId="18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3" fontId="18" fillId="0" borderId="29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3" fontId="0" fillId="39" borderId="53" xfId="0" applyNumberFormat="1" applyFill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wrapText="1"/>
    </xf>
    <xf numFmtId="3" fontId="18" fillId="0" borderId="18" xfId="0" applyNumberFormat="1" applyFont="1" applyBorder="1" applyAlignment="1">
      <alignment horizontal="center"/>
    </xf>
    <xf numFmtId="3" fontId="18" fillId="0" borderId="146" xfId="0" applyNumberFormat="1" applyFont="1" applyBorder="1" applyAlignment="1">
      <alignment/>
    </xf>
    <xf numFmtId="3" fontId="27" fillId="33" borderId="178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3" fontId="26" fillId="49" borderId="12" xfId="0" applyNumberFormat="1" applyFont="1" applyFill="1" applyBorder="1" applyAlignment="1">
      <alignment horizontal="right"/>
    </xf>
    <xf numFmtId="0" fontId="8" fillId="0" borderId="86" xfId="0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8" fillId="36" borderId="65" xfId="0" applyFont="1" applyFill="1" applyBorder="1" applyAlignment="1">
      <alignment horizontal="right"/>
    </xf>
    <xf numFmtId="0" fontId="8" fillId="0" borderId="179" xfId="0" applyFont="1" applyBorder="1" applyAlignment="1">
      <alignment horizontal="right"/>
    </xf>
    <xf numFmtId="175" fontId="80" fillId="39" borderId="14" xfId="46" applyNumberFormat="1" applyFont="1" applyFill="1" applyBorder="1" applyAlignment="1">
      <alignment/>
    </xf>
    <xf numFmtId="175" fontId="85" fillId="39" borderId="25" xfId="46" applyNumberFormat="1" applyFont="1" applyFill="1" applyBorder="1" applyAlignment="1">
      <alignment/>
    </xf>
    <xf numFmtId="175" fontId="85" fillId="39" borderId="53" xfId="46" applyNumberFormat="1" applyFont="1" applyFill="1" applyBorder="1" applyAlignment="1">
      <alignment/>
    </xf>
    <xf numFmtId="3" fontId="0" fillId="0" borderId="62" xfId="0" applyNumberFormat="1" applyBorder="1" applyAlignment="1">
      <alignment wrapText="1"/>
    </xf>
    <xf numFmtId="3" fontId="18" fillId="33" borderId="61" xfId="0" applyNumberFormat="1" applyFont="1" applyFill="1" applyBorder="1" applyAlignment="1">
      <alignment horizontal="center"/>
    </xf>
    <xf numFmtId="3" fontId="18" fillId="40" borderId="61" xfId="0" applyNumberFormat="1" applyFont="1" applyFill="1" applyBorder="1" applyAlignment="1">
      <alignment wrapText="1"/>
    </xf>
    <xf numFmtId="3" fontId="18" fillId="33" borderId="61" xfId="0" applyNumberFormat="1" applyFont="1" applyFill="1" applyBorder="1" applyAlignment="1">
      <alignment/>
    </xf>
    <xf numFmtId="177" fontId="5" fillId="37" borderId="138" xfId="0" applyNumberFormat="1" applyFont="1" applyFill="1" applyBorder="1" applyAlignment="1">
      <alignment/>
    </xf>
    <xf numFmtId="3" fontId="15" fillId="37" borderId="49" xfId="0" applyNumberFormat="1" applyFont="1" applyFill="1" applyBorder="1" applyAlignment="1">
      <alignment wrapText="1"/>
    </xf>
    <xf numFmtId="3" fontId="5" fillId="37" borderId="138" xfId="0" applyNumberFormat="1" applyFont="1" applyFill="1" applyBorder="1" applyAlignment="1">
      <alignment horizontal="center"/>
    </xf>
    <xf numFmtId="3" fontId="5" fillId="37" borderId="138" xfId="0" applyNumberFormat="1" applyFont="1" applyFill="1" applyBorder="1" applyAlignment="1">
      <alignment wrapText="1"/>
    </xf>
    <xf numFmtId="175" fontId="5" fillId="37" borderId="154" xfId="46" applyNumberFormat="1" applyFont="1" applyFill="1" applyBorder="1" applyAlignment="1">
      <alignment/>
    </xf>
    <xf numFmtId="3" fontId="0" fillId="0" borderId="53" xfId="0" applyNumberForma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36" borderId="27" xfId="0" applyNumberFormat="1" applyFill="1" applyBorder="1" applyAlignment="1">
      <alignment/>
    </xf>
    <xf numFmtId="3" fontId="0" fillId="36" borderId="65" xfId="0" applyNumberFormat="1" applyFill="1" applyBorder="1" applyAlignment="1">
      <alignment/>
    </xf>
    <xf numFmtId="0" fontId="8" fillId="36" borderId="53" xfId="0" applyFont="1" applyFill="1" applyBorder="1" applyAlignment="1">
      <alignment/>
    </xf>
    <xf numFmtId="175" fontId="0" fillId="0" borderId="53" xfId="0" applyNumberFormat="1" applyBorder="1" applyAlignment="1">
      <alignment/>
    </xf>
    <xf numFmtId="0" fontId="2" fillId="0" borderId="124" xfId="0" applyFont="1" applyBorder="1" applyAlignment="1">
      <alignment horizontal="center" vertical="center" wrapText="1"/>
    </xf>
    <xf numFmtId="175" fontId="0" fillId="0" borderId="90" xfId="46" applyNumberFormat="1" applyBorder="1" applyAlignment="1">
      <alignment horizontal="center" vertical="center"/>
    </xf>
    <xf numFmtId="175" fontId="0" fillId="0" borderId="101" xfId="46" applyNumberFormat="1" applyBorder="1" applyAlignment="1">
      <alignment horizontal="center" vertical="center"/>
    </xf>
    <xf numFmtId="175" fontId="0" fillId="0" borderId="103" xfId="46" applyNumberFormat="1" applyBorder="1" applyAlignment="1">
      <alignment horizontal="center" vertical="center"/>
    </xf>
    <xf numFmtId="175" fontId="0" fillId="0" borderId="108" xfId="46" applyNumberFormat="1" applyBorder="1" applyAlignment="1">
      <alignment horizontal="center" vertical="center"/>
    </xf>
    <xf numFmtId="175" fontId="0" fillId="0" borderId="91" xfId="46" applyNumberFormat="1" applyBorder="1" applyAlignment="1">
      <alignment horizontal="center" vertical="center"/>
    </xf>
    <xf numFmtId="175" fontId="5" fillId="48" borderId="108" xfId="46" applyNumberFormat="1" applyFont="1" applyFill="1" applyBorder="1" applyAlignment="1">
      <alignment horizontal="center" vertical="center"/>
    </xf>
    <xf numFmtId="0" fontId="0" fillId="0" borderId="101" xfId="0" applyBorder="1" applyAlignment="1">
      <alignment/>
    </xf>
    <xf numFmtId="0" fontId="8" fillId="0" borderId="101" xfId="0" applyFont="1" applyBorder="1" applyAlignment="1">
      <alignment/>
    </xf>
    <xf numFmtId="175" fontId="5" fillId="48" borderId="108" xfId="0" applyNumberFormat="1" applyFont="1" applyFill="1" applyBorder="1" applyAlignment="1">
      <alignment/>
    </xf>
    <xf numFmtId="175" fontId="2" fillId="0" borderId="108" xfId="46" applyNumberFormat="1" applyFont="1" applyBorder="1" applyAlignment="1">
      <alignment horizontal="center" vertical="center"/>
    </xf>
    <xf numFmtId="175" fontId="8" fillId="39" borderId="102" xfId="46" applyNumberFormat="1" applyFont="1" applyFill="1" applyBorder="1" applyAlignment="1">
      <alignment horizontal="center" vertical="center" wrapText="1"/>
    </xf>
    <xf numFmtId="175" fontId="8" fillId="0" borderId="90" xfId="46" applyNumberFormat="1" applyFont="1" applyBorder="1" applyAlignment="1">
      <alignment horizontal="center" vertical="center"/>
    </xf>
    <xf numFmtId="175" fontId="8" fillId="39" borderId="101" xfId="46" applyNumberFormat="1" applyFont="1" applyFill="1" applyBorder="1" applyAlignment="1">
      <alignment horizontal="center" vertical="center" wrapText="1"/>
    </xf>
    <xf numFmtId="175" fontId="8" fillId="0" borderId="84" xfId="46" applyNumberFormat="1" applyFont="1" applyBorder="1" applyAlignment="1">
      <alignment horizontal="center" vertical="center"/>
    </xf>
    <xf numFmtId="175" fontId="2" fillId="0" borderId="102" xfId="46" applyNumberFormat="1" applyFont="1" applyBorder="1" applyAlignment="1">
      <alignment/>
    </xf>
    <xf numFmtId="175" fontId="2" fillId="0" borderId="101" xfId="0" applyNumberFormat="1" applyFont="1" applyBorder="1" applyAlignment="1">
      <alignment/>
    </xf>
    <xf numFmtId="175" fontId="8" fillId="0" borderId="101" xfId="46" applyNumberFormat="1" applyFont="1" applyBorder="1" applyAlignment="1">
      <alignment/>
    </xf>
    <xf numFmtId="0" fontId="8" fillId="0" borderId="84" xfId="0" applyFont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175" fontId="8" fillId="39" borderId="153" xfId="46" applyNumberFormat="1" applyFont="1" applyFill="1" applyBorder="1" applyAlignment="1">
      <alignment horizontal="center" vertical="center" wrapText="1"/>
    </xf>
    <xf numFmtId="175" fontId="0" fillId="0" borderId="84" xfId="46" applyNumberFormat="1" applyBorder="1" applyAlignment="1">
      <alignment horizontal="center" vertical="center"/>
    </xf>
    <xf numFmtId="175" fontId="0" fillId="0" borderId="84" xfId="46" applyNumberFormat="1" applyBorder="1" applyAlignment="1">
      <alignment horizontal="right"/>
    </xf>
    <xf numFmtId="175" fontId="0" fillId="0" borderId="104" xfId="46" applyNumberFormat="1" applyBorder="1" applyAlignment="1">
      <alignment horizontal="right"/>
    </xf>
    <xf numFmtId="175" fontId="0" fillId="0" borderId="180" xfId="46" applyNumberFormat="1" applyBorder="1" applyAlignment="1">
      <alignment horizontal="center" vertical="center"/>
    </xf>
    <xf numFmtId="175" fontId="2" fillId="0" borderId="84" xfId="46" applyNumberFormat="1" applyFont="1" applyBorder="1" applyAlignment="1">
      <alignment horizontal="center" vertical="center"/>
    </xf>
    <xf numFmtId="175" fontId="0" fillId="0" borderId="104" xfId="46" applyNumberFormat="1" applyBorder="1" applyAlignment="1">
      <alignment horizontal="center" vertical="center"/>
    </xf>
    <xf numFmtId="0" fontId="8" fillId="0" borderId="125" xfId="0" applyFont="1" applyBorder="1" applyAlignment="1">
      <alignment/>
    </xf>
    <xf numFmtId="3" fontId="0" fillId="0" borderId="62" xfId="0" applyNumberFormat="1" applyBorder="1" applyAlignment="1">
      <alignment vertical="center"/>
    </xf>
    <xf numFmtId="3" fontId="0" fillId="36" borderId="31" xfId="0" applyNumberFormat="1" applyFill="1" applyBorder="1" applyAlignment="1">
      <alignment/>
    </xf>
    <xf numFmtId="175" fontId="0" fillId="36" borderId="88" xfId="46" applyNumberFormat="1" applyFill="1" applyBorder="1" applyAlignment="1">
      <alignment horizontal="center" vertical="center"/>
    </xf>
    <xf numFmtId="3" fontId="2" fillId="0" borderId="181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5" fontId="2" fillId="0" borderId="69" xfId="46" applyNumberFormat="1" applyFont="1" applyBorder="1" applyAlignment="1">
      <alignment/>
    </xf>
    <xf numFmtId="3" fontId="0" fillId="0" borderId="182" xfId="0" applyNumberFormat="1" applyBorder="1" applyAlignment="1">
      <alignment horizontal="center"/>
    </xf>
    <xf numFmtId="3" fontId="0" fillId="0" borderId="70" xfId="0" applyNumberFormat="1" applyBorder="1" applyAlignment="1">
      <alignment/>
    </xf>
    <xf numFmtId="177" fontId="0" fillId="0" borderId="70" xfId="0" applyNumberFormat="1" applyBorder="1" applyAlignment="1">
      <alignment/>
    </xf>
    <xf numFmtId="175" fontId="0" fillId="0" borderId="71" xfId="46" applyNumberFormat="1" applyBorder="1" applyAlignment="1">
      <alignment/>
    </xf>
    <xf numFmtId="3" fontId="5" fillId="33" borderId="111" xfId="0" applyNumberFormat="1" applyFont="1" applyFill="1" applyBorder="1" applyAlignment="1">
      <alignment horizontal="center" vertical="center"/>
    </xf>
    <xf numFmtId="3" fontId="5" fillId="33" borderId="165" xfId="0" applyNumberFormat="1" applyFont="1" applyFill="1" applyBorder="1" applyAlignment="1">
      <alignment horizontal="center" vertical="center"/>
    </xf>
    <xf numFmtId="3" fontId="5" fillId="33" borderId="138" xfId="0" applyNumberFormat="1" applyFont="1" applyFill="1" applyBorder="1" applyAlignment="1">
      <alignment vertical="center"/>
    </xf>
    <xf numFmtId="177" fontId="5" fillId="33" borderId="138" xfId="0" applyNumberFormat="1" applyFont="1" applyFill="1" applyBorder="1" applyAlignment="1">
      <alignment vertical="center"/>
    </xf>
    <xf numFmtId="175" fontId="5" fillId="33" borderId="154" xfId="46" applyNumberFormat="1" applyFont="1" applyFill="1" applyBorder="1" applyAlignment="1">
      <alignment vertical="center"/>
    </xf>
    <xf numFmtId="3" fontId="0" fillId="36" borderId="74" xfId="0" applyNumberFormat="1" applyFill="1" applyBorder="1" applyAlignment="1">
      <alignment horizontal="center"/>
    </xf>
    <xf numFmtId="175" fontId="0" fillId="36" borderId="183" xfId="46" applyNumberFormat="1" applyFill="1" applyBorder="1" applyAlignment="1">
      <alignment/>
    </xf>
    <xf numFmtId="175" fontId="0" fillId="36" borderId="120" xfId="46" applyNumberFormat="1" applyFill="1" applyBorder="1" applyAlignment="1">
      <alignment/>
    </xf>
    <xf numFmtId="175" fontId="8" fillId="36" borderId="184" xfId="46" applyNumberFormat="1" applyFont="1" applyFill="1" applyBorder="1" applyAlignment="1">
      <alignment horizontal="right"/>
    </xf>
    <xf numFmtId="175" fontId="8" fillId="0" borderId="185" xfId="46" applyNumberFormat="1" applyFont="1" applyBorder="1" applyAlignment="1">
      <alignment horizontal="right"/>
    </xf>
    <xf numFmtId="175" fontId="0" fillId="36" borderId="116" xfId="46" applyNumberFormat="1" applyFill="1" applyBorder="1" applyAlignment="1">
      <alignment/>
    </xf>
    <xf numFmtId="175" fontId="8" fillId="36" borderId="117" xfId="46" applyNumberFormat="1" applyFont="1" applyFill="1" applyBorder="1" applyAlignment="1">
      <alignment horizontal="right"/>
    </xf>
    <xf numFmtId="175" fontId="8" fillId="0" borderId="186" xfId="46" applyNumberFormat="1" applyFont="1" applyBorder="1" applyAlignment="1">
      <alignment horizontal="right"/>
    </xf>
    <xf numFmtId="177" fontId="0" fillId="36" borderId="187" xfId="0" applyNumberFormat="1" applyFill="1" applyBorder="1" applyAlignment="1">
      <alignment/>
    </xf>
    <xf numFmtId="177" fontId="0" fillId="36" borderId="11" xfId="0" applyNumberFormat="1" applyFill="1" applyBorder="1" applyAlignment="1">
      <alignment/>
    </xf>
    <xf numFmtId="177" fontId="0" fillId="36" borderId="26" xfId="0" applyNumberFormat="1" applyFill="1" applyBorder="1" applyAlignment="1">
      <alignment/>
    </xf>
    <xf numFmtId="177" fontId="8" fillId="36" borderId="64" xfId="0" applyNumberFormat="1" applyFont="1" applyFill="1" applyBorder="1" applyAlignment="1">
      <alignment horizontal="right"/>
    </xf>
    <xf numFmtId="0" fontId="8" fillId="0" borderId="188" xfId="0" applyFont="1" applyBorder="1" applyAlignment="1">
      <alignment horizontal="right"/>
    </xf>
    <xf numFmtId="3" fontId="0" fillId="0" borderId="125" xfId="0" applyNumberFormat="1" applyBorder="1" applyAlignment="1">
      <alignment horizontal="center"/>
    </xf>
    <xf numFmtId="3" fontId="0" fillId="0" borderId="125" xfId="0" applyNumberFormat="1" applyBorder="1" applyAlignment="1">
      <alignment/>
    </xf>
    <xf numFmtId="177" fontId="2" fillId="0" borderId="145" xfId="0" applyNumberFormat="1" applyFont="1" applyBorder="1" applyAlignment="1">
      <alignment/>
    </xf>
    <xf numFmtId="177" fontId="0" fillId="0" borderId="64" xfId="0" applyNumberFormat="1" applyBorder="1" applyAlignment="1">
      <alignment/>
    </xf>
    <xf numFmtId="177" fontId="13" fillId="0" borderId="64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0" fillId="0" borderId="188" xfId="0" applyNumberFormat="1" applyBorder="1" applyAlignment="1">
      <alignment/>
    </xf>
    <xf numFmtId="175" fontId="2" fillId="0" borderId="189" xfId="46" applyNumberFormat="1" applyFont="1" applyBorder="1" applyAlignment="1">
      <alignment/>
    </xf>
    <xf numFmtId="175" fontId="0" fillId="0" borderId="117" xfId="46" applyNumberFormat="1" applyFont="1" applyBorder="1" applyAlignment="1">
      <alignment/>
    </xf>
    <xf numFmtId="175" fontId="13" fillId="0" borderId="117" xfId="46" applyNumberFormat="1" applyFont="1" applyBorder="1" applyAlignment="1">
      <alignment/>
    </xf>
    <xf numFmtId="175" fontId="2" fillId="0" borderId="117" xfId="46" applyNumberFormat="1" applyFont="1" applyBorder="1" applyAlignment="1">
      <alignment/>
    </xf>
    <xf numFmtId="175" fontId="0" fillId="0" borderId="186" xfId="46" applyNumberFormat="1" applyFont="1" applyBorder="1" applyAlignment="1">
      <alignment/>
    </xf>
    <xf numFmtId="1" fontId="2" fillId="0" borderId="74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 horizontal="left" wrapText="1"/>
    </xf>
    <xf numFmtId="177" fontId="2" fillId="0" borderId="74" xfId="0" applyNumberFormat="1" applyFont="1" applyBorder="1" applyAlignment="1">
      <alignment horizontal="center"/>
    </xf>
    <xf numFmtId="177" fontId="0" fillId="0" borderId="125" xfId="0" applyNumberFormat="1" applyBorder="1" applyAlignment="1">
      <alignment horizontal="center"/>
    </xf>
    <xf numFmtId="175" fontId="0" fillId="0" borderId="186" xfId="46" applyNumberFormat="1" applyBorder="1" applyAlignment="1">
      <alignment horizontal="right" vertical="center"/>
    </xf>
    <xf numFmtId="175" fontId="0" fillId="47" borderId="53" xfId="46" applyNumberFormat="1" applyFill="1" applyBorder="1" applyAlignment="1">
      <alignment/>
    </xf>
    <xf numFmtId="175" fontId="8" fillId="39" borderId="77" xfId="46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>
      <alignment wrapText="1"/>
    </xf>
    <xf numFmtId="3" fontId="18" fillId="49" borderId="38" xfId="0" applyNumberFormat="1" applyFont="1" applyFill="1" applyBorder="1" applyAlignment="1">
      <alignment horizontal="center"/>
    </xf>
    <xf numFmtId="3" fontId="18" fillId="50" borderId="53" xfId="0" applyNumberFormat="1" applyFont="1" applyFill="1" applyBorder="1" applyAlignment="1">
      <alignment wrapText="1"/>
    </xf>
    <xf numFmtId="3" fontId="18" fillId="49" borderId="18" xfId="0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/>
    </xf>
    <xf numFmtId="3" fontId="8" fillId="0" borderId="25" xfId="0" applyNumberFormat="1" applyFont="1" applyBorder="1" applyAlignment="1">
      <alignment horizontal="left"/>
    </xf>
    <xf numFmtId="3" fontId="0" fillId="0" borderId="190" xfId="0" applyNumberFormat="1" applyBorder="1" applyAlignment="1">
      <alignment/>
    </xf>
    <xf numFmtId="3" fontId="2" fillId="0" borderId="53" xfId="0" applyNumberFormat="1" applyFon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102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53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8" fillId="36" borderId="101" xfId="0" applyFont="1" applyFill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3" fontId="8" fillId="36" borderId="101" xfId="0" applyNumberFormat="1" applyFont="1" applyFill="1" applyBorder="1" applyAlignment="1">
      <alignment horizontal="center" vertical="center"/>
    </xf>
    <xf numFmtId="3" fontId="2" fillId="0" borderId="135" xfId="0" applyNumberFormat="1" applyFont="1" applyBorder="1" applyAlignment="1">
      <alignment horizontal="center" vertical="center"/>
    </xf>
    <xf numFmtId="3" fontId="13" fillId="0" borderId="101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3" fontId="2" fillId="0" borderId="101" xfId="0" applyNumberFormat="1" applyFont="1" applyBorder="1" applyAlignment="1">
      <alignment horizontal="center" vertical="center"/>
    </xf>
    <xf numFmtId="3" fontId="0" fillId="0" borderId="124" xfId="0" applyNumberFormat="1" applyBorder="1" applyAlignment="1">
      <alignment horizontal="center" vertical="center"/>
    </xf>
    <xf numFmtId="3" fontId="5" fillId="37" borderId="111" xfId="0" applyNumberFormat="1" applyFont="1" applyFill="1" applyBorder="1" applyAlignment="1">
      <alignment horizontal="center" vertical="center" wrapText="1"/>
    </xf>
    <xf numFmtId="3" fontId="0" fillId="0" borderId="135" xfId="0" applyNumberForma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111" xfId="0" applyNumberForma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5" fontId="8" fillId="0" borderId="180" xfId="46" applyNumberFormat="1" applyFont="1" applyBorder="1" applyAlignment="1">
      <alignment horizontal="center" vertical="center"/>
    </xf>
    <xf numFmtId="175" fontId="2" fillId="0" borderId="150" xfId="46" applyNumberFormat="1" applyFont="1" applyBorder="1" applyAlignment="1">
      <alignment horizontal="center" vertical="center"/>
    </xf>
    <xf numFmtId="175" fontId="2" fillId="0" borderId="180" xfId="46" applyNumberFormat="1" applyFont="1" applyBorder="1" applyAlignment="1">
      <alignment horizontal="center" vertical="center"/>
    </xf>
    <xf numFmtId="175" fontId="0" fillId="0" borderId="192" xfId="46" applyNumberFormat="1" applyBorder="1" applyAlignment="1">
      <alignment horizontal="center" vertical="center"/>
    </xf>
    <xf numFmtId="175" fontId="2" fillId="0" borderId="143" xfId="46" applyNumberFormat="1" applyFont="1" applyBorder="1" applyAlignment="1">
      <alignment horizontal="center" vertical="center"/>
    </xf>
    <xf numFmtId="175" fontId="8" fillId="39" borderId="67" xfId="46" applyNumberFormat="1" applyFont="1" applyFill="1" applyBorder="1" applyAlignment="1">
      <alignment horizontal="center" vertical="center" wrapText="1"/>
    </xf>
    <xf numFmtId="175" fontId="8" fillId="39" borderId="65" xfId="46" applyNumberFormat="1" applyFont="1" applyFill="1" applyBorder="1" applyAlignment="1">
      <alignment horizontal="center" vertical="center" wrapText="1"/>
    </xf>
    <xf numFmtId="175" fontId="2" fillId="39" borderId="192" xfId="46" applyNumberFormat="1" applyFont="1" applyFill="1" applyBorder="1" applyAlignment="1">
      <alignment horizontal="center" vertical="center" wrapText="1"/>
    </xf>
    <xf numFmtId="0" fontId="8" fillId="0" borderId="153" xfId="0" applyFont="1" applyBorder="1" applyAlignment="1">
      <alignment horizontal="right"/>
    </xf>
    <xf numFmtId="0" fontId="8" fillId="0" borderId="102" xfId="0" applyFont="1" applyBorder="1" applyAlignment="1">
      <alignment horizontal="right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2" fillId="0" borderId="102" xfId="0" applyFont="1" applyBorder="1" applyAlignment="1">
      <alignment horizontal="right"/>
    </xf>
    <xf numFmtId="0" fontId="2" fillId="0" borderId="101" xfId="0" applyFont="1" applyBorder="1" applyAlignment="1">
      <alignment horizontal="right"/>
    </xf>
    <xf numFmtId="0" fontId="0" fillId="39" borderId="53" xfId="0" applyFont="1" applyFill="1" applyBorder="1" applyAlignment="1">
      <alignment horizontal="left" vertical="top" wrapText="1"/>
    </xf>
    <xf numFmtId="175" fontId="0" fillId="0" borderId="135" xfId="46" applyNumberFormat="1" applyBorder="1" applyAlignment="1">
      <alignment horizontal="center" vertical="center"/>
    </xf>
    <xf numFmtId="175" fontId="0" fillId="0" borderId="136" xfId="46" applyNumberFormat="1" applyBorder="1" applyAlignment="1">
      <alignment horizontal="center" vertical="center"/>
    </xf>
    <xf numFmtId="175" fontId="0" fillId="0" borderId="127" xfId="46" applyNumberFormat="1" applyBorder="1" applyAlignment="1">
      <alignment horizontal="center" vertical="center"/>
    </xf>
    <xf numFmtId="0" fontId="2" fillId="39" borderId="91" xfId="0" applyFont="1" applyFill="1" applyBorder="1" applyAlignment="1">
      <alignment horizontal="left" vertical="top" wrapText="1"/>
    </xf>
    <xf numFmtId="0" fontId="0" fillId="39" borderId="84" xfId="0" applyFont="1" applyFill="1" applyBorder="1" applyAlignment="1">
      <alignment horizontal="left" vertical="top" wrapText="1"/>
    </xf>
    <xf numFmtId="0" fontId="2" fillId="39" borderId="84" xfId="0" applyFont="1" applyFill="1" applyBorder="1" applyAlignment="1">
      <alignment horizontal="left" vertical="top" wrapText="1"/>
    </xf>
    <xf numFmtId="0" fontId="0" fillId="39" borderId="104" xfId="0" applyFont="1" applyFill="1" applyBorder="1" applyAlignment="1">
      <alignment horizontal="left" vertical="top" wrapText="1"/>
    </xf>
    <xf numFmtId="0" fontId="5" fillId="39" borderId="91" xfId="0" applyFont="1" applyFill="1" applyBorder="1" applyAlignment="1">
      <alignment horizontal="left" vertical="top" wrapText="1"/>
    </xf>
    <xf numFmtId="0" fontId="2" fillId="0" borderId="84" xfId="0" applyFont="1" applyBorder="1" applyAlignment="1">
      <alignment/>
    </xf>
    <xf numFmtId="0" fontId="5" fillId="48" borderId="91" xfId="0" applyFont="1" applyFill="1" applyBorder="1" applyAlignment="1">
      <alignment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33" borderId="193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194" xfId="0" applyNumberFormat="1" applyBorder="1" applyAlignment="1">
      <alignment/>
    </xf>
    <xf numFmtId="177" fontId="5" fillId="37" borderId="48" xfId="0" applyNumberFormat="1" applyFont="1" applyFill="1" applyBorder="1" applyAlignment="1">
      <alignment/>
    </xf>
    <xf numFmtId="177" fontId="0" fillId="36" borderId="64" xfId="0" applyNumberFormat="1" applyFill="1" applyBorder="1" applyAlignment="1">
      <alignment/>
    </xf>
    <xf numFmtId="0" fontId="8" fillId="36" borderId="64" xfId="0" applyFont="1" applyFill="1" applyBorder="1" applyAlignment="1">
      <alignment horizontal="right"/>
    </xf>
    <xf numFmtId="175" fontId="2" fillId="33" borderId="126" xfId="46" applyNumberFormat="1" applyFont="1" applyFill="1" applyBorder="1" applyAlignment="1">
      <alignment horizontal="center" vertical="center" wrapText="1"/>
    </xf>
    <xf numFmtId="175" fontId="2" fillId="33" borderId="126" xfId="46" applyNumberFormat="1" applyFont="1" applyFill="1" applyBorder="1" applyAlignment="1">
      <alignment horizontal="center" vertical="center"/>
    </xf>
    <xf numFmtId="175" fontId="2" fillId="0" borderId="195" xfId="46" applyNumberFormat="1" applyFont="1" applyBorder="1" applyAlignment="1">
      <alignment horizontal="center" vertical="center"/>
    </xf>
    <xf numFmtId="175" fontId="0" fillId="0" borderId="115" xfId="46" applyNumberFormat="1" applyBorder="1" applyAlignment="1">
      <alignment horizontal="center" vertical="center"/>
    </xf>
    <xf numFmtId="175" fontId="2" fillId="0" borderId="115" xfId="46" applyNumberFormat="1" applyFont="1" applyBorder="1" applyAlignment="1">
      <alignment horizontal="center" vertical="center"/>
    </xf>
    <xf numFmtId="175" fontId="2" fillId="0" borderId="117" xfId="46" applyNumberFormat="1" applyFont="1" applyBorder="1" applyAlignment="1">
      <alignment horizontal="center" vertical="center"/>
    </xf>
    <xf numFmtId="175" fontId="0" fillId="0" borderId="117" xfId="46" applyNumberFormat="1" applyBorder="1" applyAlignment="1">
      <alignment horizontal="center" vertical="center"/>
    </xf>
    <xf numFmtId="175" fontId="0" fillId="0" borderId="118" xfId="46" applyNumberFormat="1" applyBorder="1" applyAlignment="1">
      <alignment horizontal="center" vertical="center"/>
    </xf>
    <xf numFmtId="175" fontId="5" fillId="37" borderId="126" xfId="46" applyNumberFormat="1" applyFont="1" applyFill="1" applyBorder="1" applyAlignment="1">
      <alignment/>
    </xf>
    <xf numFmtId="175" fontId="0" fillId="36" borderId="114" xfId="46" applyNumberFormat="1" applyFill="1" applyBorder="1" applyAlignment="1">
      <alignment horizontal="center" vertical="center"/>
    </xf>
    <xf numFmtId="175" fontId="0" fillId="36" borderId="155" xfId="46" applyNumberFormat="1" applyFill="1" applyBorder="1" applyAlignment="1">
      <alignment horizontal="center" vertical="center"/>
    </xf>
    <xf numFmtId="175" fontId="0" fillId="36" borderId="117" xfId="46" applyNumberFormat="1" applyFill="1" applyBorder="1" applyAlignment="1">
      <alignment horizontal="center" vertical="center"/>
    </xf>
    <xf numFmtId="175" fontId="8" fillId="36" borderId="117" xfId="46" applyNumberFormat="1" applyFont="1" applyFill="1" applyBorder="1" applyAlignment="1">
      <alignment horizontal="right" vertical="center"/>
    </xf>
    <xf numFmtId="175" fontId="8" fillId="0" borderId="186" xfId="46" applyNumberFormat="1" applyFont="1" applyBorder="1" applyAlignment="1">
      <alignment horizontal="right" vertical="center"/>
    </xf>
    <xf numFmtId="3" fontId="4" fillId="37" borderId="79" xfId="0" applyNumberFormat="1" applyFont="1" applyFill="1" applyBorder="1" applyAlignment="1">
      <alignment horizontal="center" vertical="center" wrapText="1"/>
    </xf>
    <xf numFmtId="3" fontId="2" fillId="37" borderId="34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5" fillId="33" borderId="196" xfId="0" applyNumberFormat="1" applyFont="1" applyFill="1" applyBorder="1" applyAlignment="1">
      <alignment vertical="center"/>
    </xf>
    <xf numFmtId="177" fontId="0" fillId="36" borderId="22" xfId="0" applyNumberFormat="1" applyFill="1" applyBorder="1" applyAlignment="1">
      <alignment/>
    </xf>
    <xf numFmtId="0" fontId="8" fillId="0" borderId="64" xfId="0" applyFont="1" applyBorder="1" applyAlignment="1">
      <alignment horizontal="right"/>
    </xf>
    <xf numFmtId="175" fontId="2" fillId="37" borderId="197" xfId="46" applyNumberFormat="1" applyFont="1" applyFill="1" applyBorder="1" applyAlignment="1">
      <alignment horizontal="center" vertical="center" wrapText="1"/>
    </xf>
    <xf numFmtId="175" fontId="2" fillId="37" borderId="115" xfId="46" applyNumberFormat="1" applyFont="1" applyFill="1" applyBorder="1" applyAlignment="1">
      <alignment horizontal="center"/>
    </xf>
    <xf numFmtId="175" fontId="2" fillId="0" borderId="115" xfId="46" applyNumberFormat="1" applyFont="1" applyBorder="1" applyAlignment="1">
      <alignment/>
    </xf>
    <xf numFmtId="175" fontId="0" fillId="0" borderId="115" xfId="46" applyNumberFormat="1" applyBorder="1" applyAlignment="1">
      <alignment/>
    </xf>
    <xf numFmtId="175" fontId="0" fillId="0" borderId="116" xfId="46" applyNumberFormat="1" applyBorder="1" applyAlignment="1">
      <alignment/>
    </xf>
    <xf numFmtId="175" fontId="0" fillId="0" borderId="117" xfId="46" applyNumberFormat="1" applyBorder="1" applyAlignment="1">
      <alignment/>
    </xf>
    <xf numFmtId="175" fontId="0" fillId="0" borderId="195" xfId="46" applyNumberFormat="1" applyBorder="1" applyAlignment="1">
      <alignment/>
    </xf>
    <xf numFmtId="175" fontId="8" fillId="0" borderId="115" xfId="46" applyNumberFormat="1" applyFont="1" applyBorder="1" applyAlignment="1">
      <alignment/>
    </xf>
    <xf numFmtId="175" fontId="5" fillId="33" borderId="198" xfId="46" applyNumberFormat="1" applyFont="1" applyFill="1" applyBorder="1" applyAlignment="1">
      <alignment vertical="center"/>
    </xf>
    <xf numFmtId="175" fontId="0" fillId="36" borderId="195" xfId="46" applyNumberFormat="1" applyFill="1" applyBorder="1" applyAlignment="1">
      <alignment/>
    </xf>
    <xf numFmtId="175" fontId="24" fillId="39" borderId="77" xfId="46" applyNumberFormat="1" applyFont="1" applyFill="1" applyBorder="1" applyAlignment="1">
      <alignment/>
    </xf>
    <xf numFmtId="175" fontId="18" fillId="39" borderId="77" xfId="46" applyNumberFormat="1" applyFont="1" applyFill="1" applyBorder="1" applyAlignment="1">
      <alignment/>
    </xf>
    <xf numFmtId="175" fontId="24" fillId="39" borderId="77" xfId="46" applyNumberFormat="1" applyFont="1" applyFill="1" applyBorder="1" applyAlignment="1">
      <alignment horizontal="right"/>
    </xf>
    <xf numFmtId="175" fontId="2" fillId="39" borderId="77" xfId="46" applyNumberFormat="1" applyFont="1" applyFill="1" applyBorder="1" applyAlignment="1">
      <alignment/>
    </xf>
    <xf numFmtId="175" fontId="34" fillId="39" borderId="77" xfId="46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3" fontId="8" fillId="49" borderId="12" xfId="0" applyNumberFormat="1" applyFont="1" applyFill="1" applyBorder="1" applyAlignment="1">
      <alignment horizontal="right"/>
    </xf>
    <xf numFmtId="3" fontId="0" fillId="33" borderId="18" xfId="0" applyNumberFormat="1" applyFont="1" applyFill="1" applyBorder="1" applyAlignment="1">
      <alignment/>
    </xf>
    <xf numFmtId="3" fontId="0" fillId="33" borderId="53" xfId="0" applyNumberFormat="1" applyFont="1" applyFill="1" applyBorder="1" applyAlignment="1">
      <alignment/>
    </xf>
    <xf numFmtId="3" fontId="2" fillId="33" borderId="74" xfId="0" applyNumberFormat="1" applyFont="1" applyFill="1" applyBorder="1" applyAlignment="1">
      <alignment horizontal="center" vertical="center"/>
    </xf>
    <xf numFmtId="0" fontId="8" fillId="0" borderId="132" xfId="0" applyFont="1" applyBorder="1" applyAlignment="1">
      <alignment/>
    </xf>
    <xf numFmtId="175" fontId="8" fillId="0" borderId="111" xfId="46" applyNumberFormat="1" applyFont="1" applyBorder="1" applyAlignment="1">
      <alignment/>
    </xf>
    <xf numFmtId="175" fontId="8" fillId="0" borderId="138" xfId="46" applyNumberFormat="1" applyFont="1" applyBorder="1" applyAlignment="1">
      <alignment/>
    </xf>
    <xf numFmtId="175" fontId="8" fillId="0" borderId="154" xfId="46" applyNumberFormat="1" applyFont="1" applyBorder="1" applyAlignment="1">
      <alignment/>
    </xf>
    <xf numFmtId="0" fontId="2" fillId="0" borderId="91" xfId="0" applyFont="1" applyBorder="1" applyAlignment="1">
      <alignment wrapText="1"/>
    </xf>
    <xf numFmtId="0" fontId="8" fillId="39" borderId="180" xfId="0" applyFont="1" applyFill="1" applyBorder="1" applyAlignment="1">
      <alignment horizontal="left" vertical="top" wrapText="1"/>
    </xf>
    <xf numFmtId="0" fontId="8" fillId="39" borderId="90" xfId="0" applyFont="1" applyFill="1" applyBorder="1" applyAlignment="1">
      <alignment horizontal="left" vertical="top" wrapText="1"/>
    </xf>
    <xf numFmtId="0" fontId="8" fillId="39" borderId="84" xfId="0" applyFont="1" applyFill="1" applyBorder="1" applyAlignment="1">
      <alignment horizontal="left" vertical="top" wrapText="1"/>
    </xf>
    <xf numFmtId="0" fontId="2" fillId="39" borderId="92" xfId="0" applyFont="1" applyFill="1" applyBorder="1" applyAlignment="1">
      <alignment horizontal="left" vertical="top" wrapText="1"/>
    </xf>
    <xf numFmtId="0" fontId="8" fillId="0" borderId="103" xfId="0" applyFont="1" applyBorder="1" applyAlignment="1">
      <alignment horizontal="right"/>
    </xf>
    <xf numFmtId="0" fontId="0" fillId="39" borderId="104" xfId="0" applyFont="1" applyFill="1" applyBorder="1" applyAlignment="1">
      <alignment horizontal="left" vertical="top" wrapText="1"/>
    </xf>
    <xf numFmtId="175" fontId="5" fillId="0" borderId="151" xfId="46" applyNumberFormat="1" applyFont="1" applyBorder="1" applyAlignment="1">
      <alignment horizontal="center" vertical="center"/>
    </xf>
    <xf numFmtId="175" fontId="5" fillId="0" borderId="152" xfId="46" applyNumberFormat="1" applyFont="1" applyBorder="1" applyAlignment="1">
      <alignment horizontal="center" vertical="center"/>
    </xf>
    <xf numFmtId="175" fontId="5" fillId="0" borderId="92" xfId="46" applyNumberFormat="1" applyFont="1" applyBorder="1" applyAlignment="1">
      <alignment horizontal="center" vertical="center"/>
    </xf>
    <xf numFmtId="175" fontId="2" fillId="39" borderId="143" xfId="46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175" fontId="0" fillId="36" borderId="14" xfId="46" applyNumberFormat="1" applyFont="1" applyFill="1" applyBorder="1" applyAlignment="1">
      <alignment/>
    </xf>
    <xf numFmtId="3" fontId="15" fillId="37" borderId="137" xfId="0" applyNumberFormat="1" applyFont="1" applyFill="1" applyBorder="1" applyAlignment="1">
      <alignment wrapText="1"/>
    </xf>
    <xf numFmtId="177" fontId="5" fillId="37" borderId="137" xfId="0" applyNumberFormat="1" applyFont="1" applyFill="1" applyBorder="1" applyAlignment="1">
      <alignment/>
    </xf>
    <xf numFmtId="175" fontId="5" fillId="37" borderId="199" xfId="46" applyNumberFormat="1" applyFont="1" applyFill="1" applyBorder="1" applyAlignment="1">
      <alignment/>
    </xf>
    <xf numFmtId="3" fontId="2" fillId="33" borderId="200" xfId="0" applyNumberFormat="1" applyFont="1" applyFill="1" applyBorder="1" applyAlignment="1">
      <alignment horizontal="center" vertical="center" wrapText="1"/>
    </xf>
    <xf numFmtId="3" fontId="0" fillId="33" borderId="48" xfId="0" applyNumberFormat="1" applyFill="1" applyBorder="1" applyAlignment="1">
      <alignment horizontal="center" vertical="center"/>
    </xf>
    <xf numFmtId="3" fontId="0" fillId="33" borderId="107" xfId="0" applyNumberFormat="1" applyFill="1" applyBorder="1" applyAlignment="1">
      <alignment horizontal="center" vertical="center"/>
    </xf>
    <xf numFmtId="175" fontId="2" fillId="33" borderId="97" xfId="46" applyNumberFormat="1" applyFont="1" applyFill="1" applyBorder="1" applyAlignment="1">
      <alignment horizontal="center"/>
    </xf>
    <xf numFmtId="175" fontId="2" fillId="41" borderId="201" xfId="46" applyNumberFormat="1" applyFont="1" applyFill="1" applyBorder="1" applyAlignment="1">
      <alignment horizontal="center"/>
    </xf>
    <xf numFmtId="0" fontId="2" fillId="0" borderId="15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left" vertical="center" wrapText="1"/>
    </xf>
    <xf numFmtId="175" fontId="18" fillId="0" borderId="53" xfId="46" applyNumberFormat="1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175" fontId="6" fillId="0" borderId="112" xfId="46" applyNumberFormat="1" applyFont="1" applyBorder="1" applyAlignment="1">
      <alignment/>
    </xf>
    <xf numFmtId="175" fontId="8" fillId="0" borderId="61" xfId="46" applyNumberFormat="1" applyFont="1" applyBorder="1" applyAlignment="1">
      <alignment/>
    </xf>
    <xf numFmtId="0" fontId="0" fillId="0" borderId="132" xfId="0" applyBorder="1" applyAlignment="1">
      <alignment/>
    </xf>
    <xf numFmtId="0" fontId="2" fillId="0" borderId="157" xfId="0" applyFont="1" applyBorder="1" applyAlignment="1">
      <alignment/>
    </xf>
    <xf numFmtId="3" fontId="80" fillId="39" borderId="22" xfId="0" applyNumberFormat="1" applyFont="1" applyFill="1" applyBorder="1" applyAlignment="1">
      <alignment horizontal="right"/>
    </xf>
    <xf numFmtId="3" fontId="80" fillId="39" borderId="12" xfId="0" applyNumberFormat="1" applyFont="1" applyFill="1" applyBorder="1" applyAlignment="1">
      <alignment/>
    </xf>
    <xf numFmtId="0" fontId="8" fillId="39" borderId="76" xfId="0" applyFont="1" applyFill="1" applyBorder="1" applyAlignment="1">
      <alignment horizontal="center"/>
    </xf>
    <xf numFmtId="0" fontId="8" fillId="39" borderId="12" xfId="0" applyFont="1" applyFill="1" applyBorder="1" applyAlignment="1">
      <alignment/>
    </xf>
    <xf numFmtId="0" fontId="13" fillId="39" borderId="11" xfId="0" applyFont="1" applyFill="1" applyBorder="1" applyAlignment="1">
      <alignment wrapText="1"/>
    </xf>
    <xf numFmtId="175" fontId="8" fillId="39" borderId="119" xfId="46" applyNumberFormat="1" applyFont="1" applyFill="1" applyBorder="1" applyAlignment="1">
      <alignment/>
    </xf>
    <xf numFmtId="3" fontId="8" fillId="39" borderId="0" xfId="0" applyNumberFormat="1" applyFont="1" applyFill="1" applyAlignment="1">
      <alignment/>
    </xf>
    <xf numFmtId="0" fontId="13" fillId="39" borderId="11" xfId="0" applyFont="1" applyFill="1" applyBorder="1" applyAlignment="1">
      <alignment horizontal="left" wrapText="1"/>
    </xf>
    <xf numFmtId="3" fontId="0" fillId="39" borderId="61" xfId="0" applyNumberFormat="1" applyFill="1" applyBorder="1" applyAlignment="1">
      <alignment/>
    </xf>
    <xf numFmtId="3" fontId="24" fillId="0" borderId="22" xfId="0" applyNumberFormat="1" applyFont="1" applyBorder="1" applyAlignment="1">
      <alignment/>
    </xf>
    <xf numFmtId="3" fontId="3" fillId="41" borderId="62" xfId="0" applyNumberFormat="1" applyFont="1" applyFill="1" applyBorder="1" applyAlignment="1">
      <alignment horizontal="center" vertical="center" wrapText="1"/>
    </xf>
    <xf numFmtId="3" fontId="4" fillId="41" borderId="62" xfId="0" applyNumberFormat="1" applyFont="1" applyFill="1" applyBorder="1" applyAlignment="1">
      <alignment horizontal="center" vertical="center" wrapText="1"/>
    </xf>
    <xf numFmtId="3" fontId="2" fillId="41" borderId="62" xfId="0" applyNumberFormat="1" applyFont="1" applyFill="1" applyBorder="1" applyAlignment="1">
      <alignment horizontal="center" vertical="center"/>
    </xf>
    <xf numFmtId="175" fontId="2" fillId="41" borderId="62" xfId="46" applyNumberFormat="1" applyFont="1" applyFill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/>
    </xf>
    <xf numFmtId="175" fontId="8" fillId="47" borderId="53" xfId="46" applyNumberFormat="1" applyFont="1" applyFill="1" applyBorder="1" applyAlignment="1">
      <alignment/>
    </xf>
    <xf numFmtId="175" fontId="8" fillId="39" borderId="53" xfId="46" applyNumberFormat="1" applyFont="1" applyFill="1" applyBorder="1" applyAlignment="1">
      <alignment/>
    </xf>
    <xf numFmtId="0" fontId="2" fillId="39" borderId="0" xfId="0" applyFont="1" applyFill="1" applyAlignment="1">
      <alignment horizontal="center"/>
    </xf>
    <xf numFmtId="3" fontId="0" fillId="39" borderId="0" xfId="0" applyNumberFormat="1" applyFont="1" applyFill="1" applyAlignment="1">
      <alignment/>
    </xf>
    <xf numFmtId="3" fontId="0" fillId="39" borderId="0" xfId="0" applyNumberFormat="1" applyFont="1" applyFill="1" applyAlignment="1">
      <alignment horizontal="right"/>
    </xf>
    <xf numFmtId="3" fontId="0" fillId="39" borderId="0" xfId="0" applyNumberFormat="1" applyFont="1" applyFill="1" applyAlignment="1">
      <alignment horizontal="center"/>
    </xf>
    <xf numFmtId="3" fontId="0" fillId="39" borderId="53" xfId="0" applyNumberFormat="1" applyFont="1" applyFill="1" applyBorder="1" applyAlignment="1">
      <alignment horizontal="center"/>
    </xf>
    <xf numFmtId="3" fontId="0" fillId="47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0" fontId="0" fillId="39" borderId="76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175" fontId="0" fillId="39" borderId="119" xfId="46" applyNumberFormat="1" applyFont="1" applyFill="1" applyBorder="1" applyAlignment="1">
      <alignment/>
    </xf>
    <xf numFmtId="175" fontId="0" fillId="47" borderId="119" xfId="46" applyNumberFormat="1" applyFont="1" applyFill="1" applyBorder="1" applyAlignment="1">
      <alignment/>
    </xf>
    <xf numFmtId="175" fontId="0" fillId="51" borderId="119" xfId="46" applyNumberFormat="1" applyFont="1" applyFill="1" applyBorder="1" applyAlignment="1">
      <alignment/>
    </xf>
    <xf numFmtId="0" fontId="0" fillId="41" borderId="70" xfId="0" applyFont="1" applyFill="1" applyBorder="1" applyAlignment="1">
      <alignment/>
    </xf>
    <xf numFmtId="175" fontId="0" fillId="39" borderId="10" xfId="46" applyNumberFormat="1" applyFont="1" applyFill="1" applyBorder="1" applyAlignment="1">
      <alignment/>
    </xf>
    <xf numFmtId="175" fontId="0" fillId="39" borderId="12" xfId="46" applyNumberFormat="1" applyFont="1" applyFill="1" applyBorder="1" applyAlignment="1">
      <alignment/>
    </xf>
    <xf numFmtId="3" fontId="17" fillId="39" borderId="0" xfId="0" applyNumberFormat="1" applyFont="1" applyFill="1" applyAlignment="1">
      <alignment/>
    </xf>
    <xf numFmtId="3" fontId="2" fillId="41" borderId="128" xfId="0" applyNumberFormat="1" applyFont="1" applyFill="1" applyBorder="1" applyAlignment="1">
      <alignment horizontal="center"/>
    </xf>
    <xf numFmtId="3" fontId="0" fillId="39" borderId="62" xfId="0" applyNumberFormat="1" applyFont="1" applyFill="1" applyBorder="1" applyAlignment="1">
      <alignment horizontal="center"/>
    </xf>
    <xf numFmtId="3" fontId="0" fillId="39" borderId="62" xfId="0" applyNumberFormat="1" applyFont="1" applyFill="1" applyBorder="1" applyAlignment="1">
      <alignment wrapText="1"/>
    </xf>
    <xf numFmtId="3" fontId="5" fillId="39" borderId="108" xfId="0" applyNumberFormat="1" applyFont="1" applyFill="1" applyBorder="1" applyAlignment="1">
      <alignment horizontal="center"/>
    </xf>
    <xf numFmtId="3" fontId="5" fillId="39" borderId="63" xfId="0" applyNumberFormat="1" applyFont="1" applyFill="1" applyBorder="1" applyAlignment="1">
      <alignment horizontal="center" wrapText="1"/>
    </xf>
    <xf numFmtId="3" fontId="5" fillId="39" borderId="63" xfId="0" applyNumberFormat="1" applyFont="1" applyFill="1" applyBorder="1" applyAlignment="1">
      <alignment/>
    </xf>
    <xf numFmtId="3" fontId="5" fillId="39" borderId="91" xfId="0" applyNumberFormat="1" applyFont="1" applyFill="1" applyBorder="1" applyAlignment="1">
      <alignment/>
    </xf>
    <xf numFmtId="3" fontId="5" fillId="39" borderId="63" xfId="0" applyNumberFormat="1" applyFont="1" applyFill="1" applyBorder="1" applyAlignment="1">
      <alignment horizontal="center"/>
    </xf>
    <xf numFmtId="3" fontId="8" fillId="39" borderId="53" xfId="0" applyNumberFormat="1" applyFont="1" applyFill="1" applyBorder="1" applyAlignment="1">
      <alignment horizontal="center"/>
    </xf>
    <xf numFmtId="3" fontId="8" fillId="39" borderId="53" xfId="0" applyNumberFormat="1" applyFont="1" applyFill="1" applyBorder="1" applyAlignment="1">
      <alignment wrapText="1"/>
    </xf>
    <xf numFmtId="3" fontId="8" fillId="39" borderId="53" xfId="0" applyNumberFormat="1" applyFont="1" applyFill="1" applyBorder="1" applyAlignment="1">
      <alignment/>
    </xf>
    <xf numFmtId="3" fontId="0" fillId="39" borderId="0" xfId="0" applyNumberFormat="1" applyFont="1" applyFill="1" applyAlignment="1">
      <alignment horizontal="center"/>
    </xf>
    <xf numFmtId="3" fontId="17" fillId="50" borderId="108" xfId="0" applyNumberFormat="1" applyFont="1" applyFill="1" applyBorder="1" applyAlignment="1">
      <alignment horizontal="center"/>
    </xf>
    <xf numFmtId="3" fontId="17" fillId="49" borderId="63" xfId="0" applyNumberFormat="1" applyFont="1" applyFill="1" applyBorder="1" applyAlignment="1">
      <alignment horizontal="center"/>
    </xf>
    <xf numFmtId="3" fontId="5" fillId="49" borderId="63" xfId="0" applyNumberFormat="1" applyFont="1" applyFill="1" applyBorder="1" applyAlignment="1">
      <alignment/>
    </xf>
    <xf numFmtId="3" fontId="5" fillId="49" borderId="91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175" fontId="0" fillId="0" borderId="53" xfId="46" applyNumberFormat="1" applyBorder="1" applyAlignment="1">
      <alignment horizontal="left" vertical="center"/>
    </xf>
    <xf numFmtId="3" fontId="2" fillId="41" borderId="125" xfId="0" applyNumberFormat="1" applyFont="1" applyFill="1" applyBorder="1" applyAlignment="1">
      <alignment horizontal="center" vertical="center" wrapText="1"/>
    </xf>
    <xf numFmtId="175" fontId="0" fillId="39" borderId="115" xfId="46" applyNumberFormat="1" applyFill="1" applyBorder="1" applyAlignment="1">
      <alignment horizontal="center" vertical="center"/>
    </xf>
    <xf numFmtId="3" fontId="2" fillId="41" borderId="0" xfId="0" applyNumberFormat="1" applyFont="1" applyFill="1" applyBorder="1" applyAlignment="1">
      <alignment horizontal="center"/>
    </xf>
    <xf numFmtId="3" fontId="5" fillId="39" borderId="0" xfId="0" applyNumberFormat="1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3" fontId="8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39" fillId="39" borderId="0" xfId="0" applyNumberFormat="1" applyFont="1" applyFill="1" applyBorder="1" applyAlignment="1">
      <alignment/>
    </xf>
    <xf numFmtId="3" fontId="5" fillId="41" borderId="0" xfId="0" applyNumberFormat="1" applyFont="1" applyFill="1" applyBorder="1" applyAlignment="1">
      <alignment/>
    </xf>
    <xf numFmtId="3" fontId="0" fillId="39" borderId="102" xfId="0" applyNumberFormat="1" applyFont="1" applyFill="1" applyBorder="1" applyAlignment="1">
      <alignment horizontal="center"/>
    </xf>
    <xf numFmtId="3" fontId="0" fillId="39" borderId="90" xfId="0" applyNumberFormat="1" applyFont="1" applyFill="1" applyBorder="1" applyAlignment="1">
      <alignment/>
    </xf>
    <xf numFmtId="3" fontId="0" fillId="39" borderId="101" xfId="0" applyNumberFormat="1" applyFont="1" applyFill="1" applyBorder="1" applyAlignment="1">
      <alignment horizontal="center"/>
    </xf>
    <xf numFmtId="3" fontId="0" fillId="39" borderId="84" xfId="0" applyNumberFormat="1" applyFont="1" applyFill="1" applyBorder="1" applyAlignment="1">
      <alignment/>
    </xf>
    <xf numFmtId="3" fontId="8" fillId="39" borderId="101" xfId="0" applyNumberFormat="1" applyFont="1" applyFill="1" applyBorder="1" applyAlignment="1">
      <alignment horizontal="center"/>
    </xf>
    <xf numFmtId="3" fontId="8" fillId="39" borderId="84" xfId="0" applyNumberFormat="1" applyFont="1" applyFill="1" applyBorder="1" applyAlignment="1">
      <alignment/>
    </xf>
    <xf numFmtId="3" fontId="2" fillId="39" borderId="101" xfId="0" applyNumberFormat="1" applyFont="1" applyFill="1" applyBorder="1" applyAlignment="1">
      <alignment horizontal="center"/>
    </xf>
    <xf numFmtId="3" fontId="0" fillId="39" borderId="0" xfId="0" applyNumberFormat="1" applyFont="1" applyFill="1" applyBorder="1" applyAlignment="1">
      <alignment vertical="center" wrapText="1"/>
    </xf>
    <xf numFmtId="175" fontId="0" fillId="47" borderId="115" xfId="46" applyNumberFormat="1" applyFill="1" applyBorder="1" applyAlignment="1">
      <alignment horizontal="right" vertical="center"/>
    </xf>
    <xf numFmtId="175" fontId="0" fillId="39" borderId="116" xfId="46" applyNumberFormat="1" applyFill="1" applyBorder="1" applyAlignment="1">
      <alignment/>
    </xf>
    <xf numFmtId="3" fontId="8" fillId="0" borderId="29" xfId="0" applyNumberFormat="1" applyFont="1" applyBorder="1" applyAlignment="1">
      <alignment horizontal="center"/>
    </xf>
    <xf numFmtId="177" fontId="8" fillId="0" borderId="26" xfId="0" applyNumberFormat="1" applyFont="1" applyBorder="1" applyAlignment="1">
      <alignment/>
    </xf>
    <xf numFmtId="175" fontId="8" fillId="0" borderId="116" xfId="46" applyNumberFormat="1" applyFont="1" applyBorder="1" applyAlignment="1">
      <alignment/>
    </xf>
    <xf numFmtId="3" fontId="0" fillId="39" borderId="53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75" fontId="0" fillId="0" borderId="12" xfId="46" applyNumberFormat="1" applyFont="1" applyBorder="1" applyAlignment="1">
      <alignment/>
    </xf>
    <xf numFmtId="0" fontId="0" fillId="0" borderId="0" xfId="0" applyFont="1" applyAlignment="1">
      <alignment/>
    </xf>
    <xf numFmtId="175" fontId="0" fillId="0" borderId="0" xfId="46" applyNumberFormat="1" applyFont="1" applyAlignment="1">
      <alignment/>
    </xf>
    <xf numFmtId="175" fontId="2" fillId="0" borderId="0" xfId="46" applyNumberFormat="1" applyFont="1" applyAlignment="1">
      <alignment/>
    </xf>
    <xf numFmtId="0" fontId="2" fillId="0" borderId="18" xfId="0" applyFont="1" applyBorder="1" applyAlignment="1">
      <alignment wrapText="1"/>
    </xf>
    <xf numFmtId="175" fontId="2" fillId="0" borderId="26" xfId="46" applyNumberFormat="1" applyFont="1" applyBorder="1" applyAlignment="1">
      <alignment/>
    </xf>
    <xf numFmtId="0" fontId="5" fillId="38" borderId="47" xfId="0" applyFont="1" applyFill="1" applyBorder="1" applyAlignment="1">
      <alignment horizontal="center" vertical="center"/>
    </xf>
    <xf numFmtId="0" fontId="5" fillId="38" borderId="49" xfId="0" applyFont="1" applyFill="1" applyBorder="1" applyAlignment="1">
      <alignment/>
    </xf>
    <xf numFmtId="0" fontId="5" fillId="38" borderId="49" xfId="0" applyFont="1" applyFill="1" applyBorder="1" applyAlignment="1">
      <alignment wrapText="1"/>
    </xf>
    <xf numFmtId="175" fontId="0" fillId="38" borderId="49" xfId="46" applyNumberFormat="1" applyFill="1" applyBorder="1" applyAlignment="1">
      <alignment/>
    </xf>
    <xf numFmtId="175" fontId="5" fillId="38" borderId="72" xfId="46" applyNumberFormat="1" applyFont="1" applyFill="1" applyBorder="1" applyAlignment="1">
      <alignment/>
    </xf>
    <xf numFmtId="175" fontId="0" fillId="39" borderId="12" xfId="46" applyNumberFormat="1" applyFill="1" applyBorder="1" applyAlignment="1">
      <alignment/>
    </xf>
    <xf numFmtId="175" fontId="0" fillId="0" borderId="0" xfId="46" applyNumberFormat="1" applyFont="1" applyBorder="1" applyAlignment="1">
      <alignment horizontal="right"/>
    </xf>
    <xf numFmtId="175" fontId="2" fillId="33" borderId="202" xfId="46" applyNumberFormat="1" applyFont="1" applyFill="1" applyBorder="1" applyAlignment="1">
      <alignment horizontal="center" vertical="center" wrapText="1"/>
    </xf>
    <xf numFmtId="175" fontId="2" fillId="33" borderId="203" xfId="46" applyNumberFormat="1" applyFont="1" applyFill="1" applyBorder="1" applyAlignment="1">
      <alignment horizontal="center" vertical="center" wrapText="1"/>
    </xf>
    <xf numFmtId="175" fontId="2" fillId="33" borderId="88" xfId="46" applyNumberFormat="1" applyFont="1" applyFill="1" applyBorder="1" applyAlignment="1">
      <alignment horizontal="center" vertical="center"/>
    </xf>
    <xf numFmtId="175" fontId="2" fillId="0" borderId="88" xfId="46" applyNumberFormat="1" applyFont="1" applyBorder="1" applyAlignment="1">
      <alignment horizontal="center" vertical="center"/>
    </xf>
    <xf numFmtId="175" fontId="8" fillId="0" borderId="88" xfId="46" applyNumberFormat="1" applyFont="1" applyBorder="1" applyAlignment="1">
      <alignment horizontal="center" vertical="center"/>
    </xf>
    <xf numFmtId="175" fontId="8" fillId="0" borderId="154" xfId="46" applyNumberFormat="1" applyFont="1" applyBorder="1" applyAlignment="1">
      <alignment horizontal="center" vertical="center"/>
    </xf>
    <xf numFmtId="175" fontId="0" fillId="39" borderId="88" xfId="46" applyNumberFormat="1" applyFill="1" applyBorder="1" applyAlignment="1">
      <alignment horizontal="center" vertical="center"/>
    </xf>
    <xf numFmtId="175" fontId="0" fillId="0" borderId="77" xfId="46" applyNumberFormat="1" applyBorder="1" applyAlignment="1">
      <alignment horizontal="center" vertical="center"/>
    </xf>
    <xf numFmtId="175" fontId="0" fillId="0" borderId="87" xfId="46" applyNumberFormat="1" applyBorder="1" applyAlignment="1">
      <alignment horizontal="center" vertical="center"/>
    </xf>
    <xf numFmtId="3" fontId="5" fillId="37" borderId="98" xfId="0" applyNumberFormat="1" applyFont="1" applyFill="1" applyBorder="1" applyAlignment="1">
      <alignment horizontal="left"/>
    </xf>
    <xf numFmtId="3" fontId="5" fillId="37" borderId="99" xfId="0" applyNumberFormat="1" applyFont="1" applyFill="1" applyBorder="1" applyAlignment="1">
      <alignment horizontal="left"/>
    </xf>
    <xf numFmtId="175" fontId="5" fillId="37" borderId="204" xfId="46" applyNumberFormat="1" applyFont="1" applyFill="1" applyBorder="1" applyAlignment="1">
      <alignment/>
    </xf>
    <xf numFmtId="175" fontId="5" fillId="37" borderId="112" xfId="46" applyNumberFormat="1" applyFont="1" applyFill="1" applyBorder="1" applyAlignment="1">
      <alignment/>
    </xf>
    <xf numFmtId="175" fontId="8" fillId="36" borderId="53" xfId="46" applyNumberFormat="1" applyFont="1" applyFill="1" applyBorder="1" applyAlignment="1">
      <alignment horizontal="right"/>
    </xf>
    <xf numFmtId="175" fontId="0" fillId="36" borderId="136" xfId="46" applyNumberFormat="1" applyFill="1" applyBorder="1" applyAlignment="1">
      <alignment/>
    </xf>
    <xf numFmtId="175" fontId="8" fillId="0" borderId="125" xfId="46" applyNumberFormat="1" applyFont="1" applyBorder="1" applyAlignment="1">
      <alignment horizontal="right"/>
    </xf>
    <xf numFmtId="0" fontId="2" fillId="42" borderId="0" xfId="0" applyFont="1" applyFill="1" applyBorder="1" applyAlignment="1">
      <alignment horizontal="center"/>
    </xf>
    <xf numFmtId="175" fontId="2" fillId="39" borderId="0" xfId="46" applyNumberFormat="1" applyFont="1" applyFill="1" applyBorder="1" applyAlignment="1">
      <alignment/>
    </xf>
    <xf numFmtId="175" fontId="0" fillId="39" borderId="0" xfId="46" applyNumberFormat="1" applyFont="1" applyFill="1" applyBorder="1" applyAlignment="1">
      <alignment/>
    </xf>
    <xf numFmtId="175" fontId="0" fillId="47" borderId="0" xfId="46" applyNumberFormat="1" applyFont="1" applyFill="1" applyBorder="1" applyAlignment="1">
      <alignment/>
    </xf>
    <xf numFmtId="175" fontId="0" fillId="51" borderId="0" xfId="46" applyNumberFormat="1" applyFont="1" applyFill="1" applyBorder="1" applyAlignment="1">
      <alignment/>
    </xf>
    <xf numFmtId="175" fontId="8" fillId="39" borderId="0" xfId="46" applyNumberFormat="1" applyFont="1" applyFill="1" applyBorder="1" applyAlignment="1">
      <alignment/>
    </xf>
    <xf numFmtId="175" fontId="2" fillId="41" borderId="0" xfId="46" applyNumberFormat="1" applyFont="1" applyFill="1" applyBorder="1" applyAlignment="1">
      <alignment/>
    </xf>
    <xf numFmtId="0" fontId="2" fillId="52" borderId="0" xfId="0" applyFont="1" applyFill="1" applyBorder="1" applyAlignment="1">
      <alignment horizontal="center" vertical="center" wrapText="1"/>
    </xf>
    <xf numFmtId="0" fontId="2" fillId="52" borderId="122" xfId="0" applyFont="1" applyFill="1" applyBorder="1" applyAlignment="1">
      <alignment/>
    </xf>
    <xf numFmtId="0" fontId="2" fillId="52" borderId="55" xfId="0" applyFont="1" applyFill="1" applyBorder="1" applyAlignment="1">
      <alignment horizontal="center" vertical="center" wrapText="1"/>
    </xf>
    <xf numFmtId="0" fontId="2" fillId="52" borderId="205" xfId="0" applyFont="1" applyFill="1" applyBorder="1" applyAlignment="1">
      <alignment horizontal="center" vertical="center" wrapText="1"/>
    </xf>
    <xf numFmtId="0" fontId="0" fillId="39" borderId="110" xfId="0" applyFont="1" applyFill="1" applyBorder="1" applyAlignment="1">
      <alignment/>
    </xf>
    <xf numFmtId="175" fontId="0" fillId="39" borderId="206" xfId="46" applyNumberFormat="1" applyFont="1" applyFill="1" applyBorder="1" applyAlignment="1">
      <alignment/>
    </xf>
    <xf numFmtId="0" fontId="0" fillId="39" borderId="76" xfId="0" applyFont="1" applyFill="1" applyBorder="1" applyAlignment="1">
      <alignment/>
    </xf>
    <xf numFmtId="175" fontId="0" fillId="39" borderId="77" xfId="46" applyNumberFormat="1" applyFont="1" applyFill="1" applyBorder="1" applyAlignment="1">
      <alignment/>
    </xf>
    <xf numFmtId="0" fontId="2" fillId="41" borderId="207" xfId="0" applyFont="1" applyFill="1" applyBorder="1" applyAlignment="1">
      <alignment/>
    </xf>
    <xf numFmtId="175" fontId="2" fillId="41" borderId="57" xfId="46" applyNumberFormat="1" applyFont="1" applyFill="1" applyBorder="1" applyAlignment="1">
      <alignment/>
    </xf>
    <xf numFmtId="175" fontId="2" fillId="41" borderId="58" xfId="46" applyNumberFormat="1" applyFont="1" applyFill="1" applyBorder="1" applyAlignment="1">
      <alignment/>
    </xf>
    <xf numFmtId="0" fontId="0" fillId="39" borderId="0" xfId="0" applyFont="1" applyFill="1" applyBorder="1" applyAlignment="1">
      <alignment vertical="center"/>
    </xf>
    <xf numFmtId="0" fontId="6" fillId="39" borderId="0" xfId="0" applyFont="1" applyFill="1" applyAlignment="1">
      <alignment/>
    </xf>
    <xf numFmtId="3" fontId="0" fillId="39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0" fontId="6" fillId="39" borderId="0" xfId="0" applyFont="1" applyFill="1" applyAlignment="1">
      <alignment vertical="center"/>
    </xf>
    <xf numFmtId="3" fontId="0" fillId="39" borderId="12" xfId="0" applyNumberFormat="1" applyFont="1" applyFill="1" applyBorder="1" applyAlignment="1">
      <alignment/>
    </xf>
    <xf numFmtId="3" fontId="8" fillId="0" borderId="86" xfId="0" applyNumberFormat="1" applyFont="1" applyBorder="1" applyAlignment="1">
      <alignment horizontal="center"/>
    </xf>
    <xf numFmtId="3" fontId="8" fillId="0" borderId="76" xfId="0" applyNumberFormat="1" applyFont="1" applyBorder="1" applyAlignment="1">
      <alignment horizontal="center"/>
    </xf>
    <xf numFmtId="3" fontId="2" fillId="0" borderId="76" xfId="0" applyNumberFormat="1" applyFont="1" applyBorder="1" applyAlignment="1">
      <alignment horizontal="center"/>
    </xf>
    <xf numFmtId="175" fontId="2" fillId="36" borderId="77" xfId="46" applyNumberFormat="1" applyFont="1" applyFill="1" applyBorder="1" applyAlignment="1">
      <alignment/>
    </xf>
    <xf numFmtId="175" fontId="8" fillId="39" borderId="77" xfId="46" applyNumberFormat="1" applyFont="1" applyFill="1" applyBorder="1" applyAlignment="1">
      <alignment/>
    </xf>
    <xf numFmtId="3" fontId="1" fillId="0" borderId="76" xfId="0" applyNumberFormat="1" applyFont="1" applyBorder="1" applyAlignment="1">
      <alignment horizontal="center"/>
    </xf>
    <xf numFmtId="3" fontId="8" fillId="0" borderId="132" xfId="0" applyNumberFormat="1" applyFont="1" applyBorder="1" applyAlignment="1">
      <alignment/>
    </xf>
    <xf numFmtId="175" fontId="8" fillId="47" borderId="77" xfId="46" applyNumberFormat="1" applyFont="1" applyFill="1" applyBorder="1" applyAlignment="1">
      <alignment/>
    </xf>
    <xf numFmtId="3" fontId="6" fillId="0" borderId="208" xfId="0" applyNumberFormat="1" applyFont="1" applyBorder="1" applyAlignment="1">
      <alignment horizontal="center"/>
    </xf>
    <xf numFmtId="175" fontId="6" fillId="0" borderId="209" xfId="46" applyNumberFormat="1" applyFont="1" applyBorder="1" applyAlignment="1">
      <alignment/>
    </xf>
    <xf numFmtId="175" fontId="2" fillId="36" borderId="56" xfId="46" applyNumberFormat="1" applyFont="1" applyFill="1" applyBorder="1" applyAlignment="1">
      <alignment/>
    </xf>
    <xf numFmtId="175" fontId="2" fillId="36" borderId="84" xfId="46" applyNumberFormat="1" applyFont="1" applyFill="1" applyBorder="1" applyAlignment="1">
      <alignment/>
    </xf>
    <xf numFmtId="175" fontId="8" fillId="47" borderId="84" xfId="46" applyNumberFormat="1" applyFont="1" applyFill="1" applyBorder="1" applyAlignment="1">
      <alignment/>
    </xf>
    <xf numFmtId="175" fontId="8" fillId="0" borderId="84" xfId="46" applyNumberFormat="1" applyFont="1" applyBorder="1" applyAlignment="1">
      <alignment/>
    </xf>
    <xf numFmtId="175" fontId="2" fillId="0" borderId="128" xfId="46" applyNumberFormat="1" applyFont="1" applyBorder="1" applyAlignment="1">
      <alignment/>
    </xf>
    <xf numFmtId="175" fontId="5" fillId="33" borderId="72" xfId="46" applyNumberFormat="1" applyFont="1" applyFill="1" applyBorder="1" applyAlignment="1">
      <alignment vertical="center"/>
    </xf>
    <xf numFmtId="175" fontId="2" fillId="33" borderId="187" xfId="46" applyNumberFormat="1" applyFont="1" applyFill="1" applyBorder="1" applyAlignment="1">
      <alignment horizontal="center" vertical="center" wrapText="1"/>
    </xf>
    <xf numFmtId="175" fontId="2" fillId="33" borderId="77" xfId="46" applyNumberFormat="1" applyFont="1" applyFill="1" applyBorder="1" applyAlignment="1">
      <alignment horizontal="center"/>
    </xf>
    <xf numFmtId="175" fontId="2" fillId="47" borderId="77" xfId="46" applyNumberFormat="1" applyFont="1" applyFill="1" applyBorder="1" applyAlignment="1">
      <alignment/>
    </xf>
    <xf numFmtId="3" fontId="2" fillId="0" borderId="144" xfId="0" applyNumberFormat="1" applyFont="1" applyBorder="1" applyAlignment="1">
      <alignment horizontal="center"/>
    </xf>
    <xf numFmtId="175" fontId="2" fillId="39" borderId="87" xfId="46" applyNumberFormat="1" applyFont="1" applyFill="1" applyBorder="1" applyAlignment="1">
      <alignment/>
    </xf>
    <xf numFmtId="3" fontId="2" fillId="0" borderId="76" xfId="0" applyNumberFormat="1" applyFont="1" applyBorder="1" applyAlignment="1">
      <alignment/>
    </xf>
    <xf numFmtId="175" fontId="2" fillId="0" borderId="87" xfId="46" applyNumberFormat="1" applyFont="1" applyBorder="1" applyAlignment="1">
      <alignment/>
    </xf>
    <xf numFmtId="175" fontId="6" fillId="36" borderId="209" xfId="46" applyNumberFormat="1" applyFont="1" applyFill="1" applyBorder="1" applyAlignment="1">
      <alignment vertical="center"/>
    </xf>
    <xf numFmtId="175" fontId="2" fillId="36" borderId="127" xfId="46" applyNumberFormat="1" applyFont="1" applyFill="1" applyBorder="1" applyAlignment="1">
      <alignment/>
    </xf>
    <xf numFmtId="175" fontId="6" fillId="0" borderId="84" xfId="46" applyNumberFormat="1" applyFont="1" applyBorder="1" applyAlignment="1">
      <alignment vertical="center"/>
    </xf>
    <xf numFmtId="175" fontId="5" fillId="37" borderId="199" xfId="46" applyNumberFormat="1" applyFont="1" applyFill="1" applyBorder="1" applyAlignment="1">
      <alignment horizontal="center" vertical="center"/>
    </xf>
    <xf numFmtId="175" fontId="13" fillId="47" borderId="12" xfId="46" applyNumberFormat="1" applyFont="1" applyFill="1" applyBorder="1" applyAlignment="1">
      <alignment/>
    </xf>
    <xf numFmtId="0" fontId="0" fillId="39" borderId="13" xfId="0" applyFill="1" applyBorder="1" applyAlignment="1">
      <alignment horizontal="center" vertical="center"/>
    </xf>
    <xf numFmtId="3" fontId="2" fillId="41" borderId="101" xfId="0" applyNumberFormat="1" applyFont="1" applyFill="1" applyBorder="1" applyAlignment="1">
      <alignment vertical="center" wrapText="1"/>
    </xf>
    <xf numFmtId="175" fontId="2" fillId="41" borderId="84" xfId="46" applyNumberFormat="1" applyFont="1" applyFill="1" applyBorder="1" applyAlignment="1">
      <alignment horizontal="center" vertical="center"/>
    </xf>
    <xf numFmtId="3" fontId="8" fillId="41" borderId="101" xfId="0" applyNumberFormat="1" applyFont="1" applyFill="1" applyBorder="1" applyAlignment="1">
      <alignment vertical="center" wrapText="1"/>
    </xf>
    <xf numFmtId="175" fontId="8" fillId="41" borderId="84" xfId="46" applyNumberFormat="1" applyFont="1" applyFill="1" applyBorder="1" applyAlignment="1">
      <alignment horizontal="center" vertical="center"/>
    </xf>
    <xf numFmtId="175" fontId="6" fillId="0" borderId="72" xfId="46" applyNumberFormat="1" applyFont="1" applyBorder="1" applyAlignment="1">
      <alignment horizontal="right" vertical="center"/>
    </xf>
    <xf numFmtId="3" fontId="24" fillId="33" borderId="136" xfId="0" applyNumberFormat="1" applyFont="1" applyFill="1" applyBorder="1" applyAlignment="1">
      <alignment vertical="center" wrapText="1"/>
    </xf>
    <xf numFmtId="3" fontId="25" fillId="33" borderId="136" xfId="0" applyNumberFormat="1" applyFont="1" applyFill="1" applyBorder="1" applyAlignment="1">
      <alignment horizontal="center" vertical="center" wrapText="1"/>
    </xf>
    <xf numFmtId="3" fontId="25" fillId="33" borderId="127" xfId="0" applyNumberFormat="1" applyFont="1" applyFill="1" applyBorder="1" applyAlignment="1">
      <alignment horizontal="center" vertical="center" wrapText="1"/>
    </xf>
    <xf numFmtId="3" fontId="24" fillId="33" borderId="88" xfId="0" applyNumberFormat="1" applyFont="1" applyFill="1" applyBorder="1" applyAlignment="1">
      <alignment horizontal="center" vertical="center" wrapText="1"/>
    </xf>
    <xf numFmtId="3" fontId="24" fillId="0" borderId="156" xfId="0" applyNumberFormat="1" applyFont="1" applyBorder="1" applyAlignment="1">
      <alignment horizontal="center"/>
    </xf>
    <xf numFmtId="3" fontId="24" fillId="0" borderId="88" xfId="0" applyNumberFormat="1" applyFont="1" applyBorder="1" applyAlignment="1">
      <alignment/>
    </xf>
    <xf numFmtId="3" fontId="18" fillId="0" borderId="109" xfId="0" applyNumberFormat="1" applyFont="1" applyBorder="1" applyAlignment="1">
      <alignment horizontal="center"/>
    </xf>
    <xf numFmtId="3" fontId="18" fillId="0" borderId="77" xfId="0" applyNumberFormat="1" applyFont="1" applyBorder="1" applyAlignment="1">
      <alignment/>
    </xf>
    <xf numFmtId="3" fontId="24" fillId="0" borderId="109" xfId="0" applyNumberFormat="1" applyFont="1" applyBorder="1" applyAlignment="1">
      <alignment horizontal="center"/>
    </xf>
    <xf numFmtId="3" fontId="24" fillId="0" borderId="77" xfId="0" applyNumberFormat="1" applyFont="1" applyBorder="1" applyAlignment="1">
      <alignment/>
    </xf>
    <xf numFmtId="3" fontId="18" fillId="47" borderId="77" xfId="0" applyNumberFormat="1" applyFont="1" applyFill="1" applyBorder="1" applyAlignment="1">
      <alignment/>
    </xf>
    <xf numFmtId="3" fontId="18" fillId="39" borderId="77" xfId="0" applyNumberFormat="1" applyFont="1" applyFill="1" applyBorder="1" applyAlignment="1">
      <alignment/>
    </xf>
    <xf numFmtId="3" fontId="34" fillId="0" borderId="109" xfId="0" applyNumberFormat="1" applyFont="1" applyBorder="1" applyAlignment="1">
      <alignment horizontal="center"/>
    </xf>
    <xf numFmtId="3" fontId="24" fillId="39" borderId="77" xfId="0" applyNumberFormat="1" applyFont="1" applyFill="1" applyBorder="1" applyAlignment="1">
      <alignment/>
    </xf>
    <xf numFmtId="3" fontId="26" fillId="0" borderId="109" xfId="0" applyNumberFormat="1" applyFont="1" applyBorder="1" applyAlignment="1">
      <alignment horizontal="center"/>
    </xf>
    <xf numFmtId="3" fontId="26" fillId="39" borderId="77" xfId="0" applyNumberFormat="1" applyFont="1" applyFill="1" applyBorder="1" applyAlignment="1">
      <alignment/>
    </xf>
    <xf numFmtId="3" fontId="26" fillId="0" borderId="77" xfId="0" applyNumberFormat="1" applyFont="1" applyBorder="1" applyAlignment="1">
      <alignment/>
    </xf>
    <xf numFmtId="3" fontId="0" fillId="0" borderId="0" xfId="0" applyNumberForma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34" fillId="0" borderId="77" xfId="0" applyNumberFormat="1" applyFont="1" applyBorder="1" applyAlignment="1">
      <alignment/>
    </xf>
    <xf numFmtId="3" fontId="0" fillId="39" borderId="77" xfId="0" applyNumberFormat="1" applyFont="1" applyFill="1" applyBorder="1" applyAlignment="1">
      <alignment/>
    </xf>
    <xf numFmtId="3" fontId="18" fillId="0" borderId="110" xfId="0" applyNumberFormat="1" applyFont="1" applyBorder="1" applyAlignment="1">
      <alignment horizontal="center"/>
    </xf>
    <xf numFmtId="3" fontId="18" fillId="0" borderId="156" xfId="0" applyNumberFormat="1" applyFont="1" applyBorder="1" applyAlignment="1">
      <alignment horizontal="center"/>
    </xf>
    <xf numFmtId="3" fontId="0" fillId="39" borderId="0" xfId="0" applyNumberFormat="1" applyFill="1" applyBorder="1" applyAlignment="1">
      <alignment/>
    </xf>
    <xf numFmtId="0" fontId="18" fillId="0" borderId="0" xfId="0" applyFont="1" applyBorder="1" applyAlignment="1">
      <alignment/>
    </xf>
    <xf numFmtId="3" fontId="18" fillId="0" borderId="87" xfId="0" applyNumberFormat="1" applyFont="1" applyBorder="1" applyAlignment="1">
      <alignment/>
    </xf>
    <xf numFmtId="3" fontId="0" fillId="33" borderId="88" xfId="0" applyNumberFormat="1" applyFont="1" applyFill="1" applyBorder="1" applyAlignment="1">
      <alignment/>
    </xf>
    <xf numFmtId="3" fontId="0" fillId="33" borderId="77" xfId="0" applyNumberFormat="1" applyFont="1" applyFill="1" applyBorder="1" applyAlignment="1">
      <alignment/>
    </xf>
    <xf numFmtId="3" fontId="26" fillId="0" borderId="109" xfId="0" applyNumberFormat="1" applyFont="1" applyBorder="1" applyAlignment="1">
      <alignment horizontal="right"/>
    </xf>
    <xf numFmtId="3" fontId="8" fillId="33" borderId="77" xfId="0" applyNumberFormat="1" applyFont="1" applyFill="1" applyBorder="1" applyAlignment="1">
      <alignment horizontal="right"/>
    </xf>
    <xf numFmtId="3" fontId="8" fillId="49" borderId="77" xfId="0" applyNumberFormat="1" applyFont="1" applyFill="1" applyBorder="1" applyAlignment="1">
      <alignment horizontal="right"/>
    </xf>
    <xf numFmtId="3" fontId="0" fillId="33" borderId="87" xfId="0" applyNumberFormat="1" applyFont="1" applyFill="1" applyBorder="1" applyAlignment="1">
      <alignment/>
    </xf>
    <xf numFmtId="3" fontId="0" fillId="33" borderId="84" xfId="0" applyNumberFormat="1" applyFont="1" applyFill="1" applyBorder="1" applyAlignment="1">
      <alignment/>
    </xf>
    <xf numFmtId="3" fontId="18" fillId="33" borderId="84" xfId="0" applyNumberFormat="1" applyFont="1" applyFill="1" applyBorder="1" applyAlignment="1">
      <alignment/>
    </xf>
    <xf numFmtId="3" fontId="18" fillId="0" borderId="207" xfId="0" applyNumberFormat="1" applyFont="1" applyBorder="1" applyAlignment="1">
      <alignment horizontal="center"/>
    </xf>
    <xf numFmtId="3" fontId="18" fillId="33" borderId="125" xfId="0" applyNumberFormat="1" applyFont="1" applyFill="1" applyBorder="1" applyAlignment="1">
      <alignment horizontal="center"/>
    </xf>
    <xf numFmtId="3" fontId="18" fillId="40" borderId="125" xfId="0" applyNumberFormat="1" applyFont="1" applyFill="1" applyBorder="1" applyAlignment="1">
      <alignment wrapText="1"/>
    </xf>
    <xf numFmtId="3" fontId="18" fillId="33" borderId="125" xfId="0" applyNumberFormat="1" applyFont="1" applyFill="1" applyBorder="1" applyAlignment="1">
      <alignment/>
    </xf>
    <xf numFmtId="3" fontId="18" fillId="33" borderId="128" xfId="0" applyNumberFormat="1" applyFont="1" applyFill="1" applyBorder="1" applyAlignment="1">
      <alignment/>
    </xf>
    <xf numFmtId="3" fontId="18" fillId="0" borderId="76" xfId="0" applyNumberFormat="1" applyFont="1" applyBorder="1" applyAlignment="1">
      <alignment/>
    </xf>
    <xf numFmtId="3" fontId="0" fillId="0" borderId="76" xfId="0" applyNumberFormat="1" applyBorder="1" applyAlignment="1">
      <alignment horizontal="left" wrapText="1"/>
    </xf>
    <xf numFmtId="3" fontId="18" fillId="0" borderId="148" xfId="0" applyNumberFormat="1" applyFont="1" applyBorder="1" applyAlignment="1">
      <alignment/>
    </xf>
    <xf numFmtId="175" fontId="8" fillId="0" borderId="104" xfId="46" applyNumberFormat="1" applyFont="1" applyBorder="1" applyAlignment="1">
      <alignment/>
    </xf>
    <xf numFmtId="3" fontId="0" fillId="0" borderId="101" xfId="0" applyNumberFormat="1" applyBorder="1" applyAlignment="1">
      <alignment horizontal="left" vertical="center" wrapText="1"/>
    </xf>
    <xf numFmtId="0" fontId="2" fillId="0" borderId="124" xfId="0" applyFont="1" applyBorder="1" applyAlignment="1">
      <alignment/>
    </xf>
    <xf numFmtId="175" fontId="8" fillId="0" borderId="104" xfId="46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175" fontId="0" fillId="0" borderId="90" xfId="46" applyNumberFormat="1" applyBorder="1" applyAlignment="1">
      <alignment/>
    </xf>
    <xf numFmtId="0" fontId="2" fillId="0" borderId="101" xfId="0" applyFont="1" applyBorder="1" applyAlignment="1">
      <alignment horizontal="center" vertical="center" wrapText="1"/>
    </xf>
    <xf numFmtId="175" fontId="0" fillId="0" borderId="84" xfId="46" applyNumberFormat="1" applyBorder="1" applyAlignment="1">
      <alignment horizontal="center" vertical="center" wrapText="1"/>
    </xf>
    <xf numFmtId="175" fontId="1" fillId="0" borderId="84" xfId="46" applyNumberFormat="1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175" fontId="5" fillId="0" borderId="84" xfId="0" applyNumberFormat="1" applyFont="1" applyBorder="1" applyAlignment="1">
      <alignment horizontal="center" vertical="center" wrapText="1"/>
    </xf>
    <xf numFmtId="175" fontId="5" fillId="0" borderId="84" xfId="46" applyNumberFormat="1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175" fontId="5" fillId="48" borderId="180" xfId="0" applyNumberFormat="1" applyFont="1" applyFill="1" applyBorder="1" applyAlignment="1">
      <alignment/>
    </xf>
    <xf numFmtId="175" fontId="0" fillId="0" borderId="104" xfId="46" applyNumberFormat="1" applyBorder="1" applyAlignment="1">
      <alignment/>
    </xf>
    <xf numFmtId="175" fontId="2" fillId="0" borderId="22" xfId="46" applyNumberFormat="1" applyFont="1" applyBorder="1" applyAlignment="1">
      <alignment horizontal="center" vertical="center"/>
    </xf>
    <xf numFmtId="175" fontId="8" fillId="0" borderId="22" xfId="46" applyNumberFormat="1" applyFont="1" applyBorder="1" applyAlignment="1">
      <alignment horizontal="center" vertical="center"/>
    </xf>
    <xf numFmtId="175" fontId="8" fillId="0" borderId="146" xfId="46" applyNumberFormat="1" applyFont="1" applyBorder="1" applyAlignment="1">
      <alignment horizontal="center" vertical="center"/>
    </xf>
    <xf numFmtId="175" fontId="8" fillId="0" borderId="64" xfId="46" applyNumberFormat="1" applyFont="1" applyBorder="1" applyAlignment="1">
      <alignment horizontal="center" vertical="center"/>
    </xf>
    <xf numFmtId="175" fontId="2" fillId="0" borderId="64" xfId="46" applyNumberFormat="1" applyFont="1" applyBorder="1" applyAlignment="1">
      <alignment horizontal="center" vertical="center"/>
    </xf>
    <xf numFmtId="175" fontId="8" fillId="0" borderId="64" xfId="46" applyNumberFormat="1" applyFont="1" applyBorder="1" applyAlignment="1">
      <alignment horizontal="right" vertical="center"/>
    </xf>
    <xf numFmtId="175" fontId="6" fillId="0" borderId="160" xfId="46" applyNumberFormat="1" applyFont="1" applyBorder="1" applyAlignment="1">
      <alignment/>
    </xf>
    <xf numFmtId="175" fontId="2" fillId="33" borderId="154" xfId="46" applyNumberFormat="1" applyFont="1" applyFill="1" applyBorder="1" applyAlignment="1">
      <alignment horizontal="center" vertical="center"/>
    </xf>
    <xf numFmtId="175" fontId="2" fillId="0" borderId="114" xfId="46" applyNumberFormat="1" applyFont="1" applyBorder="1" applyAlignment="1">
      <alignment horizontal="center" vertical="center"/>
    </xf>
    <xf numFmtId="175" fontId="8" fillId="0" borderId="195" xfId="46" applyNumberFormat="1" applyFont="1" applyBorder="1" applyAlignment="1">
      <alignment horizontal="center" vertical="center"/>
    </xf>
    <xf numFmtId="175" fontId="8" fillId="0" borderId="155" xfId="46" applyNumberFormat="1" applyFont="1" applyBorder="1" applyAlignment="1">
      <alignment horizontal="center" vertical="center"/>
    </xf>
    <xf numFmtId="175" fontId="8" fillId="0" borderId="117" xfId="46" applyNumberFormat="1" applyFont="1" applyBorder="1" applyAlignment="1">
      <alignment horizontal="center" vertical="center"/>
    </xf>
    <xf numFmtId="175" fontId="8" fillId="0" borderId="117" xfId="46" applyNumberFormat="1" applyFont="1" applyBorder="1" applyAlignment="1">
      <alignment horizontal="right" vertical="center"/>
    </xf>
    <xf numFmtId="175" fontId="6" fillId="0" borderId="210" xfId="46" applyNumberFormat="1" applyFont="1" applyBorder="1" applyAlignment="1">
      <alignment/>
    </xf>
    <xf numFmtId="175" fontId="0" fillId="0" borderId="186" xfId="46" applyNumberFormat="1" applyBorder="1" applyAlignment="1">
      <alignment horizontal="center" vertical="center"/>
    </xf>
    <xf numFmtId="3" fontId="8" fillId="39" borderId="103" xfId="0" applyNumberFormat="1" applyFont="1" applyFill="1" applyBorder="1" applyAlignment="1">
      <alignment horizontal="center"/>
    </xf>
    <xf numFmtId="3" fontId="8" fillId="39" borderId="61" xfId="0" applyNumberFormat="1" applyFont="1" applyFill="1" applyBorder="1" applyAlignment="1">
      <alignment horizontal="center"/>
    </xf>
    <xf numFmtId="3" fontId="8" fillId="39" borderId="61" xfId="0" applyNumberFormat="1" applyFont="1" applyFill="1" applyBorder="1" applyAlignment="1">
      <alignment/>
    </xf>
    <xf numFmtId="3" fontId="8" fillId="39" borderId="104" xfId="0" applyNumberFormat="1" applyFont="1" applyFill="1" applyBorder="1" applyAlignment="1">
      <alignment/>
    </xf>
    <xf numFmtId="175" fontId="86" fillId="47" borderId="31" xfId="46" applyNumberFormat="1" applyFont="1" applyFill="1" applyBorder="1" applyAlignment="1">
      <alignment/>
    </xf>
    <xf numFmtId="175" fontId="85" fillId="39" borderId="14" xfId="46" applyNumberFormat="1" applyFont="1" applyFill="1" applyBorder="1" applyAlignment="1">
      <alignment/>
    </xf>
    <xf numFmtId="175" fontId="86" fillId="47" borderId="12" xfId="46" applyNumberFormat="1" applyFont="1" applyFill="1" applyBorder="1" applyAlignment="1">
      <alignment/>
    </xf>
    <xf numFmtId="3" fontId="0" fillId="39" borderId="84" xfId="0" applyNumberFormat="1" applyFont="1" applyFill="1" applyBorder="1" applyAlignment="1">
      <alignment/>
    </xf>
    <xf numFmtId="3" fontId="8" fillId="39" borderId="61" xfId="0" applyNumberFormat="1" applyFont="1" applyFill="1" applyBorder="1" applyAlignment="1">
      <alignment wrapText="1"/>
    </xf>
    <xf numFmtId="3" fontId="0" fillId="0" borderId="26" xfId="0" applyNumberFormat="1" applyBorder="1" applyAlignment="1">
      <alignment/>
    </xf>
    <xf numFmtId="3" fontId="2" fillId="0" borderId="26" xfId="0" applyNumberFormat="1" applyFont="1" applyBorder="1" applyAlignment="1">
      <alignment wrapText="1"/>
    </xf>
    <xf numFmtId="175" fontId="90" fillId="39" borderId="84" xfId="46" applyNumberFormat="1" applyFont="1" applyFill="1" applyBorder="1" applyAlignment="1">
      <alignment/>
    </xf>
    <xf numFmtId="0" fontId="0" fillId="0" borderId="133" xfId="0" applyBorder="1" applyAlignment="1">
      <alignment horizontal="left" wrapText="1"/>
    </xf>
    <xf numFmtId="0" fontId="8" fillId="0" borderId="132" xfId="0" applyFont="1" applyBorder="1" applyAlignment="1">
      <alignment horizontal="right"/>
    </xf>
    <xf numFmtId="175" fontId="8" fillId="39" borderId="150" xfId="46" applyNumberFormat="1" applyFont="1" applyFill="1" applyBorder="1" applyAlignment="1">
      <alignment horizontal="center" vertical="center" wrapText="1"/>
    </xf>
    <xf numFmtId="0" fontId="0" fillId="39" borderId="192" xfId="0" applyFont="1" applyFill="1" applyBorder="1" applyAlignment="1">
      <alignment horizontal="left" vertical="top" wrapText="1"/>
    </xf>
    <xf numFmtId="3" fontId="0" fillId="39" borderId="0" xfId="0" applyNumberFormat="1" applyFont="1" applyFill="1" applyAlignment="1">
      <alignment horizontal="center"/>
    </xf>
    <xf numFmtId="3" fontId="90" fillId="39" borderId="101" xfId="0" applyNumberFormat="1" applyFont="1" applyFill="1" applyBorder="1" applyAlignment="1">
      <alignment horizontal="center"/>
    </xf>
    <xf numFmtId="3" fontId="90" fillId="39" borderId="53" xfId="0" applyNumberFormat="1" applyFont="1" applyFill="1" applyBorder="1" applyAlignment="1">
      <alignment horizontal="center"/>
    </xf>
    <xf numFmtId="3" fontId="90" fillId="39" borderId="53" xfId="0" applyNumberFormat="1" applyFont="1" applyFill="1" applyBorder="1" applyAlignment="1">
      <alignment/>
    </xf>
    <xf numFmtId="3" fontId="90" fillId="39" borderId="84" xfId="0" applyNumberFormat="1" applyFont="1" applyFill="1" applyBorder="1" applyAlignment="1">
      <alignment/>
    </xf>
    <xf numFmtId="3" fontId="91" fillId="39" borderId="0" xfId="0" applyNumberFormat="1" applyFont="1" applyFill="1" applyBorder="1" applyAlignment="1">
      <alignment/>
    </xf>
    <xf numFmtId="3" fontId="90" fillId="39" borderId="0" xfId="0" applyNumberFormat="1" applyFont="1" applyFill="1" applyAlignment="1">
      <alignment/>
    </xf>
    <xf numFmtId="3" fontId="90" fillId="39" borderId="0" xfId="0" applyNumberFormat="1" applyFont="1" applyFill="1" applyBorder="1" applyAlignment="1">
      <alignment/>
    </xf>
    <xf numFmtId="3" fontId="90" fillId="39" borderId="103" xfId="0" applyNumberFormat="1" applyFont="1" applyFill="1" applyBorder="1" applyAlignment="1">
      <alignment horizontal="center"/>
    </xf>
    <xf numFmtId="3" fontId="90" fillId="39" borderId="61" xfId="0" applyNumberFormat="1" applyFont="1" applyFill="1" applyBorder="1" applyAlignment="1">
      <alignment horizontal="center"/>
    </xf>
    <xf numFmtId="3" fontId="90" fillId="39" borderId="61" xfId="0" applyNumberFormat="1" applyFont="1" applyFill="1" applyBorder="1" applyAlignment="1">
      <alignment/>
    </xf>
    <xf numFmtId="3" fontId="90" fillId="39" borderId="104" xfId="0" applyNumberFormat="1" applyFont="1" applyFill="1" applyBorder="1" applyAlignment="1">
      <alignment/>
    </xf>
    <xf numFmtId="3" fontId="90" fillId="39" borderId="61" xfId="0" applyNumberFormat="1" applyFont="1" applyFill="1" applyBorder="1" applyAlignment="1">
      <alignment wrapText="1"/>
    </xf>
    <xf numFmtId="3" fontId="86" fillId="39" borderId="0" xfId="0" applyNumberFormat="1" applyFont="1" applyFill="1" applyBorder="1" applyAlignment="1">
      <alignment/>
    </xf>
    <xf numFmtId="3" fontId="86" fillId="47" borderId="0" xfId="0" applyNumberFormat="1" applyFont="1" applyFill="1" applyAlignment="1">
      <alignment/>
    </xf>
    <xf numFmtId="3" fontId="86" fillId="39" borderId="0" xfId="0" applyNumberFormat="1" applyFont="1" applyFill="1" applyAlignment="1">
      <alignment/>
    </xf>
    <xf numFmtId="0" fontId="0" fillId="39" borderId="76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175" fontId="0" fillId="39" borderId="119" xfId="46" applyNumberFormat="1" applyFont="1" applyFill="1" applyBorder="1" applyAlignment="1">
      <alignment/>
    </xf>
    <xf numFmtId="175" fontId="0" fillId="39" borderId="0" xfId="46" applyNumberFormat="1" applyFont="1" applyFill="1" applyBorder="1" applyAlignment="1">
      <alignment/>
    </xf>
    <xf numFmtId="3" fontId="0" fillId="39" borderId="0" xfId="0" applyNumberFormat="1" applyFont="1" applyFill="1" applyAlignment="1">
      <alignment/>
    </xf>
    <xf numFmtId="0" fontId="0" fillId="39" borderId="76" xfId="0" applyFont="1" applyFill="1" applyBorder="1" applyAlignment="1">
      <alignment/>
    </xf>
    <xf numFmtId="3" fontId="18" fillId="33" borderId="211" xfId="0" applyNumberFormat="1" applyFont="1" applyFill="1" applyBorder="1" applyAlignment="1">
      <alignment horizontal="center"/>
    </xf>
    <xf numFmtId="3" fontId="24" fillId="33" borderId="212" xfId="0" applyNumberFormat="1" applyFont="1" applyFill="1" applyBorder="1" applyAlignment="1">
      <alignment/>
    </xf>
    <xf numFmtId="3" fontId="24" fillId="33" borderId="213" xfId="0" applyNumberFormat="1" applyFont="1" applyFill="1" applyBorder="1" applyAlignment="1">
      <alignment/>
    </xf>
    <xf numFmtId="3" fontId="24" fillId="39" borderId="109" xfId="0" applyNumberFormat="1" applyFont="1" applyFill="1" applyBorder="1" applyAlignment="1">
      <alignment horizontal="center"/>
    </xf>
    <xf numFmtId="3" fontId="24" fillId="39" borderId="25" xfId="0" applyNumberFormat="1" applyFont="1" applyFill="1" applyBorder="1" applyAlignment="1">
      <alignment horizontal="center"/>
    </xf>
    <xf numFmtId="0" fontId="18" fillId="39" borderId="0" xfId="0" applyFont="1" applyFill="1" applyAlignment="1">
      <alignment/>
    </xf>
    <xf numFmtId="3" fontId="18" fillId="39" borderId="109" xfId="0" applyNumberFormat="1" applyFont="1" applyFill="1" applyBorder="1" applyAlignment="1">
      <alignment horizontal="center"/>
    </xf>
    <xf numFmtId="3" fontId="18" fillId="39" borderId="25" xfId="0" applyNumberFormat="1" applyFont="1" applyFill="1" applyBorder="1" applyAlignment="1">
      <alignment horizontal="center"/>
    </xf>
    <xf numFmtId="3" fontId="18" fillId="39" borderId="12" xfId="0" applyNumberFormat="1" applyFont="1" applyFill="1" applyBorder="1" applyAlignment="1">
      <alignment horizontal="left" wrapText="1"/>
    </xf>
    <xf numFmtId="3" fontId="34" fillId="39" borderId="109" xfId="0" applyNumberFormat="1" applyFont="1" applyFill="1" applyBorder="1" applyAlignment="1">
      <alignment horizontal="center"/>
    </xf>
    <xf numFmtId="3" fontId="34" fillId="39" borderId="25" xfId="0" applyNumberFormat="1" applyFont="1" applyFill="1" applyBorder="1" applyAlignment="1">
      <alignment horizontal="center"/>
    </xf>
    <xf numFmtId="3" fontId="34" fillId="39" borderId="12" xfId="0" applyNumberFormat="1" applyFont="1" applyFill="1" applyBorder="1" applyAlignment="1">
      <alignment horizontal="right" wrapText="1"/>
    </xf>
    <xf numFmtId="3" fontId="92" fillId="39" borderId="12" xfId="0" applyNumberFormat="1" applyFont="1" applyFill="1" applyBorder="1" applyAlignment="1">
      <alignment/>
    </xf>
    <xf numFmtId="3" fontId="92" fillId="39" borderId="77" xfId="0" applyNumberFormat="1" applyFont="1" applyFill="1" applyBorder="1" applyAlignment="1">
      <alignment/>
    </xf>
    <xf numFmtId="0" fontId="34" fillId="39" borderId="0" xfId="0" applyFont="1" applyFill="1" applyAlignment="1">
      <alignment/>
    </xf>
    <xf numFmtId="3" fontId="34" fillId="39" borderId="109" xfId="0" applyNumberFormat="1" applyFont="1" applyFill="1" applyBorder="1" applyAlignment="1">
      <alignment horizontal="right"/>
    </xf>
    <xf numFmtId="3" fontId="34" fillId="39" borderId="25" xfId="0" applyNumberFormat="1" applyFont="1" applyFill="1" applyBorder="1" applyAlignment="1">
      <alignment horizontal="right"/>
    </xf>
    <xf numFmtId="3" fontId="92" fillId="39" borderId="12" xfId="0" applyNumberFormat="1" applyFont="1" applyFill="1" applyBorder="1" applyAlignment="1">
      <alignment horizontal="right"/>
    </xf>
    <xf numFmtId="3" fontId="92" fillId="39" borderId="77" xfId="0" applyNumberFormat="1" applyFont="1" applyFill="1" applyBorder="1" applyAlignment="1">
      <alignment horizontal="right"/>
    </xf>
    <xf numFmtId="0" fontId="34" fillId="39" borderId="0" xfId="0" applyFont="1" applyFill="1" applyAlignment="1">
      <alignment horizontal="right"/>
    </xf>
    <xf numFmtId="3" fontId="24" fillId="39" borderId="109" xfId="0" applyNumberFormat="1" applyFont="1" applyFill="1" applyBorder="1" applyAlignment="1">
      <alignment horizontal="left"/>
    </xf>
    <xf numFmtId="3" fontId="24" fillId="39" borderId="25" xfId="0" applyNumberFormat="1" applyFont="1" applyFill="1" applyBorder="1" applyAlignment="1">
      <alignment horizontal="left"/>
    </xf>
    <xf numFmtId="3" fontId="24" fillId="39" borderId="12" xfId="0" applyNumberFormat="1" applyFont="1" applyFill="1" applyBorder="1" applyAlignment="1">
      <alignment horizontal="left"/>
    </xf>
    <xf numFmtId="3" fontId="86" fillId="39" borderId="12" xfId="0" applyNumberFormat="1" applyFont="1" applyFill="1" applyBorder="1" applyAlignment="1">
      <alignment horizontal="left"/>
    </xf>
    <xf numFmtId="3" fontId="86" fillId="39" borderId="77" xfId="0" applyNumberFormat="1" applyFont="1" applyFill="1" applyBorder="1" applyAlignment="1">
      <alignment horizontal="left"/>
    </xf>
    <xf numFmtId="3" fontId="86" fillId="39" borderId="77" xfId="0" applyNumberFormat="1" applyFont="1" applyFill="1" applyBorder="1" applyAlignment="1">
      <alignment horizontal="right"/>
    </xf>
    <xf numFmtId="0" fontId="24" fillId="39" borderId="0" xfId="0" applyFont="1" applyFill="1" applyAlignment="1">
      <alignment horizontal="left"/>
    </xf>
    <xf numFmtId="3" fontId="0" fillId="39" borderId="150" xfId="0" applyNumberFormat="1" applyFont="1" applyFill="1" applyBorder="1" applyAlignment="1">
      <alignment horizontal="center"/>
    </xf>
    <xf numFmtId="3" fontId="0" fillId="39" borderId="150" xfId="0" applyNumberFormat="1" applyFont="1" applyFill="1" applyBorder="1" applyAlignment="1">
      <alignment wrapText="1"/>
    </xf>
    <xf numFmtId="3" fontId="0" fillId="39" borderId="180" xfId="0" applyNumberFormat="1" applyFont="1" applyFill="1" applyBorder="1" applyAlignment="1">
      <alignment/>
    </xf>
    <xf numFmtId="3" fontId="0" fillId="39" borderId="53" xfId="0" applyNumberFormat="1" applyFont="1" applyFill="1" applyBorder="1" applyAlignment="1">
      <alignment/>
    </xf>
    <xf numFmtId="3" fontId="0" fillId="39" borderId="53" xfId="0" applyNumberFormat="1" applyFont="1" applyFill="1" applyBorder="1" applyAlignment="1">
      <alignment horizontal="center"/>
    </xf>
    <xf numFmtId="3" fontId="0" fillId="39" borderId="153" xfId="0" applyNumberFormat="1" applyFont="1" applyFill="1" applyBorder="1" applyAlignment="1">
      <alignment horizontal="center"/>
    </xf>
    <xf numFmtId="3" fontId="35" fillId="0" borderId="31" xfId="0" applyNumberFormat="1" applyFont="1" applyBorder="1" applyAlignment="1">
      <alignment horizontal="center"/>
    </xf>
    <xf numFmtId="3" fontId="34" fillId="0" borderId="144" xfId="0" applyNumberFormat="1" applyFont="1" applyBorder="1" applyAlignment="1">
      <alignment horizontal="center"/>
    </xf>
    <xf numFmtId="3" fontId="34" fillId="0" borderId="53" xfId="0" applyNumberFormat="1" applyFont="1" applyBorder="1" applyAlignment="1">
      <alignment horizontal="center"/>
    </xf>
    <xf numFmtId="3" fontId="89" fillId="39" borderId="53" xfId="0" applyNumberFormat="1" applyFont="1" applyFill="1" applyBorder="1" applyAlignment="1">
      <alignment/>
    </xf>
    <xf numFmtId="3" fontId="85" fillId="39" borderId="53" xfId="0" applyNumberFormat="1" applyFont="1" applyFill="1" applyBorder="1" applyAlignment="1">
      <alignment/>
    </xf>
    <xf numFmtId="3" fontId="40" fillId="0" borderId="12" xfId="0" applyNumberFormat="1" applyFont="1" applyBorder="1" applyAlignment="1">
      <alignment horizontal="left"/>
    </xf>
    <xf numFmtId="3" fontId="40" fillId="39" borderId="12" xfId="0" applyNumberFormat="1" applyFont="1" applyFill="1" applyBorder="1" applyAlignment="1">
      <alignment horizontal="right"/>
    </xf>
    <xf numFmtId="3" fontId="18" fillId="0" borderId="34" xfId="0" applyNumberFormat="1" applyFont="1" applyBorder="1" applyAlignment="1">
      <alignment horizontal="center" vertical="center"/>
    </xf>
    <xf numFmtId="3" fontId="18" fillId="0" borderId="61" xfId="0" applyNumberFormat="1" applyFont="1" applyBorder="1" applyAlignment="1">
      <alignment horizontal="center"/>
    </xf>
    <xf numFmtId="3" fontId="18" fillId="0" borderId="106" xfId="0" applyNumberFormat="1" applyFont="1" applyBorder="1" applyAlignment="1">
      <alignment horizontal="center" vertical="center"/>
    </xf>
    <xf numFmtId="3" fontId="18" fillId="33" borderId="48" xfId="0" applyNumberFormat="1" applyFont="1" applyFill="1" applyBorder="1" applyAlignment="1">
      <alignment horizontal="center"/>
    </xf>
    <xf numFmtId="3" fontId="27" fillId="33" borderId="49" xfId="0" applyNumberFormat="1" applyFont="1" applyFill="1" applyBorder="1" applyAlignment="1">
      <alignment/>
    </xf>
    <xf numFmtId="3" fontId="24" fillId="33" borderId="105" xfId="0" applyNumberFormat="1" applyFont="1" applyFill="1" applyBorder="1" applyAlignment="1">
      <alignment/>
    </xf>
    <xf numFmtId="3" fontId="24" fillId="33" borderId="72" xfId="0" applyNumberFormat="1" applyFont="1" applyFill="1" applyBorder="1" applyAlignment="1">
      <alignment/>
    </xf>
    <xf numFmtId="3" fontId="40" fillId="0" borderId="25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75" fontId="8" fillId="0" borderId="64" xfId="46" applyNumberFormat="1" applyFont="1" applyBorder="1" applyAlignment="1">
      <alignment horizontal="left" vertical="center"/>
    </xf>
    <xf numFmtId="175" fontId="8" fillId="0" borderId="117" xfId="46" applyNumberFormat="1" applyFont="1" applyBorder="1" applyAlignment="1">
      <alignment horizontal="left" vertical="center"/>
    </xf>
    <xf numFmtId="175" fontId="8" fillId="0" borderId="84" xfId="46" applyNumberFormat="1" applyFont="1" applyBorder="1" applyAlignment="1">
      <alignment horizontal="left" vertical="center"/>
    </xf>
    <xf numFmtId="0" fontId="2" fillId="39" borderId="0" xfId="0" applyFont="1" applyFill="1" applyAlignment="1">
      <alignment horizontal="center"/>
    </xf>
    <xf numFmtId="175" fontId="93" fillId="47" borderId="119" xfId="46" applyNumberFormat="1" applyFont="1" applyFill="1" applyBorder="1" applyAlignment="1">
      <alignment/>
    </xf>
    <xf numFmtId="175" fontId="93" fillId="39" borderId="119" xfId="46" applyNumberFormat="1" applyFont="1" applyFill="1" applyBorder="1" applyAlignment="1">
      <alignment/>
    </xf>
    <xf numFmtId="175" fontId="93" fillId="51" borderId="119" xfId="46" applyNumberFormat="1" applyFont="1" applyFill="1" applyBorder="1" applyAlignment="1">
      <alignment/>
    </xf>
    <xf numFmtId="0" fontId="0" fillId="0" borderId="150" xfId="0" applyFont="1" applyBorder="1" applyAlignment="1">
      <alignment horizontal="right"/>
    </xf>
    <xf numFmtId="0" fontId="0" fillId="39" borderId="150" xfId="0" applyFont="1" applyFill="1" applyBorder="1" applyAlignment="1">
      <alignment horizontal="left" vertical="top" wrapText="1"/>
    </xf>
    <xf numFmtId="175" fontId="0" fillId="39" borderId="150" xfId="46" applyNumberFormat="1" applyFont="1" applyFill="1" applyBorder="1" applyAlignment="1">
      <alignment horizontal="center" vertical="center" wrapText="1"/>
    </xf>
    <xf numFmtId="175" fontId="0" fillId="0" borderId="150" xfId="46" applyNumberFormat="1" applyFont="1" applyBorder="1" applyAlignment="1">
      <alignment horizontal="center" vertical="center"/>
    </xf>
    <xf numFmtId="175" fontId="2" fillId="39" borderId="63" xfId="46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3" fontId="0" fillId="41" borderId="53" xfId="0" applyNumberFormat="1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right"/>
    </xf>
    <xf numFmtId="3" fontId="94" fillId="0" borderId="160" xfId="0" applyNumberFormat="1" applyFont="1" applyBorder="1" applyAlignment="1">
      <alignment horizontal="right"/>
    </xf>
    <xf numFmtId="3" fontId="87" fillId="33" borderId="69" xfId="0" applyNumberFormat="1" applyFont="1" applyFill="1" applyBorder="1" applyAlignment="1">
      <alignment horizontal="center" vertical="center" wrapText="1"/>
    </xf>
    <xf numFmtId="3" fontId="86" fillId="33" borderId="71" xfId="0" applyNumberFormat="1" applyFont="1" applyFill="1" applyBorder="1" applyAlignment="1">
      <alignment horizontal="center"/>
    </xf>
    <xf numFmtId="175" fontId="92" fillId="0" borderId="172" xfId="46" applyNumberFormat="1" applyFont="1" applyBorder="1" applyAlignment="1">
      <alignment/>
    </xf>
    <xf numFmtId="175" fontId="92" fillId="0" borderId="77" xfId="46" applyNumberFormat="1" applyFont="1" applyBorder="1" applyAlignment="1">
      <alignment/>
    </xf>
    <xf numFmtId="175" fontId="92" fillId="36" borderId="77" xfId="46" applyNumberFormat="1" applyFont="1" applyFill="1" applyBorder="1" applyAlignment="1">
      <alignment/>
    </xf>
    <xf numFmtId="175" fontId="92" fillId="39" borderId="77" xfId="46" applyNumberFormat="1" applyFont="1" applyFill="1" applyBorder="1" applyAlignment="1">
      <alignment/>
    </xf>
    <xf numFmtId="175" fontId="85" fillId="39" borderId="77" xfId="46" applyNumberFormat="1" applyFont="1" applyFill="1" applyBorder="1" applyAlignment="1">
      <alignment/>
    </xf>
    <xf numFmtId="175" fontId="94" fillId="39" borderId="77" xfId="46" applyNumberFormat="1" applyFont="1" applyFill="1" applyBorder="1" applyAlignment="1">
      <alignment/>
    </xf>
    <xf numFmtId="175" fontId="86" fillId="39" borderId="77" xfId="46" applyNumberFormat="1" applyFont="1" applyFill="1" applyBorder="1" applyAlignment="1">
      <alignment/>
    </xf>
    <xf numFmtId="175" fontId="85" fillId="0" borderId="77" xfId="46" applyNumberFormat="1" applyFont="1" applyBorder="1" applyAlignment="1">
      <alignment horizontal="left"/>
    </xf>
    <xf numFmtId="175" fontId="92" fillId="0" borderId="77" xfId="46" applyNumberFormat="1" applyFont="1" applyBorder="1" applyAlignment="1">
      <alignment horizontal="left"/>
    </xf>
    <xf numFmtId="175" fontId="86" fillId="0" borderId="77" xfId="46" applyNumberFormat="1" applyFont="1" applyBorder="1" applyAlignment="1">
      <alignment/>
    </xf>
    <xf numFmtId="175" fontId="86" fillId="39" borderId="77" xfId="46" applyNumberFormat="1" applyFont="1" applyFill="1" applyBorder="1" applyAlignment="1">
      <alignment horizontal="right"/>
    </xf>
    <xf numFmtId="175" fontId="92" fillId="0" borderId="87" xfId="46" applyNumberFormat="1" applyFont="1" applyBorder="1" applyAlignment="1">
      <alignment/>
    </xf>
    <xf numFmtId="175" fontId="86" fillId="0" borderId="87" xfId="46" applyNumberFormat="1" applyFont="1" applyBorder="1" applyAlignment="1">
      <alignment/>
    </xf>
    <xf numFmtId="175" fontId="95" fillId="0" borderId="72" xfId="46" applyNumberFormat="1" applyFont="1" applyBorder="1" applyAlignment="1">
      <alignment horizontal="right"/>
    </xf>
    <xf numFmtId="175" fontId="85" fillId="0" borderId="69" xfId="46" applyNumberFormat="1" applyFont="1" applyBorder="1" applyAlignment="1">
      <alignment/>
    </xf>
    <xf numFmtId="175" fontId="85" fillId="39" borderId="87" xfId="46" applyNumberFormat="1" applyFont="1" applyFill="1" applyBorder="1" applyAlignment="1">
      <alignment/>
    </xf>
    <xf numFmtId="3" fontId="85" fillId="0" borderId="84" xfId="0" applyNumberFormat="1" applyFont="1" applyBorder="1" applyAlignment="1">
      <alignment horizontal="center" vertical="center"/>
    </xf>
    <xf numFmtId="175" fontId="95" fillId="0" borderId="92" xfId="46" applyNumberFormat="1" applyFont="1" applyBorder="1" applyAlignment="1">
      <alignment horizontal="right"/>
    </xf>
    <xf numFmtId="3" fontId="96" fillId="37" borderId="112" xfId="0" applyNumberFormat="1" applyFont="1" applyFill="1" applyBorder="1" applyAlignment="1">
      <alignment/>
    </xf>
    <xf numFmtId="3" fontId="87" fillId="33" borderId="127" xfId="0" applyNumberFormat="1" applyFont="1" applyFill="1" applyBorder="1" applyAlignment="1">
      <alignment horizontal="center" vertical="center" wrapText="1"/>
    </xf>
    <xf numFmtId="3" fontId="86" fillId="33" borderId="88" xfId="0" applyNumberFormat="1" applyFont="1" applyFill="1" applyBorder="1" applyAlignment="1">
      <alignment horizontal="center" vertical="center" wrapText="1"/>
    </xf>
    <xf numFmtId="3" fontId="86" fillId="0" borderId="88" xfId="0" applyNumberFormat="1" applyFont="1" applyBorder="1" applyAlignment="1">
      <alignment/>
    </xf>
    <xf numFmtId="3" fontId="85" fillId="0" borderId="77" xfId="0" applyNumberFormat="1" applyFont="1" applyBorder="1" applyAlignment="1">
      <alignment/>
    </xf>
    <xf numFmtId="3" fontId="86" fillId="0" borderId="77" xfId="0" applyNumberFormat="1" applyFont="1" applyBorder="1" applyAlignment="1">
      <alignment/>
    </xf>
    <xf numFmtId="3" fontId="85" fillId="47" borderId="77" xfId="0" applyNumberFormat="1" applyFont="1" applyFill="1" applyBorder="1" applyAlignment="1">
      <alignment/>
    </xf>
    <xf numFmtId="3" fontId="85" fillId="39" borderId="77" xfId="0" applyNumberFormat="1" applyFont="1" applyFill="1" applyBorder="1" applyAlignment="1">
      <alignment/>
    </xf>
    <xf numFmtId="3" fontId="86" fillId="39" borderId="77" xfId="0" applyNumberFormat="1" applyFont="1" applyFill="1" applyBorder="1" applyAlignment="1">
      <alignment/>
    </xf>
    <xf numFmtId="3" fontId="90" fillId="39" borderId="77" xfId="0" applyNumberFormat="1" applyFont="1" applyFill="1" applyBorder="1" applyAlignment="1">
      <alignment/>
    </xf>
    <xf numFmtId="3" fontId="90" fillId="0" borderId="77" xfId="0" applyNumberFormat="1" applyFont="1" applyBorder="1" applyAlignment="1">
      <alignment/>
    </xf>
    <xf numFmtId="3" fontId="92" fillId="0" borderId="77" xfId="0" applyNumberFormat="1" applyFont="1" applyBorder="1" applyAlignment="1">
      <alignment/>
    </xf>
    <xf numFmtId="3" fontId="85" fillId="0" borderId="87" xfId="0" applyNumberFormat="1" applyFont="1" applyBorder="1" applyAlignment="1">
      <alignment/>
    </xf>
    <xf numFmtId="3" fontId="86" fillId="33" borderId="213" xfId="0" applyNumberFormat="1" applyFont="1" applyFill="1" applyBorder="1" applyAlignment="1">
      <alignment/>
    </xf>
    <xf numFmtId="3" fontId="85" fillId="33" borderId="88" xfId="0" applyNumberFormat="1" applyFont="1" applyFill="1" applyBorder="1" applyAlignment="1">
      <alignment/>
    </xf>
    <xf numFmtId="3" fontId="85" fillId="33" borderId="77" xfId="0" applyNumberFormat="1" applyFont="1" applyFill="1" applyBorder="1" applyAlignment="1">
      <alignment/>
    </xf>
    <xf numFmtId="3" fontId="90" fillId="33" borderId="77" xfId="0" applyNumberFormat="1" applyFont="1" applyFill="1" applyBorder="1" applyAlignment="1">
      <alignment horizontal="right"/>
    </xf>
    <xf numFmtId="3" fontId="90" fillId="49" borderId="77" xfId="0" applyNumberFormat="1" applyFont="1" applyFill="1" applyBorder="1" applyAlignment="1">
      <alignment horizontal="right"/>
    </xf>
    <xf numFmtId="3" fontId="85" fillId="33" borderId="87" xfId="0" applyNumberFormat="1" applyFont="1" applyFill="1" applyBorder="1" applyAlignment="1">
      <alignment/>
    </xf>
    <xf numFmtId="3" fontId="85" fillId="33" borderId="84" xfId="0" applyNumberFormat="1" applyFont="1" applyFill="1" applyBorder="1" applyAlignment="1">
      <alignment/>
    </xf>
    <xf numFmtId="3" fontId="85" fillId="33" borderId="128" xfId="0" applyNumberFormat="1" applyFont="1" applyFill="1" applyBorder="1" applyAlignment="1">
      <alignment/>
    </xf>
    <xf numFmtId="3" fontId="18" fillId="49" borderId="27" xfId="0" applyNumberFormat="1" applyFont="1" applyFill="1" applyBorder="1" applyAlignment="1">
      <alignment/>
    </xf>
    <xf numFmtId="3" fontId="18" fillId="50" borderId="61" xfId="0" applyNumberFormat="1" applyFont="1" applyFill="1" applyBorder="1" applyAlignment="1">
      <alignment wrapText="1"/>
    </xf>
    <xf numFmtId="3" fontId="18" fillId="33" borderId="0" xfId="0" applyNumberFormat="1" applyFont="1" applyFill="1" applyBorder="1" applyAlignment="1">
      <alignment horizontal="center"/>
    </xf>
    <xf numFmtId="3" fontId="18" fillId="33" borderId="138" xfId="0" applyNumberFormat="1" applyFont="1" applyFill="1" applyBorder="1" applyAlignment="1">
      <alignment horizontal="left" wrapText="1"/>
    </xf>
    <xf numFmtId="3" fontId="18" fillId="49" borderId="53" xfId="0" applyNumberFormat="1" applyFont="1" applyFill="1" applyBorder="1" applyAlignment="1">
      <alignment horizontal="center"/>
    </xf>
    <xf numFmtId="3" fontId="18" fillId="39" borderId="16" xfId="0" applyNumberFormat="1" applyFont="1" applyFill="1" applyBorder="1" applyAlignment="1">
      <alignment horizontal="center"/>
    </xf>
    <xf numFmtId="0" fontId="26" fillId="53" borderId="0" xfId="0" applyFont="1" applyFill="1" applyAlignment="1">
      <alignment/>
    </xf>
    <xf numFmtId="3" fontId="26" fillId="53" borderId="0" xfId="0" applyNumberFormat="1" applyFont="1" applyFill="1" applyAlignment="1">
      <alignment/>
    </xf>
    <xf numFmtId="3" fontId="90" fillId="53" borderId="0" xfId="0" applyNumberFormat="1" applyFont="1" applyFill="1" applyAlignment="1">
      <alignment/>
    </xf>
    <xf numFmtId="0" fontId="2" fillId="48" borderId="214" xfId="0" applyFont="1" applyFill="1" applyBorder="1" applyAlignment="1">
      <alignment/>
    </xf>
    <xf numFmtId="175" fontId="2" fillId="48" borderId="89" xfId="46" applyNumberFormat="1" applyFont="1" applyFill="1" applyBorder="1" applyAlignment="1">
      <alignment/>
    </xf>
    <xf numFmtId="175" fontId="2" fillId="48" borderId="20" xfId="46" applyNumberFormat="1" applyFont="1" applyFill="1" applyBorder="1" applyAlignment="1">
      <alignment/>
    </xf>
    <xf numFmtId="175" fontId="2" fillId="48" borderId="215" xfId="46" applyNumberFormat="1" applyFont="1" applyFill="1" applyBorder="1" applyAlignment="1">
      <alignment/>
    </xf>
    <xf numFmtId="0" fontId="88" fillId="33" borderId="53" xfId="0" applyFont="1" applyFill="1" applyBorder="1" applyAlignment="1">
      <alignment horizontal="center"/>
    </xf>
    <xf numFmtId="3" fontId="90" fillId="39" borderId="102" xfId="0" applyNumberFormat="1" applyFont="1" applyFill="1" applyBorder="1" applyAlignment="1">
      <alignment horizontal="center"/>
    </xf>
    <xf numFmtId="3" fontId="90" fillId="39" borderId="62" xfId="0" applyNumberFormat="1" applyFont="1" applyFill="1" applyBorder="1" applyAlignment="1">
      <alignment horizontal="center"/>
    </xf>
    <xf numFmtId="3" fontId="90" fillId="39" borderId="62" xfId="0" applyNumberFormat="1" applyFont="1" applyFill="1" applyBorder="1" applyAlignment="1">
      <alignment/>
    </xf>
    <xf numFmtId="3" fontId="90" fillId="39" borderId="90" xfId="0" applyNumberFormat="1" applyFont="1" applyFill="1" applyBorder="1" applyAlignment="1">
      <alignment/>
    </xf>
    <xf numFmtId="3" fontId="8" fillId="39" borderId="90" xfId="0" applyNumberFormat="1" applyFont="1" applyFill="1" applyBorder="1" applyAlignment="1">
      <alignment/>
    </xf>
    <xf numFmtId="3" fontId="2" fillId="48" borderId="108" xfId="0" applyNumberFormat="1" applyFont="1" applyFill="1" applyBorder="1" applyAlignment="1">
      <alignment horizontal="center"/>
    </xf>
    <xf numFmtId="3" fontId="2" fillId="48" borderId="63" xfId="0" applyNumberFormat="1" applyFont="1" applyFill="1" applyBorder="1" applyAlignment="1">
      <alignment horizontal="center"/>
    </xf>
    <xf numFmtId="3" fontId="2" fillId="48" borderId="63" xfId="0" applyNumberFormat="1" applyFont="1" applyFill="1" applyBorder="1" applyAlignment="1">
      <alignment wrapText="1"/>
    </xf>
    <xf numFmtId="3" fontId="2" fillId="48" borderId="91" xfId="0" applyNumberFormat="1" applyFont="1" applyFill="1" applyBorder="1" applyAlignment="1">
      <alignment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right"/>
    </xf>
    <xf numFmtId="3" fontId="2" fillId="39" borderId="102" xfId="0" applyNumberFormat="1" applyFont="1" applyFill="1" applyBorder="1" applyAlignment="1">
      <alignment horizontal="center"/>
    </xf>
    <xf numFmtId="3" fontId="2" fillId="39" borderId="62" xfId="0" applyNumberFormat="1" applyFont="1" applyFill="1" applyBorder="1" applyAlignment="1">
      <alignment horizontal="center"/>
    </xf>
    <xf numFmtId="3" fontId="0" fillId="39" borderId="62" xfId="0" applyNumberFormat="1" applyFont="1" applyFill="1" applyBorder="1" applyAlignment="1">
      <alignment wrapText="1"/>
    </xf>
    <xf numFmtId="3" fontId="0" fillId="39" borderId="90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85" fillId="39" borderId="0" xfId="0" applyFont="1" applyFill="1" applyAlignment="1">
      <alignment/>
    </xf>
    <xf numFmtId="0" fontId="97" fillId="0" borderId="0" xfId="0" applyFont="1" applyAlignment="1">
      <alignment horizontal="center" vertical="center" wrapText="1"/>
    </xf>
    <xf numFmtId="3" fontId="86" fillId="33" borderId="26" xfId="0" applyNumberFormat="1" applyFont="1" applyFill="1" applyBorder="1" applyAlignment="1">
      <alignment horizontal="center" vertical="center"/>
    </xf>
    <xf numFmtId="3" fontId="86" fillId="43" borderId="10" xfId="0" applyNumberFormat="1" applyFont="1" applyFill="1" applyBorder="1" applyAlignment="1">
      <alignment horizontal="center" vertical="center" wrapText="1"/>
    </xf>
    <xf numFmtId="3" fontId="86" fillId="0" borderId="26" xfId="0" applyNumberFormat="1" applyFont="1" applyBorder="1" applyAlignment="1">
      <alignment horizontal="center" vertical="center"/>
    </xf>
    <xf numFmtId="175" fontId="86" fillId="39" borderId="10" xfId="46" applyNumberFormat="1" applyFont="1" applyFill="1" applyBorder="1" applyAlignment="1">
      <alignment horizontal="center" vertical="center" wrapText="1"/>
    </xf>
    <xf numFmtId="3" fontId="86" fillId="0" borderId="12" xfId="0" applyNumberFormat="1" applyFont="1" applyBorder="1" applyAlignment="1">
      <alignment horizontal="center" vertical="center" wrapText="1"/>
    </xf>
    <xf numFmtId="3" fontId="86" fillId="0" borderId="11" xfId="0" applyNumberFormat="1" applyFont="1" applyBorder="1" applyAlignment="1">
      <alignment horizontal="center" vertical="center"/>
    </xf>
    <xf numFmtId="175" fontId="85" fillId="39" borderId="12" xfId="46" applyNumberFormat="1" applyFont="1" applyFill="1" applyBorder="1" applyAlignment="1">
      <alignment vertical="center" wrapText="1"/>
    </xf>
    <xf numFmtId="0" fontId="85" fillId="47" borderId="22" xfId="0" applyFont="1" applyFill="1" applyBorder="1" applyAlignment="1">
      <alignment horizontal="center"/>
    </xf>
    <xf numFmtId="3" fontId="85" fillId="39" borderId="11" xfId="0" applyNumberFormat="1" applyFont="1" applyFill="1" applyBorder="1" applyAlignment="1">
      <alignment/>
    </xf>
    <xf numFmtId="175" fontId="66" fillId="47" borderId="18" xfId="46" applyNumberFormat="1" applyFont="1" applyFill="1" applyBorder="1" applyAlignment="1">
      <alignment vertical="center"/>
    </xf>
    <xf numFmtId="0" fontId="85" fillId="36" borderId="22" xfId="0" applyFont="1" applyFill="1" applyBorder="1" applyAlignment="1">
      <alignment horizontal="center"/>
    </xf>
    <xf numFmtId="3" fontId="85" fillId="39" borderId="26" xfId="0" applyNumberFormat="1" applyFont="1" applyFill="1" applyBorder="1" applyAlignment="1">
      <alignment wrapText="1"/>
    </xf>
    <xf numFmtId="175" fontId="85" fillId="47" borderId="18" xfId="46" applyNumberFormat="1" applyFont="1" applyFill="1" applyBorder="1" applyAlignment="1">
      <alignment vertical="center"/>
    </xf>
    <xf numFmtId="0" fontId="85" fillId="36" borderId="146" xfId="0" applyFont="1" applyFill="1" applyBorder="1" applyAlignment="1">
      <alignment horizontal="center"/>
    </xf>
    <xf numFmtId="3" fontId="85" fillId="39" borderId="61" xfId="0" applyNumberFormat="1" applyFont="1" applyFill="1" applyBorder="1" applyAlignment="1">
      <alignment wrapText="1"/>
    </xf>
    <xf numFmtId="175" fontId="85" fillId="47" borderId="61" xfId="46" applyNumberFormat="1" applyFont="1" applyFill="1" applyBorder="1" applyAlignment="1">
      <alignment vertical="center"/>
    </xf>
    <xf numFmtId="0" fontId="85" fillId="36" borderId="53" xfId="0" applyFont="1" applyFill="1" applyBorder="1" applyAlignment="1">
      <alignment horizontal="center"/>
    </xf>
    <xf numFmtId="0" fontId="85" fillId="39" borderId="53" xfId="0" applyFont="1" applyFill="1" applyBorder="1" applyAlignment="1">
      <alignment/>
    </xf>
    <xf numFmtId="175" fontId="85" fillId="47" borderId="53" xfId="46" applyNumberFormat="1" applyFont="1" applyFill="1" applyBorder="1" applyAlignment="1">
      <alignment/>
    </xf>
    <xf numFmtId="0" fontId="85" fillId="36" borderId="150" xfId="0" applyFont="1" applyFill="1" applyBorder="1" applyAlignment="1">
      <alignment horizontal="center"/>
    </xf>
    <xf numFmtId="0" fontId="85" fillId="39" borderId="150" xfId="0" applyFont="1" applyFill="1" applyBorder="1" applyAlignment="1">
      <alignment wrapText="1"/>
    </xf>
    <xf numFmtId="175" fontId="85" fillId="47" borderId="147" xfId="46" applyNumberFormat="1" applyFont="1" applyFill="1" applyBorder="1" applyAlignment="1">
      <alignment/>
    </xf>
    <xf numFmtId="0" fontId="85" fillId="39" borderId="53" xfId="0" applyFont="1" applyFill="1" applyBorder="1" applyAlignment="1">
      <alignment wrapText="1"/>
    </xf>
    <xf numFmtId="0" fontId="85" fillId="47" borderId="53" xfId="0" applyFont="1" applyFill="1" applyBorder="1" applyAlignment="1">
      <alignment horizontal="center"/>
    </xf>
    <xf numFmtId="3" fontId="86" fillId="47" borderId="14" xfId="0" applyNumberFormat="1" applyFont="1" applyFill="1" applyBorder="1" applyAlignment="1">
      <alignment horizontal="right"/>
    </xf>
    <xf numFmtId="3" fontId="86" fillId="39" borderId="12" xfId="0" applyNumberFormat="1" applyFont="1" applyFill="1" applyBorder="1" applyAlignment="1">
      <alignment horizontal="center"/>
    </xf>
    <xf numFmtId="3" fontId="85" fillId="39" borderId="12" xfId="0" applyNumberFormat="1" applyFont="1" applyFill="1" applyBorder="1" applyAlignment="1">
      <alignment/>
    </xf>
    <xf numFmtId="3" fontId="85" fillId="39" borderId="18" xfId="0" applyNumberFormat="1" applyFont="1" applyFill="1" applyBorder="1" applyAlignment="1">
      <alignment/>
    </xf>
    <xf numFmtId="3" fontId="85" fillId="39" borderId="53" xfId="0" applyNumberFormat="1" applyFont="1" applyFill="1" applyBorder="1" applyAlignment="1">
      <alignment wrapText="1"/>
    </xf>
    <xf numFmtId="0" fontId="85" fillId="39" borderId="150" xfId="0" applyFont="1" applyFill="1" applyBorder="1" applyAlignment="1">
      <alignment/>
    </xf>
    <xf numFmtId="3" fontId="85" fillId="39" borderId="12" xfId="0" applyNumberFormat="1" applyFont="1" applyFill="1" applyBorder="1" applyAlignment="1">
      <alignment wrapText="1"/>
    </xf>
    <xf numFmtId="3" fontId="86" fillId="36" borderId="14" xfId="0" applyNumberFormat="1" applyFont="1" applyFill="1" applyBorder="1" applyAlignment="1">
      <alignment horizontal="right"/>
    </xf>
    <xf numFmtId="3" fontId="85" fillId="0" borderId="22" xfId="0" applyNumberFormat="1" applyFont="1" applyBorder="1" applyAlignment="1">
      <alignment/>
    </xf>
    <xf numFmtId="3" fontId="86" fillId="36" borderId="12" xfId="0" applyNumberFormat="1" applyFont="1" applyFill="1" applyBorder="1" applyAlignment="1">
      <alignment horizontal="right"/>
    </xf>
    <xf numFmtId="3" fontId="85" fillId="0" borderId="12" xfId="0" applyNumberFormat="1" applyFont="1" applyBorder="1" applyAlignment="1">
      <alignment horizontal="left" wrapText="1"/>
    </xf>
    <xf numFmtId="175" fontId="86" fillId="39" borderId="0" xfId="46" applyNumberFormat="1" applyFont="1" applyFill="1" applyAlignment="1">
      <alignment/>
    </xf>
    <xf numFmtId="3" fontId="86" fillId="40" borderId="101" xfId="0" applyNumberFormat="1" applyFont="1" applyFill="1" applyBorder="1" applyAlignment="1">
      <alignment horizontal="center"/>
    </xf>
    <xf numFmtId="3" fontId="86" fillId="54" borderId="53" xfId="0" applyNumberFormat="1" applyFont="1" applyFill="1" applyBorder="1" applyAlignment="1">
      <alignment horizontal="center"/>
    </xf>
    <xf numFmtId="3" fontId="86" fillId="40" borderId="53" xfId="0" applyNumberFormat="1" applyFont="1" applyFill="1" applyBorder="1" applyAlignment="1">
      <alignment wrapText="1"/>
    </xf>
    <xf numFmtId="3" fontId="86" fillId="40" borderId="84" xfId="0" applyNumberFormat="1" applyFont="1" applyFill="1" applyBorder="1" applyAlignment="1">
      <alignment/>
    </xf>
    <xf numFmtId="3" fontId="2" fillId="40" borderId="84" xfId="0" applyNumberFormat="1" applyFont="1" applyFill="1" applyBorder="1" applyAlignment="1">
      <alignment/>
    </xf>
    <xf numFmtId="3" fontId="86" fillId="48" borderId="101" xfId="0" applyNumberFormat="1" applyFont="1" applyFill="1" applyBorder="1" applyAlignment="1">
      <alignment horizontal="center"/>
    </xf>
    <xf numFmtId="3" fontId="86" fillId="48" borderId="53" xfId="0" applyNumberFormat="1" applyFont="1" applyFill="1" applyBorder="1" applyAlignment="1">
      <alignment horizontal="center"/>
    </xf>
    <xf numFmtId="3" fontId="86" fillId="48" borderId="53" xfId="0" applyNumberFormat="1" applyFont="1" applyFill="1" applyBorder="1" applyAlignment="1">
      <alignment wrapText="1"/>
    </xf>
    <xf numFmtId="3" fontId="86" fillId="48" borderId="84" xfId="0" applyNumberFormat="1" applyFont="1" applyFill="1" applyBorder="1" applyAlignment="1">
      <alignment/>
    </xf>
    <xf numFmtId="3" fontId="2" fillId="48" borderId="84" xfId="0" applyNumberFormat="1" applyFont="1" applyFill="1" applyBorder="1" applyAlignment="1">
      <alignment/>
    </xf>
    <xf numFmtId="3" fontId="2" fillId="48" borderId="103" xfId="0" applyNumberFormat="1" applyFont="1" applyFill="1" applyBorder="1" applyAlignment="1">
      <alignment horizontal="center"/>
    </xf>
    <xf numFmtId="3" fontId="2" fillId="48" borderId="61" xfId="0" applyNumberFormat="1" applyFont="1" applyFill="1" applyBorder="1" applyAlignment="1">
      <alignment horizontal="center"/>
    </xf>
    <xf numFmtId="3" fontId="2" fillId="48" borderId="61" xfId="0" applyNumberFormat="1" applyFont="1" applyFill="1" applyBorder="1" applyAlignment="1">
      <alignment wrapText="1"/>
    </xf>
    <xf numFmtId="3" fontId="2" fillId="48" borderId="104" xfId="0" applyNumberFormat="1" applyFont="1" applyFill="1" applyBorder="1" applyAlignment="1">
      <alignment/>
    </xf>
    <xf numFmtId="175" fontId="85" fillId="39" borderId="119" xfId="46" applyNumberFormat="1" applyFont="1" applyFill="1" applyBorder="1" applyAlignment="1">
      <alignment/>
    </xf>
    <xf numFmtId="175" fontId="85" fillId="47" borderId="119" xfId="46" applyNumberFormat="1" applyFont="1" applyFill="1" applyBorder="1" applyAlignment="1">
      <alignment/>
    </xf>
    <xf numFmtId="175" fontId="85" fillId="51" borderId="119" xfId="46" applyNumberFormat="1" applyFont="1" applyFill="1" applyBorder="1" applyAlignment="1">
      <alignment/>
    </xf>
    <xf numFmtId="3" fontId="6" fillId="0" borderId="0" xfId="0" applyNumberFormat="1" applyFont="1" applyAlignment="1">
      <alignment horizontal="right" vertical="center" wrapText="1"/>
    </xf>
    <xf numFmtId="176" fontId="11" fillId="0" borderId="0" xfId="6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3" fontId="0" fillId="39" borderId="0" xfId="0" applyNumberFormat="1" applyFont="1" applyFill="1" applyAlignment="1">
      <alignment horizontal="center"/>
    </xf>
    <xf numFmtId="3" fontId="86" fillId="0" borderId="0" xfId="0" applyNumberFormat="1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0" fillId="0" borderId="0" xfId="0" applyAlignment="1">
      <alignment/>
    </xf>
    <xf numFmtId="3" fontId="0" fillId="39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/>
    </xf>
    <xf numFmtId="175" fontId="0" fillId="0" borderId="0" xfId="46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36" fillId="0" borderId="0" xfId="57" applyFont="1">
      <alignment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0" fillId="35" borderId="36" xfId="0" applyFill="1" applyBorder="1" applyAlignment="1">
      <alignment horizontal="right"/>
    </xf>
    <xf numFmtId="3" fontId="6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37" borderId="191" xfId="0" applyNumberFormat="1" applyFont="1" applyFill="1" applyBorder="1" applyAlignment="1">
      <alignment horizontal="center" vertical="center"/>
    </xf>
    <xf numFmtId="3" fontId="5" fillId="37" borderId="216" xfId="0" applyNumberFormat="1" applyFont="1" applyFill="1" applyBorder="1" applyAlignment="1">
      <alignment horizontal="center" vertical="center"/>
    </xf>
    <xf numFmtId="3" fontId="2" fillId="33" borderId="217" xfId="0" applyNumberFormat="1" applyFont="1" applyFill="1" applyBorder="1" applyAlignment="1">
      <alignment horizontal="center" vertical="center" wrapText="1"/>
    </xf>
    <xf numFmtId="3" fontId="2" fillId="33" borderId="218" xfId="0" applyNumberFormat="1" applyFont="1" applyFill="1" applyBorder="1" applyAlignment="1">
      <alignment horizontal="center" vertical="center" wrapText="1"/>
    </xf>
    <xf numFmtId="3" fontId="2" fillId="33" borderId="219" xfId="0" applyNumberFormat="1" applyFont="1" applyFill="1" applyBorder="1" applyAlignment="1">
      <alignment horizontal="center" vertical="center" wrapText="1"/>
    </xf>
    <xf numFmtId="3" fontId="2" fillId="33" borderId="220" xfId="0" applyNumberFormat="1" applyFont="1" applyFill="1" applyBorder="1" applyAlignment="1">
      <alignment horizontal="center" vertical="center" wrapText="1"/>
    </xf>
    <xf numFmtId="3" fontId="2" fillId="33" borderId="75" xfId="0" applyNumberFormat="1" applyFont="1" applyFill="1" applyBorder="1" applyAlignment="1">
      <alignment horizontal="center" vertical="center" wrapText="1"/>
    </xf>
    <xf numFmtId="3" fontId="2" fillId="33" borderId="221" xfId="0" applyNumberFormat="1" applyFont="1" applyFill="1" applyBorder="1" applyAlignment="1">
      <alignment horizontal="center" vertical="center" wrapText="1"/>
    </xf>
    <xf numFmtId="3" fontId="2" fillId="33" borderId="222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 wrapText="1"/>
    </xf>
    <xf numFmtId="3" fontId="6" fillId="36" borderId="208" xfId="0" applyNumberFormat="1" applyFont="1" applyFill="1" applyBorder="1" applyAlignment="1">
      <alignment horizontal="center" vertical="center"/>
    </xf>
    <xf numFmtId="3" fontId="6" fillId="36" borderId="169" xfId="0" applyNumberFormat="1" applyFont="1" applyFill="1" applyBorder="1" applyAlignment="1">
      <alignment horizontal="center" vertical="center"/>
    </xf>
    <xf numFmtId="3" fontId="6" fillId="0" borderId="101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176" fontId="41" fillId="0" borderId="0" xfId="6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2" fillId="37" borderId="55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176" fontId="6" fillId="0" borderId="0" xfId="61" applyFont="1" applyAlignment="1">
      <alignment horizontal="center" vertical="center"/>
    </xf>
    <xf numFmtId="176" fontId="11" fillId="0" borderId="0" xfId="61" applyFont="1" applyAlignment="1">
      <alignment horizontal="center" vertical="center" wrapText="1"/>
    </xf>
    <xf numFmtId="176" fontId="6" fillId="0" borderId="0" xfId="61" applyFont="1" applyAlignment="1">
      <alignment horizontal="right" vertical="center"/>
    </xf>
    <xf numFmtId="3" fontId="0" fillId="37" borderId="207" xfId="0" applyNumberFormat="1" applyFill="1" applyBorder="1" applyAlignment="1">
      <alignment horizontal="center" vertical="center" wrapText="1"/>
    </xf>
    <xf numFmtId="3" fontId="0" fillId="37" borderId="57" xfId="0" applyNumberForma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2" fillId="37" borderId="122" xfId="0" applyNumberFormat="1" applyFont="1" applyFill="1" applyBorder="1" applyAlignment="1">
      <alignment horizontal="center" vertical="center" wrapText="1"/>
    </xf>
    <xf numFmtId="3" fontId="2" fillId="37" borderId="109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74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2" fillId="33" borderId="122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3" fontId="2" fillId="33" borderId="110" xfId="0" applyNumberFormat="1" applyFont="1" applyFill="1" applyBorder="1" applyAlignment="1">
      <alignment horizontal="center" vertical="center" wrapText="1"/>
    </xf>
    <xf numFmtId="3" fontId="2" fillId="33" borderId="57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176" fontId="11" fillId="0" borderId="0" xfId="61" applyFont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4" fillId="43" borderId="135" xfId="0" applyNumberFormat="1" applyFont="1" applyFill="1" applyBorder="1" applyAlignment="1">
      <alignment horizontal="center" vertical="center" wrapText="1"/>
    </xf>
    <xf numFmtId="3" fontId="4" fillId="43" borderId="136" xfId="0" applyNumberFormat="1" applyFont="1" applyFill="1" applyBorder="1" applyAlignment="1">
      <alignment horizontal="center" vertical="center" wrapText="1"/>
    </xf>
    <xf numFmtId="3" fontId="4" fillId="43" borderId="124" xfId="0" applyNumberFormat="1" applyFont="1" applyFill="1" applyBorder="1" applyAlignment="1">
      <alignment horizontal="center" vertical="center" wrapText="1"/>
    </xf>
    <xf numFmtId="3" fontId="4" fillId="43" borderId="12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41" fillId="0" borderId="0" xfId="61" applyFont="1" applyAlignment="1">
      <alignment horizontal="center"/>
    </xf>
    <xf numFmtId="176" fontId="11" fillId="0" borderId="0" xfId="61" applyFont="1" applyAlignment="1">
      <alignment horizontal="center"/>
    </xf>
    <xf numFmtId="3" fontId="4" fillId="33" borderId="223" xfId="0" applyNumberFormat="1" applyFont="1" applyFill="1" applyBorder="1" applyAlignment="1">
      <alignment horizontal="center" vertical="center" wrapText="1"/>
    </xf>
    <xf numFmtId="3" fontId="4" fillId="33" borderId="68" xfId="0" applyNumberFormat="1" applyFont="1" applyFill="1" applyBorder="1" applyAlignment="1">
      <alignment horizontal="center" vertical="center" wrapText="1"/>
    </xf>
    <xf numFmtId="3" fontId="4" fillId="33" borderId="207" xfId="0" applyNumberFormat="1" applyFont="1" applyFill="1" applyBorder="1" applyAlignment="1">
      <alignment horizontal="center" vertical="center" wrapText="1"/>
    </xf>
    <xf numFmtId="3" fontId="4" fillId="33" borderId="5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5" fillId="45" borderId="63" xfId="0" applyNumberFormat="1" applyFont="1" applyFill="1" applyBorder="1" applyAlignment="1">
      <alignment horizontal="left" vertical="center" wrapText="1"/>
    </xf>
    <xf numFmtId="3" fontId="24" fillId="0" borderId="224" xfId="0" applyNumberFormat="1" applyFont="1" applyBorder="1" applyAlignment="1">
      <alignment horizontal="left"/>
    </xf>
    <xf numFmtId="3" fontId="24" fillId="0" borderId="225" xfId="0" applyNumberFormat="1" applyFont="1" applyBorder="1" applyAlignment="1">
      <alignment horizontal="left"/>
    </xf>
    <xf numFmtId="3" fontId="15" fillId="37" borderId="191" xfId="0" applyNumberFormat="1" applyFont="1" applyFill="1" applyBorder="1" applyAlignment="1">
      <alignment horizontal="center" vertical="center"/>
    </xf>
    <xf numFmtId="3" fontId="15" fillId="37" borderId="216" xfId="0" applyNumberFormat="1" applyFont="1" applyFill="1" applyBorder="1" applyAlignment="1">
      <alignment horizontal="center" vertical="center"/>
    </xf>
    <xf numFmtId="0" fontId="2" fillId="0" borderId="132" xfId="0" applyFont="1" applyBorder="1" applyAlignment="1">
      <alignment horizontal="center"/>
    </xf>
    <xf numFmtId="0" fontId="2" fillId="0" borderId="224" xfId="0" applyFont="1" applyBorder="1" applyAlignment="1">
      <alignment horizontal="center"/>
    </xf>
    <xf numFmtId="0" fontId="2" fillId="0" borderId="225" xfId="0" applyFont="1" applyBorder="1" applyAlignment="1">
      <alignment horizontal="center"/>
    </xf>
    <xf numFmtId="3" fontId="2" fillId="33" borderId="74" xfId="0" applyNumberFormat="1" applyFont="1" applyFill="1" applyBorder="1" applyAlignment="1">
      <alignment horizontal="center" vertical="center" wrapText="1"/>
    </xf>
    <xf numFmtId="3" fontId="2" fillId="33" borderId="78" xfId="0" applyNumberFormat="1" applyFont="1" applyFill="1" applyBorder="1" applyAlignment="1">
      <alignment horizontal="center" vertical="center" wrapText="1"/>
    </xf>
    <xf numFmtId="3" fontId="2" fillId="33" borderId="70" xfId="0" applyNumberFormat="1" applyFont="1" applyFill="1" applyBorder="1" applyAlignment="1">
      <alignment horizontal="center" vertical="center" wrapText="1"/>
    </xf>
    <xf numFmtId="3" fontId="15" fillId="39" borderId="0" xfId="0" applyNumberFormat="1" applyFont="1" applyFill="1" applyAlignment="1">
      <alignment horizontal="center"/>
    </xf>
    <xf numFmtId="3" fontId="1" fillId="39" borderId="0" xfId="0" applyNumberFormat="1" applyFont="1" applyFill="1" applyAlignment="1">
      <alignment horizontal="center"/>
    </xf>
    <xf numFmtId="3" fontId="2" fillId="41" borderId="127" xfId="0" applyNumberFormat="1" applyFont="1" applyFill="1" applyBorder="1" applyAlignment="1">
      <alignment horizontal="center" vertical="center" wrapText="1"/>
    </xf>
    <xf numFmtId="3" fontId="2" fillId="41" borderId="84" xfId="0" applyNumberFormat="1" applyFont="1" applyFill="1" applyBorder="1" applyAlignment="1">
      <alignment horizontal="center" vertical="center" wrapText="1"/>
    </xf>
    <xf numFmtId="0" fontId="0" fillId="39" borderId="160" xfId="0" applyFont="1" applyFill="1" applyBorder="1" applyAlignment="1">
      <alignment horizontal="right" vertical="center"/>
    </xf>
    <xf numFmtId="0" fontId="2" fillId="39" borderId="0" xfId="0" applyFont="1" applyFill="1" applyAlignment="1">
      <alignment horizontal="center"/>
    </xf>
    <xf numFmtId="3" fontId="2" fillId="39" borderId="0" xfId="0" applyNumberFormat="1" applyFont="1" applyFill="1" applyAlignment="1">
      <alignment horizontal="center"/>
    </xf>
    <xf numFmtId="0" fontId="6" fillId="39" borderId="0" xfId="0" applyFont="1" applyFill="1" applyAlignment="1">
      <alignment horizontal="right"/>
    </xf>
    <xf numFmtId="0" fontId="2" fillId="42" borderId="75" xfId="0" applyFont="1" applyFill="1" applyBorder="1" applyAlignment="1">
      <alignment horizontal="center" vertical="center" wrapText="1"/>
    </xf>
    <xf numFmtId="0" fontId="2" fillId="42" borderId="221" xfId="0" applyFont="1" applyFill="1" applyBorder="1" applyAlignment="1">
      <alignment horizontal="center" vertical="center" wrapText="1"/>
    </xf>
    <xf numFmtId="0" fontId="2" fillId="42" borderId="222" xfId="0" applyFont="1" applyFill="1" applyBorder="1" applyAlignment="1">
      <alignment horizontal="center" vertical="center" wrapText="1"/>
    </xf>
    <xf numFmtId="0" fontId="2" fillId="42" borderId="40" xfId="0" applyFont="1" applyFill="1" applyBorder="1" applyAlignment="1">
      <alignment horizontal="center" vertical="center" wrapText="1"/>
    </xf>
    <xf numFmtId="3" fontId="2" fillId="41" borderId="135" xfId="0" applyNumberFormat="1" applyFont="1" applyFill="1" applyBorder="1" applyAlignment="1">
      <alignment horizontal="center" vertical="center" wrapText="1"/>
    </xf>
    <xf numFmtId="3" fontId="2" fillId="41" borderId="136" xfId="0" applyNumberFormat="1" applyFont="1" applyFill="1" applyBorder="1" applyAlignment="1">
      <alignment horizontal="center" vertical="center" wrapText="1"/>
    </xf>
    <xf numFmtId="3" fontId="2" fillId="41" borderId="101" xfId="0" applyNumberFormat="1" applyFont="1" applyFill="1" applyBorder="1" applyAlignment="1">
      <alignment horizontal="center" vertical="center" wrapText="1"/>
    </xf>
    <xf numFmtId="3" fontId="2" fillId="41" borderId="53" xfId="0" applyNumberFormat="1" applyFont="1" applyFill="1" applyBorder="1" applyAlignment="1">
      <alignment horizontal="center" vertical="center" wrapText="1"/>
    </xf>
    <xf numFmtId="3" fontId="2" fillId="41" borderId="124" xfId="0" applyNumberFormat="1" applyFont="1" applyFill="1" applyBorder="1" applyAlignment="1">
      <alignment horizontal="center" vertical="center" wrapText="1"/>
    </xf>
    <xf numFmtId="3" fontId="2" fillId="41" borderId="125" xfId="0" applyNumberFormat="1" applyFont="1" applyFill="1" applyBorder="1" applyAlignment="1">
      <alignment horizontal="center" vertical="center" wrapText="1"/>
    </xf>
    <xf numFmtId="3" fontId="5" fillId="39" borderId="0" xfId="0" applyNumberFormat="1" applyFont="1" applyFill="1" applyAlignment="1">
      <alignment horizontal="center" vertical="center"/>
    </xf>
    <xf numFmtId="3" fontId="2" fillId="42" borderId="0" xfId="0" applyNumberFormat="1" applyFont="1" applyFill="1" applyBorder="1" applyAlignment="1">
      <alignment horizontal="center" vertical="center" wrapText="1"/>
    </xf>
    <xf numFmtId="3" fontId="2" fillId="42" borderId="226" xfId="0" applyNumberFormat="1" applyFont="1" applyFill="1" applyBorder="1" applyAlignment="1">
      <alignment horizontal="center" vertical="center" wrapText="1"/>
    </xf>
    <xf numFmtId="3" fontId="2" fillId="42" borderId="164" xfId="0" applyNumberFormat="1" applyFont="1" applyFill="1" applyBorder="1" applyAlignment="1">
      <alignment horizontal="center" vertical="center" wrapText="1"/>
    </xf>
    <xf numFmtId="3" fontId="2" fillId="41" borderId="0" xfId="0" applyNumberFormat="1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 vertical="center" wrapText="1"/>
    </xf>
    <xf numFmtId="176" fontId="6" fillId="39" borderId="0" xfId="61" applyFont="1" applyFill="1" applyAlignment="1">
      <alignment horizontal="right" vertical="center"/>
    </xf>
    <xf numFmtId="3" fontId="0" fillId="39" borderId="160" xfId="0" applyNumberFormat="1" applyFont="1" applyFill="1" applyBorder="1" applyAlignment="1">
      <alignment horizontal="right" vertical="center" wrapText="1"/>
    </xf>
    <xf numFmtId="0" fontId="6" fillId="39" borderId="0" xfId="0" applyFont="1" applyFill="1" applyAlignment="1">
      <alignment horizontal="right" vertical="center"/>
    </xf>
    <xf numFmtId="0" fontId="2" fillId="42" borderId="187" xfId="0" applyFont="1" applyFill="1" applyBorder="1" applyAlignment="1">
      <alignment horizontal="center" vertical="center"/>
    </xf>
    <xf numFmtId="0" fontId="2" fillId="42" borderId="227" xfId="0" applyFont="1" applyFill="1" applyBorder="1" applyAlignment="1">
      <alignment horizontal="center" vertical="center"/>
    </xf>
    <xf numFmtId="3" fontId="0" fillId="39" borderId="160" xfId="0" applyNumberFormat="1" applyFont="1" applyFill="1" applyBorder="1" applyAlignment="1">
      <alignment horizontal="right"/>
    </xf>
    <xf numFmtId="3" fontId="15" fillId="39" borderId="0" xfId="0" applyNumberFormat="1" applyFont="1" applyFill="1" applyAlignment="1">
      <alignment horizontal="center" vertical="center" wrapText="1"/>
    </xf>
    <xf numFmtId="3" fontId="2" fillId="39" borderId="0" xfId="0" applyNumberFormat="1" applyFont="1" applyFill="1" applyAlignment="1">
      <alignment horizontal="center" vertical="center"/>
    </xf>
    <xf numFmtId="0" fontId="87" fillId="0" borderId="53" xfId="0" applyFont="1" applyBorder="1" applyAlignment="1">
      <alignment horizontal="center" vertical="center" wrapText="1"/>
    </xf>
    <xf numFmtId="176" fontId="84" fillId="0" borderId="0" xfId="61" applyFont="1" applyAlignment="1">
      <alignment horizontal="center"/>
    </xf>
    <xf numFmtId="176" fontId="95" fillId="0" borderId="0" xfId="61" applyFont="1" applyAlignment="1">
      <alignment horizontal="right" vertical="center"/>
    </xf>
    <xf numFmtId="3" fontId="86" fillId="0" borderId="0" xfId="0" applyNumberFormat="1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right" vertical="center"/>
    </xf>
    <xf numFmtId="0" fontId="85" fillId="0" borderId="0" xfId="0" applyFont="1" applyAlignment="1">
      <alignment horizontal="right"/>
    </xf>
    <xf numFmtId="176" fontId="6" fillId="0" borderId="0" xfId="61" applyFont="1" applyAlignment="1">
      <alignment horizontal="right" vertical="center"/>
    </xf>
    <xf numFmtId="3" fontId="2" fillId="0" borderId="0" xfId="0" applyNumberFormat="1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76" fontId="7" fillId="0" borderId="0" xfId="6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41" borderId="18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28" xfId="0" applyBorder="1" applyAlignment="1">
      <alignment horizontal="left" vertical="center"/>
    </xf>
    <xf numFmtId="0" fontId="0" fillId="0" borderId="229" xfId="0" applyBorder="1" applyAlignment="1">
      <alignment horizontal="left" vertical="center"/>
    </xf>
    <xf numFmtId="0" fontId="0" fillId="0" borderId="230" xfId="0" applyBorder="1" applyAlignment="1">
      <alignment horizontal="left" vertical="center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2" fillId="55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2" fillId="55" borderId="17" xfId="0" applyFont="1" applyFill="1" applyBorder="1" applyAlignment="1">
      <alignment horizontal="left" vertical="center" wrapText="1"/>
    </xf>
    <xf numFmtId="0" fontId="0" fillId="55" borderId="17" xfId="0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0" fontId="0" fillId="0" borderId="36" xfId="0" applyBorder="1" applyAlignment="1">
      <alignment horizontal="right"/>
    </xf>
    <xf numFmtId="175" fontId="15" fillId="0" borderId="0" xfId="46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0" fillId="0" borderId="101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3" fontId="6" fillId="0" borderId="193" xfId="0" applyNumberFormat="1" applyFont="1" applyBorder="1" applyAlignment="1">
      <alignment horizontal="left" vertical="center"/>
    </xf>
    <xf numFmtId="3" fontId="6" fillId="0" borderId="143" xfId="0" applyNumberFormat="1" applyFont="1" applyBorder="1" applyAlignment="1">
      <alignment horizontal="left" vertical="center"/>
    </xf>
    <xf numFmtId="0" fontId="2" fillId="0" borderId="10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6" fillId="0" borderId="10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left"/>
    </xf>
    <xf numFmtId="3" fontId="2" fillId="37" borderId="75" xfId="0" applyNumberFormat="1" applyFont="1" applyFill="1" applyBorder="1" applyAlignment="1">
      <alignment horizontal="center" vertical="center" wrapText="1"/>
    </xf>
    <xf numFmtId="3" fontId="2" fillId="37" borderId="221" xfId="0" applyNumberFormat="1" applyFont="1" applyFill="1" applyBorder="1" applyAlignment="1">
      <alignment horizontal="center" vertical="center" wrapText="1"/>
    </xf>
    <xf numFmtId="3" fontId="2" fillId="37" borderId="219" xfId="0" applyNumberFormat="1" applyFont="1" applyFill="1" applyBorder="1" applyAlignment="1">
      <alignment horizontal="center" vertical="center" wrapText="1"/>
    </xf>
    <xf numFmtId="3" fontId="2" fillId="37" borderId="220" xfId="0" applyNumberFormat="1" applyFont="1" applyFill="1" applyBorder="1" applyAlignment="1">
      <alignment horizontal="center" vertical="center" wrapText="1"/>
    </xf>
    <xf numFmtId="0" fontId="2" fillId="0" borderId="130" xfId="0" applyFont="1" applyBorder="1" applyAlignment="1">
      <alignment horizontal="center"/>
    </xf>
    <xf numFmtId="0" fontId="2" fillId="0" borderId="231" xfId="0" applyFont="1" applyBorder="1" applyAlignment="1">
      <alignment horizontal="center"/>
    </xf>
    <xf numFmtId="3" fontId="13" fillId="0" borderId="64" xfId="0" applyNumberFormat="1" applyFont="1" applyBorder="1" applyAlignment="1">
      <alignment horizontal="left"/>
    </xf>
    <xf numFmtId="3" fontId="13" fillId="0" borderId="65" xfId="0" applyNumberFormat="1" applyFont="1" applyBorder="1" applyAlignment="1">
      <alignment horizontal="left"/>
    </xf>
    <xf numFmtId="3" fontId="2" fillId="0" borderId="53" xfId="0" applyNumberFormat="1" applyFont="1" applyBorder="1" applyAlignment="1">
      <alignment horizontal="left"/>
    </xf>
    <xf numFmtId="3" fontId="2" fillId="0" borderId="64" xfId="0" applyNumberFormat="1" applyFont="1" applyBorder="1" applyAlignment="1">
      <alignment horizontal="left"/>
    </xf>
    <xf numFmtId="3" fontId="2" fillId="0" borderId="65" xfId="0" applyNumberFormat="1" applyFont="1" applyBorder="1" applyAlignment="1">
      <alignment horizontal="left"/>
    </xf>
    <xf numFmtId="0" fontId="30" fillId="0" borderId="131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3" fontId="2" fillId="0" borderId="66" xfId="0" applyNumberFormat="1" applyFont="1" applyBorder="1" applyAlignment="1">
      <alignment horizontal="left"/>
    </xf>
    <xf numFmtId="3" fontId="2" fillId="0" borderId="67" xfId="0" applyNumberFormat="1" applyFont="1" applyBorder="1" applyAlignment="1">
      <alignment horizontal="left"/>
    </xf>
    <xf numFmtId="3" fontId="2" fillId="0" borderId="79" xfId="0" applyNumberFormat="1" applyFont="1" applyBorder="1" applyAlignment="1">
      <alignment horizontal="left" vertical="center" wrapText="1"/>
    </xf>
    <xf numFmtId="3" fontId="2" fillId="0" borderId="80" xfId="0" applyNumberFormat="1" applyFont="1" applyBorder="1" applyAlignment="1">
      <alignment horizontal="left" vertical="center" wrapText="1"/>
    </xf>
    <xf numFmtId="3" fontId="2" fillId="0" borderId="61" xfId="0" applyNumberFormat="1" applyFont="1" applyBorder="1" applyAlignment="1">
      <alignment horizontal="left"/>
    </xf>
    <xf numFmtId="3" fontId="6" fillId="36" borderId="63" xfId="0" applyNumberFormat="1" applyFont="1" applyFill="1" applyBorder="1" applyAlignment="1">
      <alignment horizontal="left" vertical="center"/>
    </xf>
    <xf numFmtId="0" fontId="5" fillId="38" borderId="151" xfId="0" applyFont="1" applyFill="1" applyBorder="1" applyAlignment="1">
      <alignment horizontal="center"/>
    </xf>
    <xf numFmtId="0" fontId="5" fillId="38" borderId="152" xfId="0" applyFont="1" applyFill="1" applyBorder="1" applyAlignment="1">
      <alignment horizontal="center"/>
    </xf>
    <xf numFmtId="0" fontId="30" fillId="0" borderId="53" xfId="0" applyFont="1" applyBorder="1" applyAlignment="1">
      <alignment horizontal="left"/>
    </xf>
    <xf numFmtId="0" fontId="2" fillId="0" borderId="10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3" fontId="30" fillId="0" borderId="53" xfId="0" applyNumberFormat="1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3" fontId="2" fillId="37" borderId="222" xfId="0" applyNumberFormat="1" applyFont="1" applyFill="1" applyBorder="1" applyAlignment="1">
      <alignment horizontal="center" vertical="center" wrapText="1"/>
    </xf>
    <xf numFmtId="3" fontId="2" fillId="37" borderId="40" xfId="0" applyNumberFormat="1" applyFont="1" applyFill="1" applyBorder="1" applyAlignment="1">
      <alignment horizontal="center" vertical="center" wrapText="1"/>
    </xf>
    <xf numFmtId="0" fontId="8" fillId="0" borderId="10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6" fillId="36" borderId="108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3" fontId="5" fillId="38" borderId="152" xfId="0" applyNumberFormat="1" applyFont="1" applyFill="1" applyBorder="1" applyAlignment="1">
      <alignment horizontal="left" vertical="center"/>
    </xf>
    <xf numFmtId="3" fontId="2" fillId="33" borderId="223" xfId="0" applyNumberFormat="1" applyFont="1" applyFill="1" applyBorder="1" applyAlignment="1">
      <alignment horizontal="center" vertical="center" wrapText="1"/>
    </xf>
    <xf numFmtId="3" fontId="2" fillId="33" borderId="232" xfId="0" applyNumberFormat="1" applyFont="1" applyFill="1" applyBorder="1" applyAlignment="1">
      <alignment horizontal="center" vertical="center" wrapText="1"/>
    </xf>
    <xf numFmtId="3" fontId="2" fillId="33" borderId="233" xfId="0" applyNumberFormat="1" applyFont="1" applyFill="1" applyBorder="1" applyAlignment="1">
      <alignment horizontal="center" vertical="center" wrapText="1"/>
    </xf>
    <xf numFmtId="3" fontId="2" fillId="33" borderId="234" xfId="0" applyNumberFormat="1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 wrapText="1"/>
    </xf>
    <xf numFmtId="3" fontId="2" fillId="33" borderId="235" xfId="0" applyNumberFormat="1" applyFont="1" applyFill="1" applyBorder="1" applyAlignment="1">
      <alignment horizontal="center" vertical="center" wrapText="1"/>
    </xf>
    <xf numFmtId="0" fontId="2" fillId="0" borderId="144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6" fillId="0" borderId="191" xfId="0" applyFont="1" applyBorder="1" applyAlignment="1">
      <alignment horizontal="center"/>
    </xf>
    <xf numFmtId="0" fontId="6" fillId="0" borderId="216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67" xfId="0" applyBorder="1" applyAlignment="1">
      <alignment horizontal="center"/>
    </xf>
    <xf numFmtId="3" fontId="6" fillId="0" borderId="49" xfId="0" applyNumberFormat="1" applyFont="1" applyBorder="1" applyAlignment="1">
      <alignment horizontal="left"/>
    </xf>
    <xf numFmtId="0" fontId="5" fillId="37" borderId="191" xfId="0" applyFont="1" applyFill="1" applyBorder="1" applyAlignment="1">
      <alignment horizontal="center"/>
    </xf>
    <xf numFmtId="0" fontId="5" fillId="37" borderId="216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35" xfId="0" applyFon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3" fontId="2" fillId="41" borderId="187" xfId="0" applyNumberFormat="1" applyFont="1" applyFill="1" applyBorder="1" applyAlignment="1">
      <alignment horizontal="left" vertical="center" wrapText="1"/>
    </xf>
    <xf numFmtId="3" fontId="2" fillId="41" borderId="236" xfId="0" applyNumberFormat="1" applyFont="1" applyFill="1" applyBorder="1" applyAlignment="1">
      <alignment horizontal="left" vertical="center" wrapText="1"/>
    </xf>
    <xf numFmtId="0" fontId="30" fillId="0" borderId="64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4" xfId="0" applyBorder="1" applyAlignment="1">
      <alignment horizontal="center"/>
    </xf>
    <xf numFmtId="3" fontId="2" fillId="33" borderId="130" xfId="0" applyNumberFormat="1" applyFont="1" applyFill="1" applyBorder="1" applyAlignment="1">
      <alignment horizontal="center" vertical="center" wrapText="1"/>
    </xf>
    <xf numFmtId="3" fontId="2" fillId="33" borderId="231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/>
    </xf>
    <xf numFmtId="3" fontId="2" fillId="41" borderId="237" xfId="0" applyNumberFormat="1" applyFont="1" applyFill="1" applyBorder="1" applyAlignment="1">
      <alignment horizontal="center" vertical="center" wrapText="1"/>
    </xf>
    <xf numFmtId="3" fontId="2" fillId="41" borderId="23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3" fontId="2" fillId="33" borderId="239" xfId="0" applyNumberFormat="1" applyFont="1" applyFill="1" applyBorder="1" applyAlignment="1">
      <alignment horizontal="center" vertical="center"/>
    </xf>
    <xf numFmtId="3" fontId="2" fillId="0" borderId="101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left"/>
    </xf>
    <xf numFmtId="3" fontId="6" fillId="0" borderId="137" xfId="0" applyNumberFormat="1" applyFont="1" applyBorder="1" applyAlignment="1">
      <alignment horizontal="left"/>
    </xf>
    <xf numFmtId="3" fontId="2" fillId="33" borderId="14" xfId="0" applyNumberFormat="1" applyFont="1" applyFill="1" applyBorder="1" applyAlignment="1">
      <alignment horizontal="center" vertical="center"/>
    </xf>
    <xf numFmtId="3" fontId="8" fillId="0" borderId="101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3" fontId="2" fillId="0" borderId="240" xfId="0" applyNumberFormat="1" applyFont="1" applyBorder="1" applyAlignment="1">
      <alignment horizontal="center"/>
    </xf>
    <xf numFmtId="3" fontId="2" fillId="0" borderId="241" xfId="0" applyNumberFormat="1" applyFont="1" applyBorder="1" applyAlignment="1">
      <alignment horizontal="center"/>
    </xf>
    <xf numFmtId="3" fontId="8" fillId="0" borderId="64" xfId="0" applyNumberFormat="1" applyFont="1" applyBorder="1" applyAlignment="1">
      <alignment horizontal="left"/>
    </xf>
    <xf numFmtId="3" fontId="8" fillId="0" borderId="65" xfId="0" applyNumberFormat="1" applyFont="1" applyBorder="1" applyAlignment="1">
      <alignment horizontal="left"/>
    </xf>
    <xf numFmtId="3" fontId="8" fillId="0" borderId="131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0" fillId="0" borderId="101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103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8" fillId="0" borderId="174" xfId="0" applyNumberFormat="1" applyFont="1" applyBorder="1" applyAlignment="1">
      <alignment horizontal="center"/>
    </xf>
    <xf numFmtId="3" fontId="8" fillId="0" borderId="242" xfId="0" applyNumberFormat="1" applyFont="1" applyBorder="1" applyAlignment="1">
      <alignment horizontal="center"/>
    </xf>
    <xf numFmtId="3" fontId="2" fillId="33" borderId="86" xfId="0" applyNumberFormat="1" applyFont="1" applyFill="1" applyBorder="1" applyAlignment="1">
      <alignment horizontal="center" vertical="center" wrapText="1"/>
    </xf>
    <xf numFmtId="3" fontId="2" fillId="33" borderId="43" xfId="0" applyNumberFormat="1" applyFont="1" applyFill="1" applyBorder="1" applyAlignment="1">
      <alignment horizontal="center" vertical="center" wrapText="1"/>
    </xf>
    <xf numFmtId="3" fontId="8" fillId="0" borderId="243" xfId="0" applyNumberFormat="1" applyFont="1" applyBorder="1" applyAlignment="1">
      <alignment horizontal="center"/>
    </xf>
    <xf numFmtId="3" fontId="8" fillId="0" borderId="244" xfId="0" applyNumberFormat="1" applyFont="1" applyBorder="1" applyAlignment="1">
      <alignment horizontal="center"/>
    </xf>
    <xf numFmtId="3" fontId="0" fillId="0" borderId="76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2" fillId="33" borderId="245" xfId="0" applyNumberFormat="1" applyFont="1" applyFill="1" applyBorder="1" applyAlignment="1">
      <alignment horizontal="center" vertical="center" wrapText="1"/>
    </xf>
    <xf numFmtId="3" fontId="8" fillId="0" borderId="64" xfId="0" applyNumberFormat="1" applyFont="1" applyBorder="1" applyAlignment="1">
      <alignment horizontal="right"/>
    </xf>
    <xf numFmtId="3" fontId="8" fillId="0" borderId="177" xfId="0" applyNumberFormat="1" applyFont="1" applyBorder="1" applyAlignment="1">
      <alignment horizontal="center"/>
    </xf>
    <xf numFmtId="3" fontId="8" fillId="0" borderId="246" xfId="0" applyNumberFormat="1" applyFon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8" fillId="0" borderId="131" xfId="0" applyNumberFormat="1" applyFont="1" applyBorder="1" applyAlignment="1">
      <alignment horizontal="center"/>
    </xf>
    <xf numFmtId="3" fontId="8" fillId="0" borderId="65" xfId="0" applyNumberFormat="1" applyFont="1" applyBorder="1" applyAlignment="1">
      <alignment horizontal="center"/>
    </xf>
    <xf numFmtId="3" fontId="8" fillId="0" borderId="131" xfId="0" applyNumberFormat="1" applyFont="1" applyBorder="1" applyAlignment="1">
      <alignment horizontal="left"/>
    </xf>
    <xf numFmtId="3" fontId="0" fillId="0" borderId="247" xfId="0" applyNumberFormat="1" applyBorder="1" applyAlignment="1">
      <alignment horizontal="center"/>
    </xf>
    <xf numFmtId="3" fontId="0" fillId="0" borderId="248" xfId="0" applyNumberFormat="1" applyBorder="1" applyAlignment="1">
      <alignment horizontal="center"/>
    </xf>
    <xf numFmtId="3" fontId="0" fillId="0" borderId="249" xfId="0" applyNumberFormat="1" applyBorder="1" applyAlignment="1">
      <alignment horizontal="center"/>
    </xf>
    <xf numFmtId="3" fontId="0" fillId="0" borderId="250" xfId="0" applyNumberForma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left"/>
    </xf>
    <xf numFmtId="3" fontId="8" fillId="0" borderId="249" xfId="0" applyNumberFormat="1" applyFont="1" applyBorder="1" applyAlignment="1">
      <alignment horizontal="center"/>
    </xf>
    <xf numFmtId="3" fontId="8" fillId="0" borderId="250" xfId="0" applyNumberFormat="1" applyFont="1" applyBorder="1" applyAlignment="1">
      <alignment horizontal="center"/>
    </xf>
    <xf numFmtId="3" fontId="6" fillId="0" borderId="139" xfId="0" applyNumberFormat="1" applyFont="1" applyBorder="1" applyAlignment="1">
      <alignment horizontal="center" vertical="center"/>
    </xf>
    <xf numFmtId="3" fontId="6" fillId="0" borderId="251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/>
    </xf>
    <xf numFmtId="3" fontId="6" fillId="0" borderId="235" xfId="0" applyNumberFormat="1" applyFont="1" applyBorder="1" applyAlignment="1">
      <alignment horizontal="center"/>
    </xf>
    <xf numFmtId="3" fontId="5" fillId="37" borderId="191" xfId="0" applyNumberFormat="1" applyFont="1" applyFill="1" applyBorder="1" applyAlignment="1">
      <alignment horizontal="center"/>
    </xf>
    <xf numFmtId="3" fontId="5" fillId="37" borderId="216" xfId="0" applyNumberFormat="1" applyFont="1" applyFill="1" applyBorder="1" applyAlignment="1">
      <alignment horizontal="center"/>
    </xf>
    <xf numFmtId="3" fontId="2" fillId="0" borderId="76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8" fillId="36" borderId="131" xfId="0" applyFont="1" applyFill="1" applyBorder="1" applyAlignment="1">
      <alignment horizontal="right"/>
    </xf>
    <xf numFmtId="0" fontId="8" fillId="36" borderId="65" xfId="0" applyFont="1" applyFill="1" applyBorder="1" applyAlignment="1">
      <alignment horizontal="right"/>
    </xf>
    <xf numFmtId="3" fontId="0" fillId="0" borderId="131" xfId="0" applyNumberForma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0" fillId="0" borderId="252" xfId="0" applyNumberFormat="1" applyBorder="1" applyAlignment="1">
      <alignment horizontal="center" vertical="center"/>
    </xf>
    <xf numFmtId="3" fontId="0" fillId="0" borderId="142" xfId="0" applyNumberFormat="1" applyBorder="1" applyAlignment="1">
      <alignment horizontal="center" vertical="center"/>
    </xf>
    <xf numFmtId="0" fontId="8" fillId="0" borderId="253" xfId="0" applyFont="1" applyBorder="1" applyAlignment="1">
      <alignment horizontal="right"/>
    </xf>
    <xf numFmtId="0" fontId="8" fillId="0" borderId="179" xfId="0" applyFont="1" applyBorder="1" applyAlignment="1">
      <alignment horizontal="right"/>
    </xf>
    <xf numFmtId="3" fontId="15" fillId="37" borderId="47" xfId="0" applyNumberFormat="1" applyFont="1" applyFill="1" applyBorder="1" applyAlignment="1">
      <alignment horizontal="center" vertical="center"/>
    </xf>
    <xf numFmtId="3" fontId="15" fillId="37" borderId="235" xfId="0" applyNumberFormat="1" applyFont="1" applyFill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221" xfId="0" applyNumberFormat="1" applyBorder="1" applyAlignment="1">
      <alignment horizontal="center" vertical="center"/>
    </xf>
    <xf numFmtId="3" fontId="0" fillId="0" borderId="144" xfId="0" applyNumberFormat="1" applyBorder="1" applyAlignment="1">
      <alignment horizontal="center" vertical="center"/>
    </xf>
    <xf numFmtId="3" fontId="0" fillId="0" borderId="167" xfId="0" applyNumberFormat="1" applyBorder="1" applyAlignment="1">
      <alignment horizontal="center" vertical="center"/>
    </xf>
    <xf numFmtId="3" fontId="5" fillId="45" borderId="63" xfId="0" applyNumberFormat="1" applyFont="1" applyFill="1" applyBorder="1" applyAlignment="1">
      <alignment horizontal="left" vertical="center"/>
    </xf>
    <xf numFmtId="3" fontId="8" fillId="0" borderId="11" xfId="0" applyNumberFormat="1" applyFont="1" applyBorder="1" applyAlignment="1">
      <alignment horizontal="left"/>
    </xf>
    <xf numFmtId="3" fontId="8" fillId="0" borderId="25" xfId="0" applyNumberFormat="1" applyFont="1" applyBorder="1" applyAlignment="1">
      <alignment horizontal="left"/>
    </xf>
    <xf numFmtId="3" fontId="6" fillId="0" borderId="48" xfId="0" applyNumberFormat="1" applyFont="1" applyBorder="1" applyAlignment="1">
      <alignment horizontal="left" vertical="center"/>
    </xf>
    <xf numFmtId="3" fontId="6" fillId="0" borderId="107" xfId="0" applyNumberFormat="1" applyFont="1" applyBorder="1" applyAlignment="1">
      <alignment horizontal="left" vertical="center"/>
    </xf>
    <xf numFmtId="3" fontId="2" fillId="0" borderId="187" xfId="0" applyNumberFormat="1" applyFont="1" applyBorder="1" applyAlignment="1">
      <alignment horizontal="left"/>
    </xf>
    <xf numFmtId="3" fontId="2" fillId="0" borderId="238" xfId="0" applyNumberFormat="1" applyFont="1" applyBorder="1" applyAlignment="1">
      <alignment horizontal="left"/>
    </xf>
    <xf numFmtId="3" fontId="2" fillId="33" borderId="254" xfId="0" applyNumberFormat="1" applyFont="1" applyFill="1" applyBorder="1" applyAlignment="1">
      <alignment horizontal="center" vertical="center" wrapText="1"/>
    </xf>
    <xf numFmtId="3" fontId="2" fillId="33" borderId="45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208" xfId="0" applyNumberFormat="1" applyFont="1" applyFill="1" applyBorder="1" applyAlignment="1">
      <alignment horizontal="center" vertical="center" wrapText="1"/>
    </xf>
    <xf numFmtId="3" fontId="2" fillId="33" borderId="169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left"/>
    </xf>
    <xf numFmtId="3" fontId="6" fillId="0" borderId="63" xfId="0" applyNumberFormat="1" applyFont="1" applyBorder="1" applyAlignment="1">
      <alignment horizontal="left" vertical="center"/>
    </xf>
    <xf numFmtId="3" fontId="13" fillId="0" borderId="125" xfId="0" applyNumberFormat="1" applyFont="1" applyBorder="1" applyAlignment="1">
      <alignment horizontal="left"/>
    </xf>
    <xf numFmtId="3" fontId="2" fillId="41" borderId="64" xfId="0" applyNumberFormat="1" applyFont="1" applyFill="1" applyBorder="1" applyAlignment="1">
      <alignment horizontal="left" vertical="center"/>
    </xf>
    <xf numFmtId="3" fontId="2" fillId="41" borderId="65" xfId="0" applyNumberFormat="1" applyFont="1" applyFill="1" applyBorder="1" applyAlignment="1">
      <alignment horizontal="left" vertical="center"/>
    </xf>
    <xf numFmtId="3" fontId="2" fillId="33" borderId="74" xfId="0" applyNumberFormat="1" applyFont="1" applyFill="1" applyBorder="1" applyAlignment="1">
      <alignment horizontal="center" vertical="center"/>
    </xf>
    <xf numFmtId="3" fontId="8" fillId="41" borderId="64" xfId="0" applyNumberFormat="1" applyFont="1" applyFill="1" applyBorder="1" applyAlignment="1">
      <alignment horizontal="left" vertical="center"/>
    </xf>
    <xf numFmtId="3" fontId="8" fillId="41" borderId="65" xfId="0" applyNumberFormat="1" applyFont="1" applyFill="1" applyBorder="1" applyAlignment="1">
      <alignment horizontal="left" vertical="center"/>
    </xf>
    <xf numFmtId="3" fontId="24" fillId="33" borderId="86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center" vertical="center" wrapText="1"/>
    </xf>
    <xf numFmtId="175" fontId="18" fillId="0" borderId="26" xfId="46" applyNumberFormat="1" applyFont="1" applyBorder="1" applyAlignment="1">
      <alignment horizontal="left"/>
    </xf>
    <xf numFmtId="175" fontId="18" fillId="0" borderId="27" xfId="46" applyNumberFormat="1" applyFont="1" applyBorder="1" applyAlignment="1">
      <alignment horizontal="left"/>
    </xf>
    <xf numFmtId="175" fontId="26" fillId="0" borderId="53" xfId="46" applyNumberFormat="1" applyFont="1" applyBorder="1" applyAlignment="1">
      <alignment horizontal="center"/>
    </xf>
    <xf numFmtId="175" fontId="18" fillId="0" borderId="53" xfId="46" applyNumberFormat="1" applyFont="1" applyBorder="1" applyAlignment="1">
      <alignment horizontal="left"/>
    </xf>
    <xf numFmtId="175" fontId="20" fillId="0" borderId="163" xfId="46" applyNumberFormat="1" applyFont="1" applyBorder="1" applyAlignment="1">
      <alignment horizontal="left"/>
    </xf>
    <xf numFmtId="175" fontId="20" fillId="0" borderId="255" xfId="46" applyNumberFormat="1" applyFont="1" applyBorder="1" applyAlignment="1">
      <alignment horizontal="left"/>
    </xf>
    <xf numFmtId="3" fontId="24" fillId="33" borderId="135" xfId="0" applyNumberFormat="1" applyFont="1" applyFill="1" applyBorder="1" applyAlignment="1">
      <alignment horizontal="center" vertical="center" wrapText="1"/>
    </xf>
    <xf numFmtId="3" fontId="24" fillId="33" borderId="136" xfId="0" applyNumberFormat="1" applyFont="1" applyFill="1" applyBorder="1" applyAlignment="1">
      <alignment horizontal="center" vertical="center" wrapText="1"/>
    </xf>
    <xf numFmtId="175" fontId="24" fillId="0" borderId="11" xfId="46" applyNumberFormat="1" applyFont="1" applyBorder="1" applyAlignment="1">
      <alignment horizontal="left"/>
    </xf>
    <xf numFmtId="175" fontId="24" fillId="0" borderId="25" xfId="46" applyNumberFormat="1" applyFont="1" applyBorder="1" applyAlignment="1">
      <alignment horizontal="left"/>
    </xf>
    <xf numFmtId="175" fontId="24" fillId="0" borderId="12" xfId="46" applyNumberFormat="1" applyFont="1" applyBorder="1" applyAlignment="1">
      <alignment horizontal="left"/>
    </xf>
    <xf numFmtId="175" fontId="24" fillId="0" borderId="26" xfId="46" applyNumberFormat="1" applyFont="1" applyBorder="1" applyAlignment="1">
      <alignment horizontal="left"/>
    </xf>
    <xf numFmtId="175" fontId="24" fillId="0" borderId="27" xfId="46" applyNumberFormat="1" applyFont="1" applyBorder="1" applyAlignment="1">
      <alignment horizontal="left"/>
    </xf>
    <xf numFmtId="175" fontId="20" fillId="0" borderId="48" xfId="46" applyNumberFormat="1" applyFont="1" applyBorder="1" applyAlignment="1">
      <alignment horizontal="left"/>
    </xf>
    <xf numFmtId="175" fontId="20" fillId="0" borderId="107" xfId="46" applyNumberFormat="1" applyFont="1" applyBorder="1" applyAlignment="1">
      <alignment horizontal="left"/>
    </xf>
    <xf numFmtId="175" fontId="18" fillId="0" borderId="187" xfId="46" applyNumberFormat="1" applyFont="1" applyBorder="1" applyAlignment="1">
      <alignment horizontal="left"/>
    </xf>
    <xf numFmtId="175" fontId="18" fillId="0" borderId="238" xfId="46" applyNumberFormat="1" applyFont="1" applyBorder="1" applyAlignment="1">
      <alignment horizontal="left"/>
    </xf>
    <xf numFmtId="3" fontId="0" fillId="0" borderId="228" xfId="0" applyNumberFormat="1" applyBorder="1" applyAlignment="1">
      <alignment horizontal="left" vertical="center"/>
    </xf>
    <xf numFmtId="3" fontId="0" fillId="0" borderId="230" xfId="0" applyNumberFormat="1" applyBorder="1" applyAlignment="1">
      <alignment horizontal="left" vertical="center"/>
    </xf>
    <xf numFmtId="3" fontId="0" fillId="0" borderId="256" xfId="0" applyNumberFormat="1" applyBorder="1" applyAlignment="1">
      <alignment horizontal="left" vertical="center"/>
    </xf>
    <xf numFmtId="3" fontId="0" fillId="0" borderId="257" xfId="0" applyNumberFormat="1" applyBorder="1" applyAlignment="1">
      <alignment horizontal="left" vertical="center"/>
    </xf>
    <xf numFmtId="3" fontId="0" fillId="0" borderId="258" xfId="0" applyNumberFormat="1" applyBorder="1" applyAlignment="1">
      <alignment horizontal="left" vertical="center"/>
    </xf>
    <xf numFmtId="3" fontId="0" fillId="0" borderId="259" xfId="0" applyNumberFormat="1" applyBorder="1" applyAlignment="1">
      <alignment horizontal="left" vertical="center"/>
    </xf>
    <xf numFmtId="3" fontId="0" fillId="0" borderId="260" xfId="0" applyNumberFormat="1" applyBorder="1" applyAlignment="1">
      <alignment horizontal="left" vertical="center"/>
    </xf>
    <xf numFmtId="3" fontId="0" fillId="0" borderId="261" xfId="0" applyNumberFormat="1" applyBorder="1" applyAlignment="1">
      <alignment horizontal="left" vertical="center"/>
    </xf>
    <xf numFmtId="3" fontId="30" fillId="0" borderId="262" xfId="0" applyNumberFormat="1" applyFont="1" applyBorder="1" applyAlignment="1">
      <alignment horizontal="left" vertical="center"/>
    </xf>
    <xf numFmtId="3" fontId="30" fillId="0" borderId="263" xfId="0" applyNumberFormat="1" applyFont="1" applyBorder="1" applyAlignment="1">
      <alignment horizontal="left" vertical="center"/>
    </xf>
    <xf numFmtId="3" fontId="30" fillId="0" borderId="264" xfId="0" applyNumberFormat="1" applyFont="1" applyBorder="1" applyAlignment="1">
      <alignment horizontal="left" vertical="center"/>
    </xf>
    <xf numFmtId="3" fontId="30" fillId="0" borderId="242" xfId="0" applyNumberFormat="1" applyFont="1" applyBorder="1" applyAlignment="1">
      <alignment horizontal="left" vertical="center"/>
    </xf>
    <xf numFmtId="3" fontId="30" fillId="0" borderId="264" xfId="0" applyNumberFormat="1" applyFont="1" applyBorder="1" applyAlignment="1">
      <alignment horizontal="left" vertical="center" wrapText="1"/>
    </xf>
    <xf numFmtId="3" fontId="30" fillId="0" borderId="242" xfId="0" applyNumberFormat="1" applyFont="1" applyBorder="1" applyAlignment="1">
      <alignment horizontal="left" vertical="center" wrapText="1"/>
    </xf>
    <xf numFmtId="3" fontId="30" fillId="0" borderId="260" xfId="0" applyNumberFormat="1" applyFont="1" applyBorder="1" applyAlignment="1">
      <alignment horizontal="left" vertical="center"/>
    </xf>
    <xf numFmtId="3" fontId="30" fillId="0" borderId="261" xfId="0" applyNumberFormat="1" applyFont="1" applyBorder="1" applyAlignment="1">
      <alignment horizontal="left" vertical="center"/>
    </xf>
    <xf numFmtId="175" fontId="24" fillId="0" borderId="11" xfId="46" applyNumberFormat="1" applyFont="1" applyBorder="1" applyAlignment="1">
      <alignment horizontal="left" vertical="center" wrapText="1"/>
    </xf>
    <xf numFmtId="175" fontId="24" fillId="0" borderId="25" xfId="46" applyNumberFormat="1" applyFont="1" applyBorder="1" applyAlignment="1">
      <alignment horizontal="left" vertical="center" wrapText="1"/>
    </xf>
    <xf numFmtId="3" fontId="30" fillId="0" borderId="256" xfId="0" applyNumberFormat="1" applyFont="1" applyBorder="1" applyAlignment="1">
      <alignment horizontal="center"/>
    </xf>
    <xf numFmtId="3" fontId="30" fillId="0" borderId="257" xfId="0" applyNumberFormat="1" applyFont="1" applyBorder="1" applyAlignment="1">
      <alignment horizontal="center"/>
    </xf>
    <xf numFmtId="3" fontId="30" fillId="0" borderId="258" xfId="0" applyNumberFormat="1" applyFont="1" applyBorder="1" applyAlignment="1">
      <alignment horizontal="left"/>
    </xf>
    <xf numFmtId="3" fontId="30" fillId="0" borderId="259" xfId="0" applyNumberFormat="1" applyFont="1" applyBorder="1" applyAlignment="1">
      <alignment horizontal="left"/>
    </xf>
    <xf numFmtId="3" fontId="2" fillId="0" borderId="260" xfId="0" applyNumberFormat="1" applyFont="1" applyBorder="1" applyAlignment="1">
      <alignment horizontal="left" vertical="center" wrapText="1"/>
    </xf>
    <xf numFmtId="3" fontId="2" fillId="0" borderId="261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0" fillId="0" borderId="25" xfId="0" applyNumberFormat="1" applyBorder="1" applyAlignment="1">
      <alignment horizontal="left" vertical="center" wrapText="1"/>
    </xf>
    <xf numFmtId="3" fontId="30" fillId="0" borderId="11" xfId="0" applyNumberFormat="1" applyFont="1" applyBorder="1" applyAlignment="1">
      <alignment horizontal="left" vertical="center" wrapText="1"/>
    </xf>
    <xf numFmtId="3" fontId="30" fillId="0" borderId="25" xfId="0" applyNumberFormat="1" applyFont="1" applyBorder="1" applyAlignment="1">
      <alignment horizontal="left" vertical="center" wrapText="1"/>
    </xf>
    <xf numFmtId="175" fontId="24" fillId="0" borderId="12" xfId="46" applyNumberFormat="1" applyFont="1" applyBorder="1" applyAlignment="1">
      <alignment horizontal="left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3" fontId="30" fillId="0" borderId="25" xfId="0" applyNumberFormat="1" applyFont="1" applyBorder="1" applyAlignment="1">
      <alignment horizontal="center" vertical="center" wrapText="1"/>
    </xf>
    <xf numFmtId="3" fontId="30" fillId="0" borderId="264" xfId="0" applyNumberFormat="1" applyFont="1" applyBorder="1" applyAlignment="1">
      <alignment horizontal="left" wrapText="1"/>
    </xf>
    <xf numFmtId="3" fontId="30" fillId="0" borderId="242" xfId="0" applyNumberFormat="1" applyFont="1" applyBorder="1" applyAlignment="1">
      <alignment horizontal="left" wrapText="1"/>
    </xf>
    <xf numFmtId="3" fontId="0" fillId="0" borderId="265" xfId="0" applyNumberFormat="1" applyBorder="1" applyAlignment="1">
      <alignment horizontal="left" vertical="center" wrapText="1"/>
    </xf>
    <xf numFmtId="3" fontId="0" fillId="0" borderId="266" xfId="0" applyNumberFormat="1" applyBorder="1" applyAlignment="1">
      <alignment horizontal="left" vertical="center" wrapText="1"/>
    </xf>
    <xf numFmtId="3" fontId="0" fillId="39" borderId="256" xfId="0" applyNumberFormat="1" applyFill="1" applyBorder="1" applyAlignment="1">
      <alignment horizontal="left" wrapText="1"/>
    </xf>
    <xf numFmtId="3" fontId="0" fillId="39" borderId="257" xfId="0" applyNumberFormat="1" applyFill="1" applyBorder="1" applyAlignment="1">
      <alignment horizontal="left" wrapText="1"/>
    </xf>
    <xf numFmtId="3" fontId="30" fillId="0" borderId="256" xfId="0" applyNumberFormat="1" applyFont="1" applyBorder="1" applyAlignment="1">
      <alignment horizontal="left"/>
    </xf>
    <xf numFmtId="3" fontId="30" fillId="0" borderId="257" xfId="0" applyNumberFormat="1" applyFont="1" applyBorder="1" applyAlignment="1">
      <alignment horizontal="left"/>
    </xf>
    <xf numFmtId="3" fontId="24" fillId="33" borderId="78" xfId="0" applyNumberFormat="1" applyFont="1" applyFill="1" applyBorder="1" applyAlignment="1">
      <alignment horizontal="center" vertical="center" wrapText="1"/>
    </xf>
    <xf numFmtId="3" fontId="24" fillId="33" borderId="70" xfId="0" applyNumberFormat="1" applyFont="1" applyFill="1" applyBorder="1" applyAlignment="1">
      <alignment horizontal="center" vertical="center" wrapText="1"/>
    </xf>
    <xf numFmtId="3" fontId="24" fillId="33" borderId="70" xfId="0" applyNumberFormat="1" applyFont="1" applyFill="1" applyBorder="1" applyAlignment="1">
      <alignment horizontal="center" vertical="center"/>
    </xf>
    <xf numFmtId="3" fontId="30" fillId="0" borderId="62" xfId="0" applyNumberFormat="1" applyFont="1" applyBorder="1" applyAlignment="1">
      <alignment horizontal="left" wrapText="1"/>
    </xf>
    <xf numFmtId="3" fontId="30" fillId="0" borderId="267" xfId="0" applyNumberFormat="1" applyFont="1" applyBorder="1" applyAlignment="1">
      <alignment horizontal="left" wrapText="1"/>
    </xf>
    <xf numFmtId="3" fontId="30" fillId="0" borderId="268" xfId="0" applyNumberFormat="1" applyFont="1" applyBorder="1" applyAlignment="1">
      <alignment horizontal="left" wrapText="1"/>
    </xf>
    <xf numFmtId="0" fontId="24" fillId="0" borderId="0" xfId="0" applyFont="1" applyAlignment="1">
      <alignment horizontal="center"/>
    </xf>
    <xf numFmtId="3" fontId="24" fillId="33" borderId="75" xfId="0" applyNumberFormat="1" applyFont="1" applyFill="1" applyBorder="1" applyAlignment="1">
      <alignment horizontal="center" vertical="center" wrapText="1"/>
    </xf>
    <xf numFmtId="3" fontId="24" fillId="33" borderId="74" xfId="0" applyNumberFormat="1" applyFont="1" applyFill="1" applyBorder="1" applyAlignment="1">
      <alignment horizontal="center" vertical="center" wrapText="1"/>
    </xf>
    <xf numFmtId="3" fontId="24" fillId="33" borderId="7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2" fillId="0" borderId="269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30" xfId="0" applyFont="1" applyBorder="1" applyAlignment="1">
      <alignment horizontal="center" vertical="center" wrapText="1"/>
    </xf>
    <xf numFmtId="0" fontId="2" fillId="0" borderId="20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0" borderId="224" xfId="0" applyFont="1" applyBorder="1" applyAlignment="1">
      <alignment horizontal="center" vertical="center"/>
    </xf>
    <xf numFmtId="0" fontId="2" fillId="0" borderId="270" xfId="0" applyFont="1" applyBorder="1" applyAlignment="1">
      <alignment horizontal="center" vertical="center"/>
    </xf>
    <xf numFmtId="0" fontId="5" fillId="48" borderId="157" xfId="0" applyFont="1" applyFill="1" applyBorder="1" applyAlignment="1">
      <alignment horizontal="center"/>
    </xf>
    <xf numFmtId="0" fontId="5" fillId="48" borderId="143" xfId="0" applyFont="1" applyFill="1" applyBorder="1" applyAlignment="1">
      <alignment horizontal="center"/>
    </xf>
    <xf numFmtId="0" fontId="2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57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48" borderId="85" xfId="0" applyFont="1" applyFill="1" applyBorder="1" applyAlignment="1">
      <alignment horizontal="center"/>
    </xf>
    <xf numFmtId="0" fontId="2" fillId="0" borderId="12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/>
    </xf>
    <xf numFmtId="0" fontId="5" fillId="0" borderId="139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2" fillId="0" borderId="224" xfId="0" applyFont="1" applyBorder="1" applyAlignment="1">
      <alignment horizontal="center" vertical="center" wrapText="1"/>
    </xf>
    <xf numFmtId="0" fontId="2" fillId="0" borderId="271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0" borderId="255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/>
    </xf>
    <xf numFmtId="0" fontId="2" fillId="0" borderId="190" xfId="0" applyFont="1" applyBorder="1" applyAlignment="1">
      <alignment horizontal="center"/>
    </xf>
    <xf numFmtId="0" fontId="2" fillId="0" borderId="272" xfId="0" applyFont="1" applyBorder="1" applyAlignment="1">
      <alignment horizontal="center"/>
    </xf>
    <xf numFmtId="0" fontId="2" fillId="0" borderId="10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3" fontId="1" fillId="35" borderId="0" xfId="0" applyNumberFormat="1" applyFont="1" applyFill="1" applyAlignment="1">
      <alignment horizontal="center" vertical="center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/>
    </xf>
    <xf numFmtId="0" fontId="95" fillId="0" borderId="0" xfId="0" applyFont="1" applyAlignment="1">
      <alignment horizontal="right" vertical="center"/>
    </xf>
    <xf numFmtId="3" fontId="86" fillId="33" borderId="26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175" fontId="85" fillId="0" borderId="0" xfId="46" applyNumberFormat="1" applyFont="1" applyAlignment="1">
      <alignment horizontal="right"/>
    </xf>
    <xf numFmtId="0" fontId="97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0" fillId="0" borderId="40" xfId="57" applyFont="1" applyBorder="1" applyAlignment="1" applyProtection="1">
      <alignment horizontal="left" indent="1"/>
      <protection locked="0"/>
    </xf>
    <xf numFmtId="0" fontId="0" fillId="0" borderId="42" xfId="57" applyFont="1" applyBorder="1" applyAlignment="1" applyProtection="1">
      <alignment horizontal="right" indent="1"/>
      <protection locked="0"/>
    </xf>
    <xf numFmtId="0" fontId="0" fillId="0" borderId="167" xfId="57" applyFont="1" applyBorder="1" applyAlignment="1" applyProtection="1">
      <alignment horizontal="left" indent="1"/>
      <protection locked="0"/>
    </xf>
    <xf numFmtId="0" fontId="0" fillId="0" borderId="33" xfId="57" applyFont="1" applyBorder="1" applyAlignment="1" applyProtection="1">
      <alignment horizontal="right" indent="1"/>
      <protection locked="0"/>
    </xf>
    <xf numFmtId="0" fontId="2" fillId="0" borderId="19" xfId="57" applyFont="1" applyBorder="1" applyAlignment="1">
      <alignment horizontal="left" indent="1"/>
      <protection/>
    </xf>
    <xf numFmtId="0" fontId="2" fillId="0" borderId="168" xfId="57" applyFont="1" applyBorder="1" applyAlignment="1">
      <alignment horizontal="right" indent="1"/>
      <protection/>
    </xf>
    <xf numFmtId="0" fontId="0" fillId="0" borderId="0" xfId="0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4" fillId="0" borderId="171" xfId="57" applyFont="1" applyBorder="1" applyAlignment="1">
      <alignment vertical="top" wrapText="1"/>
      <protection/>
    </xf>
    <xf numFmtId="0" fontId="38" fillId="0" borderId="171" xfId="57" applyFont="1" applyBorder="1" applyAlignment="1">
      <alignment wrapText="1"/>
      <protection/>
    </xf>
    <xf numFmtId="49" fontId="2" fillId="0" borderId="0" xfId="57" applyNumberFormat="1" applyFont="1" applyAlignment="1">
      <alignment horizontal="left" vertical="center"/>
      <protection/>
    </xf>
    <xf numFmtId="0" fontId="2" fillId="0" borderId="169" xfId="57" applyFont="1" applyBorder="1" applyAlignment="1">
      <alignment horizontal="center"/>
      <protection/>
    </xf>
    <xf numFmtId="0" fontId="2" fillId="0" borderId="170" xfId="57" applyFont="1" applyBorder="1" applyAlignment="1">
      <alignment horizontal="center"/>
      <protection/>
    </xf>
    <xf numFmtId="0" fontId="42" fillId="0" borderId="0" xfId="57" applyFont="1" applyAlignment="1">
      <alignment horizontal="center"/>
      <protection/>
    </xf>
    <xf numFmtId="0" fontId="24" fillId="0" borderId="53" xfId="57" applyFont="1" applyBorder="1" applyAlignment="1">
      <alignment vertical="top" wrapText="1"/>
      <protection/>
    </xf>
    <xf numFmtId="0" fontId="38" fillId="0" borderId="53" xfId="57" applyFont="1" applyBorder="1" applyAlignment="1">
      <alignment wrapText="1"/>
      <protection/>
    </xf>
    <xf numFmtId="0" fontId="24" fillId="0" borderId="53" xfId="57" applyFont="1" applyBorder="1" applyAlignment="1">
      <alignment horizontal="center" vertical="center" wrapText="1"/>
      <protection/>
    </xf>
    <xf numFmtId="0" fontId="38" fillId="0" borderId="53" xfId="57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0" fillId="0" borderId="53" xfId="0" applyBorder="1" applyAlignment="1">
      <alignment horizontal="left"/>
    </xf>
    <xf numFmtId="3" fontId="2" fillId="37" borderId="193" xfId="0" applyNumberFormat="1" applyFont="1" applyFill="1" applyBorder="1" applyAlignment="1">
      <alignment horizontal="center"/>
    </xf>
    <xf numFmtId="3" fontId="2" fillId="37" borderId="143" xfId="0" applyNumberFormat="1" applyFont="1" applyFill="1" applyBorder="1" applyAlignment="1">
      <alignment horizontal="center"/>
    </xf>
    <xf numFmtId="3" fontId="0" fillId="0" borderId="64" xfId="0" applyNumberFormat="1" applyBorder="1" applyAlignment="1">
      <alignment horizontal="left"/>
    </xf>
    <xf numFmtId="3" fontId="0" fillId="0" borderId="65" xfId="0" applyNumberFormat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53" xfId="0" applyBorder="1" applyAlignment="1">
      <alignment horizontal="left" wrapText="1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3" fontId="0" fillId="0" borderId="53" xfId="0" applyNumberFormat="1" applyBorder="1" applyAlignment="1">
      <alignment horizontal="left"/>
    </xf>
    <xf numFmtId="3" fontId="24" fillId="0" borderId="64" xfId="0" applyNumberFormat="1" applyFont="1" applyBorder="1" applyAlignment="1">
      <alignment horizontal="left"/>
    </xf>
    <xf numFmtId="3" fontId="24" fillId="0" borderId="65" xfId="0" applyNumberFormat="1" applyFont="1" applyBorder="1" applyAlignment="1">
      <alignment horizontal="left"/>
    </xf>
    <xf numFmtId="3" fontId="2" fillId="33" borderId="273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center" vertical="center" wrapText="1"/>
    </xf>
    <xf numFmtId="3" fontId="2" fillId="33" borderId="135" xfId="0" applyNumberFormat="1" applyFont="1" applyFill="1" applyBorder="1" applyAlignment="1">
      <alignment horizontal="center" vertical="center" wrapText="1"/>
    </xf>
    <xf numFmtId="3" fontId="2" fillId="33" borderId="136" xfId="0" applyNumberFormat="1" applyFont="1" applyFill="1" applyBorder="1" applyAlignment="1">
      <alignment horizontal="center" vertical="center" wrapText="1"/>
    </xf>
    <xf numFmtId="3" fontId="2" fillId="33" borderId="124" xfId="0" applyNumberFormat="1" applyFont="1" applyFill="1" applyBorder="1" applyAlignment="1">
      <alignment horizontal="center" vertical="center" wrapText="1"/>
    </xf>
    <xf numFmtId="3" fontId="2" fillId="33" borderId="125" xfId="0" applyNumberFormat="1" applyFont="1" applyFill="1" applyBorder="1" applyAlignment="1">
      <alignment horizontal="center" vertical="center" wrapText="1"/>
    </xf>
    <xf numFmtId="3" fontId="2" fillId="33" borderId="136" xfId="0" applyNumberFormat="1" applyFont="1" applyFill="1" applyBorder="1" applyAlignment="1">
      <alignment horizontal="center" vertical="center"/>
    </xf>
    <xf numFmtId="3" fontId="2" fillId="33" borderId="125" xfId="0" applyNumberFormat="1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EU-s tábla kv-hez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9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HENGER~1.ZSU\AppData\Local\Temp\1519640076_8-2018%20melle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ht="12.75" customHeight="1">
      <c r="C1" t="s">
        <v>0</v>
      </c>
    </row>
    <row r="2" spans="1:4" ht="12.75" customHeight="1">
      <c r="A2" s="1828" t="s">
        <v>1</v>
      </c>
      <c r="B2" s="1828"/>
      <c r="C2" s="1828"/>
      <c r="D2" s="1828"/>
    </row>
    <row r="3" spans="1:4" ht="12.75" customHeight="1">
      <c r="A3" s="1"/>
      <c r="B3" s="1"/>
      <c r="C3" s="1"/>
      <c r="D3" s="1"/>
    </row>
    <row r="4" spans="1:4" ht="12.75" customHeight="1">
      <c r="A4" s="2" t="s">
        <v>2</v>
      </c>
      <c r="B4" s="3"/>
      <c r="C4" s="3"/>
      <c r="D4" s="3"/>
    </row>
    <row r="5" spans="1:4" ht="12.75" customHeight="1">
      <c r="A5" s="1829" t="s">
        <v>3</v>
      </c>
      <c r="B5" s="1829"/>
      <c r="C5" s="1829"/>
      <c r="D5" s="1829"/>
    </row>
    <row r="6" spans="1:4" ht="12.75" customHeight="1">
      <c r="A6" s="4"/>
      <c r="B6" s="4"/>
      <c r="C6" s="4"/>
      <c r="D6" s="4"/>
    </row>
    <row r="7" spans="1:4" ht="12.75" customHeight="1">
      <c r="A7" s="4"/>
      <c r="B7" s="4"/>
      <c r="C7" s="4"/>
      <c r="D7" s="4"/>
    </row>
    <row r="9" spans="2:4" ht="12.75" customHeight="1">
      <c r="B9" s="5" t="s">
        <v>4</v>
      </c>
      <c r="C9" s="5" t="s">
        <v>4</v>
      </c>
      <c r="D9" s="5" t="s">
        <v>4</v>
      </c>
    </row>
    <row r="10" spans="1:4" ht="39" customHeight="1">
      <c r="A10" s="6" t="s">
        <v>5</v>
      </c>
      <c r="B10" s="7" t="s">
        <v>6</v>
      </c>
      <c r="C10" s="7" t="s">
        <v>7</v>
      </c>
      <c r="D10" s="7" t="s">
        <v>8</v>
      </c>
    </row>
    <row r="11" spans="1:4" ht="12.75" customHeight="1">
      <c r="A11" s="8" t="s">
        <v>9</v>
      </c>
      <c r="B11" s="9">
        <v>363899</v>
      </c>
      <c r="C11" s="9">
        <v>363899</v>
      </c>
      <c r="D11" s="9">
        <v>20838</v>
      </c>
    </row>
    <row r="12" spans="1:4" s="10" customFormat="1" ht="12.75" customHeight="1">
      <c r="A12" s="8" t="s">
        <v>10</v>
      </c>
      <c r="B12" s="9">
        <v>20367</v>
      </c>
      <c r="C12" s="9">
        <v>20367</v>
      </c>
      <c r="D12" s="9"/>
    </row>
    <row r="13" spans="1:4" ht="12.75" customHeight="1">
      <c r="A13" s="8" t="s">
        <v>11</v>
      </c>
      <c r="B13" s="9">
        <v>367159</v>
      </c>
      <c r="C13" s="9">
        <v>367159</v>
      </c>
      <c r="D13" s="9">
        <v>7348</v>
      </c>
    </row>
    <row r="14" spans="1:4" ht="12.75" customHeight="1">
      <c r="A14" s="11" t="s">
        <v>12</v>
      </c>
      <c r="B14" s="12">
        <f>B11+B12-B13</f>
        <v>17107</v>
      </c>
      <c r="C14" s="12">
        <f>C11+C12-C13</f>
        <v>17107</v>
      </c>
      <c r="D14" s="12">
        <f>D11+D12-D13</f>
        <v>13490</v>
      </c>
    </row>
    <row r="15" spans="2:4" ht="12.75" customHeight="1">
      <c r="B15" s="5"/>
      <c r="C15" s="5"/>
      <c r="D15" s="5"/>
    </row>
    <row r="16" spans="2:4" ht="12.75" customHeight="1">
      <c r="B16" s="5"/>
      <c r="C16" s="5"/>
      <c r="D16" s="5"/>
    </row>
    <row r="17" spans="2:4" ht="12.75" customHeight="1">
      <c r="B17" s="5"/>
      <c r="C17" s="5"/>
      <c r="D17" s="5"/>
    </row>
    <row r="18" spans="1:4" ht="12.75" customHeight="1">
      <c r="A18" s="8" t="s">
        <v>13</v>
      </c>
      <c r="B18" s="9">
        <v>6960</v>
      </c>
      <c r="C18" s="9">
        <v>6960</v>
      </c>
      <c r="D18" s="9">
        <v>7228</v>
      </c>
    </row>
    <row r="19" spans="1:4" ht="12.75" customHeight="1">
      <c r="A19" s="8" t="s">
        <v>14</v>
      </c>
      <c r="B19" s="9">
        <v>39633</v>
      </c>
      <c r="C19" s="9">
        <v>46851</v>
      </c>
      <c r="D19" s="13">
        <v>40774</v>
      </c>
    </row>
    <row r="20" spans="1:4" ht="12.75" customHeight="1">
      <c r="A20" s="8" t="s">
        <v>15</v>
      </c>
      <c r="B20" s="9">
        <v>11200</v>
      </c>
      <c r="C20" s="9">
        <v>11200</v>
      </c>
      <c r="D20" s="9">
        <v>7273</v>
      </c>
    </row>
    <row r="21" spans="1:4" ht="12.75" customHeight="1">
      <c r="A21" s="14" t="s">
        <v>16</v>
      </c>
      <c r="B21" s="12">
        <f>B18+B19-B20</f>
        <v>35393</v>
      </c>
      <c r="C21" s="12">
        <f>C18+C19-C20</f>
        <v>42611</v>
      </c>
      <c r="D21" s="12">
        <f>D18+D19-D20</f>
        <v>40729</v>
      </c>
    </row>
    <row r="22" spans="2:4" ht="12.75" customHeight="1">
      <c r="B22" s="5"/>
      <c r="C22" s="5"/>
      <c r="D22" s="5"/>
    </row>
    <row r="23" spans="2:4" ht="12.75" customHeight="1">
      <c r="B23" s="5"/>
      <c r="C23" s="5"/>
      <c r="D23" s="5"/>
    </row>
    <row r="24" spans="1:4" ht="12.75" customHeight="1" hidden="1">
      <c r="A24" s="15" t="s">
        <v>17</v>
      </c>
      <c r="B24" s="5"/>
      <c r="C24" s="5"/>
      <c r="D24" s="5"/>
    </row>
    <row r="25" spans="1:4" ht="12.75" customHeight="1" hidden="1">
      <c r="A25" s="10"/>
      <c r="B25" s="5"/>
      <c r="C25" s="5"/>
      <c r="D25" s="5"/>
    </row>
    <row r="26" spans="1:4" ht="12.75" customHeight="1" hidden="1">
      <c r="A26" s="16" t="s">
        <v>18</v>
      </c>
      <c r="B26" s="17">
        <v>46621</v>
      </c>
      <c r="C26" s="17">
        <v>46621</v>
      </c>
      <c r="D26" s="17">
        <v>46621</v>
      </c>
    </row>
    <row r="27" spans="1:4" ht="12.75" customHeight="1" hidden="1">
      <c r="A27" s="16" t="s">
        <v>19</v>
      </c>
      <c r="B27" s="17">
        <f>(B14+B21)*-1</f>
        <v>-52500</v>
      </c>
      <c r="C27" s="17">
        <f>(C14+C21)*-1</f>
        <v>-59718</v>
      </c>
      <c r="D27" s="17">
        <f>(D14+D21)*-1</f>
        <v>-54219</v>
      </c>
    </row>
    <row r="28" spans="1:4" ht="12.75" customHeight="1" hidden="1">
      <c r="A28" s="11" t="s">
        <v>20</v>
      </c>
      <c r="B28" s="12">
        <f>SUM(B26:B27)</f>
        <v>-5879</v>
      </c>
      <c r="C28" s="12">
        <f>SUM(C26:C27)</f>
        <v>-13097</v>
      </c>
      <c r="D28" s="12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0"/>
  <sheetViews>
    <sheetView showGridLines="0" view="pageBreakPreview" zoomScale="110" zoomScaleSheetLayoutView="110" zoomScalePageLayoutView="0" workbookViewId="0" topLeftCell="A1">
      <pane xSplit="3" ySplit="6" topLeftCell="D118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E139" sqref="E139"/>
    </sheetView>
  </sheetViews>
  <sheetFormatPr defaultColWidth="11.7109375" defaultRowHeight="12.75" customHeight="1"/>
  <cols>
    <col min="1" max="2" width="3.8515625" style="1360" customWidth="1"/>
    <col min="3" max="3" width="50.00390625" style="1360" customWidth="1"/>
    <col min="4" max="4" width="19.140625" style="1360" customWidth="1"/>
    <col min="5" max="5" width="16.140625" style="643" customWidth="1"/>
    <col min="6" max="8" width="14.7109375" style="643" customWidth="1"/>
    <col min="9" max="9" width="14.57421875" style="1360" customWidth="1"/>
    <col min="10" max="10" width="15.00390625" style="1360" customWidth="1"/>
    <col min="11" max="16384" width="11.7109375" style="1360" customWidth="1"/>
  </cols>
  <sheetData>
    <row r="1" spans="1:9" s="641" customFormat="1" ht="18" customHeight="1">
      <c r="A1" s="1928" t="s">
        <v>904</v>
      </c>
      <c r="B1" s="1928"/>
      <c r="C1" s="1928"/>
      <c r="D1" s="1928"/>
      <c r="E1" s="1928"/>
      <c r="F1" s="1928"/>
      <c r="G1" s="1928"/>
      <c r="H1" s="1928"/>
      <c r="I1" s="892"/>
    </row>
    <row r="2" spans="1:9" ht="12.75" customHeight="1">
      <c r="A2" s="1935" t="s">
        <v>1295</v>
      </c>
      <c r="B2" s="1935"/>
      <c r="C2" s="1935"/>
      <c r="D2" s="1935"/>
      <c r="E2" s="1935"/>
      <c r="F2" s="1935"/>
      <c r="G2" s="1935"/>
      <c r="H2" s="1935"/>
      <c r="I2" s="1935"/>
    </row>
    <row r="3" spans="1:9" ht="6.75" customHeight="1">
      <c r="A3" s="893"/>
      <c r="B3" s="893"/>
      <c r="C3" s="893"/>
      <c r="D3" s="893"/>
      <c r="E3" s="893"/>
      <c r="F3" s="893"/>
      <c r="G3" s="893"/>
      <c r="H3" s="893"/>
      <c r="I3" s="893"/>
    </row>
    <row r="4" spans="1:9" ht="15">
      <c r="A4" s="1361"/>
      <c r="B4" s="1361"/>
      <c r="C4" s="1904" t="s">
        <v>1296</v>
      </c>
      <c r="D4" s="1904"/>
      <c r="E4" s="1904"/>
      <c r="F4" s="1904"/>
      <c r="G4" s="1904"/>
      <c r="H4" s="1904"/>
      <c r="I4" s="1619" t="s">
        <v>1301</v>
      </c>
    </row>
    <row r="5" spans="1:9" ht="41.25" customHeight="1">
      <c r="A5" s="1934" t="s">
        <v>1096</v>
      </c>
      <c r="B5" s="1934"/>
      <c r="C5" s="1934"/>
      <c r="D5" s="1934"/>
      <c r="E5" s="1934"/>
      <c r="F5" s="1934"/>
      <c r="G5" s="1934"/>
      <c r="H5" s="1934"/>
      <c r="I5" s="1934"/>
    </row>
    <row r="6" spans="1:9" ht="12.75" customHeight="1">
      <c r="A6" s="894"/>
      <c r="B6" s="894"/>
      <c r="C6" s="894"/>
      <c r="D6" s="894"/>
      <c r="E6" s="894"/>
      <c r="F6" s="894"/>
      <c r="G6" s="894"/>
      <c r="H6" s="894"/>
      <c r="I6" s="894"/>
    </row>
    <row r="7" spans="1:8" ht="12.75" customHeight="1">
      <c r="A7" s="644"/>
      <c r="B7" s="644"/>
      <c r="C7" s="644"/>
      <c r="E7" s="1360"/>
      <c r="F7" s="1360"/>
      <c r="G7" s="1360"/>
      <c r="H7" s="1360"/>
    </row>
    <row r="8" spans="1:8" ht="12.75" customHeight="1">
      <c r="A8" s="1362"/>
      <c r="E8" s="1360"/>
      <c r="F8" s="1360"/>
      <c r="G8" s="1360"/>
      <c r="H8" s="1360"/>
    </row>
    <row r="9" spans="1:9" ht="12.75" customHeight="1" thickBot="1">
      <c r="A9" s="1929" t="s">
        <v>214</v>
      </c>
      <c r="B9" s="1929"/>
      <c r="C9" s="1929"/>
      <c r="D9" s="1929"/>
      <c r="E9" s="1929"/>
      <c r="F9" s="1412"/>
      <c r="G9" s="1412"/>
      <c r="H9" s="1412"/>
      <c r="I9" s="1412"/>
    </row>
    <row r="10" spans="1:9" ht="24.75" customHeight="1">
      <c r="A10" s="1916" t="s">
        <v>156</v>
      </c>
      <c r="B10" s="1917"/>
      <c r="C10" s="1917" t="s">
        <v>425</v>
      </c>
      <c r="D10" s="1906" t="s">
        <v>1072</v>
      </c>
      <c r="E10" s="1906" t="s">
        <v>1158</v>
      </c>
      <c r="F10" s="1906" t="s">
        <v>1179</v>
      </c>
      <c r="G10" s="1906" t="s">
        <v>1252</v>
      </c>
      <c r="H10" s="1906" t="s">
        <v>1268</v>
      </c>
      <c r="I10" s="1926"/>
    </row>
    <row r="11" spans="1:9" ht="24.75" customHeight="1">
      <c r="A11" s="1918"/>
      <c r="B11" s="1919"/>
      <c r="C11" s="1919"/>
      <c r="D11" s="1907"/>
      <c r="E11" s="1907"/>
      <c r="F11" s="1907"/>
      <c r="G11" s="1907"/>
      <c r="H11" s="1907"/>
      <c r="I11" s="1926"/>
    </row>
    <row r="12" spans="1:9" ht="14.25" customHeight="1" thickBot="1">
      <c r="A12" s="1920"/>
      <c r="B12" s="1921"/>
      <c r="C12" s="1396" t="s">
        <v>426</v>
      </c>
      <c r="D12" s="1375" t="s">
        <v>159</v>
      </c>
      <c r="E12" s="1375" t="s">
        <v>160</v>
      </c>
      <c r="F12" s="1375" t="s">
        <v>161</v>
      </c>
      <c r="G12" s="1375" t="s">
        <v>456</v>
      </c>
      <c r="H12" s="1375" t="s">
        <v>476</v>
      </c>
      <c r="I12" s="1398"/>
    </row>
    <row r="13" spans="1:9" s="1374" customFormat="1" ht="27.75" customHeight="1" thickBot="1">
      <c r="A13" s="1378" t="s">
        <v>38</v>
      </c>
      <c r="B13" s="1379" t="s">
        <v>164</v>
      </c>
      <c r="C13" s="1380" t="s">
        <v>427</v>
      </c>
      <c r="D13" s="1381">
        <f>SUM(D14:D15)</f>
        <v>400000</v>
      </c>
      <c r="E13" s="1381">
        <f>SUM(E14:E15)</f>
        <v>400000</v>
      </c>
      <c r="F13" s="1381">
        <f>SUM(F14:F17)</f>
        <v>23442555</v>
      </c>
      <c r="G13" s="1381">
        <f>SUM(G14:G17)</f>
        <v>23442555</v>
      </c>
      <c r="H13" s="1381">
        <f>SUM(H14:H19)</f>
        <v>15603565</v>
      </c>
      <c r="I13" s="1399"/>
    </row>
    <row r="14" spans="1:9" ht="27" customHeight="1">
      <c r="A14" s="1405" t="s">
        <v>40</v>
      </c>
      <c r="B14" s="1376"/>
      <c r="C14" s="1377" t="s">
        <v>428</v>
      </c>
      <c r="D14" s="1406">
        <v>300000</v>
      </c>
      <c r="E14" s="1406">
        <v>300000</v>
      </c>
      <c r="F14" s="1406">
        <v>300000</v>
      </c>
      <c r="G14" s="1406">
        <v>300000</v>
      </c>
      <c r="H14" s="1406">
        <v>0</v>
      </c>
      <c r="I14" s="1400"/>
    </row>
    <row r="15" spans="1:9" ht="27" customHeight="1">
      <c r="A15" s="1407" t="s">
        <v>47</v>
      </c>
      <c r="B15" s="1363"/>
      <c r="C15" s="1418" t="s">
        <v>1108</v>
      </c>
      <c r="D15" s="1408">
        <v>100000</v>
      </c>
      <c r="E15" s="1408">
        <v>100000</v>
      </c>
      <c r="F15" s="1408">
        <v>100000</v>
      </c>
      <c r="G15" s="1408">
        <v>100000</v>
      </c>
      <c r="H15" s="1408">
        <v>0</v>
      </c>
      <c r="I15" s="1400"/>
    </row>
    <row r="16" spans="1:9" ht="27" customHeight="1">
      <c r="A16" s="1652" t="s">
        <v>49</v>
      </c>
      <c r="B16" s="1363"/>
      <c r="C16" s="1418" t="s">
        <v>1205</v>
      </c>
      <c r="D16" s="1651"/>
      <c r="E16" s="1651"/>
      <c r="F16" s="1651">
        <v>6072555</v>
      </c>
      <c r="G16" s="1651">
        <v>6072555</v>
      </c>
      <c r="H16" s="1658">
        <v>3036277</v>
      </c>
      <c r="I16" s="1400"/>
    </row>
    <row r="17" spans="1:9" ht="27" customHeight="1">
      <c r="A17" s="1652" t="s">
        <v>51</v>
      </c>
      <c r="B17" s="1363"/>
      <c r="C17" s="1418" t="s">
        <v>1207</v>
      </c>
      <c r="D17" s="1651"/>
      <c r="E17" s="1651"/>
      <c r="F17" s="1651">
        <v>16970000</v>
      </c>
      <c r="G17" s="1651">
        <v>16970000</v>
      </c>
      <c r="H17" s="1658">
        <v>0</v>
      </c>
      <c r="I17" s="1400"/>
    </row>
    <row r="18" spans="1:9" ht="27" customHeight="1">
      <c r="A18" s="1652" t="s">
        <v>53</v>
      </c>
      <c r="B18" s="1363"/>
      <c r="C18" s="1418" t="s">
        <v>1276</v>
      </c>
      <c r="D18" s="1651"/>
      <c r="E18" s="1651"/>
      <c r="F18" s="1651"/>
      <c r="G18" s="1651"/>
      <c r="H18" s="1658">
        <v>889000</v>
      </c>
      <c r="I18" s="1400"/>
    </row>
    <row r="19" spans="1:9" ht="27" customHeight="1" thickBot="1">
      <c r="A19" s="1653" t="s">
        <v>55</v>
      </c>
      <c r="B19" s="1648"/>
      <c r="C19" s="1649" t="s">
        <v>1181</v>
      </c>
      <c r="D19" s="1650"/>
      <c r="E19" s="1650"/>
      <c r="F19" s="1650"/>
      <c r="G19" s="1650"/>
      <c r="H19" s="1650">
        <v>11678288</v>
      </c>
      <c r="I19" s="1400"/>
    </row>
    <row r="20" spans="1:9" ht="21.75" customHeight="1" thickBot="1">
      <c r="A20" s="1378" t="s">
        <v>57</v>
      </c>
      <c r="B20" s="1382" t="s">
        <v>166</v>
      </c>
      <c r="C20" s="1380" t="s">
        <v>425</v>
      </c>
      <c r="D20" s="1381">
        <f>SUM(D26+D34+D47+D55+D83)</f>
        <v>4250000</v>
      </c>
      <c r="E20" s="1381">
        <f>SUM(E26+E34+E47+E55+E83)</f>
        <v>96060917</v>
      </c>
      <c r="F20" s="1381">
        <f>SUM(F26+F34+F47+F55+F83)</f>
        <v>251407095</v>
      </c>
      <c r="G20" s="1381">
        <f>SUM(G26+G34+G47+G55+G83)</f>
        <v>251648197</v>
      </c>
      <c r="H20" s="1381">
        <f>SUM(H26+H34+H47+H55+H83)</f>
        <v>322688176</v>
      </c>
      <c r="I20" s="1399"/>
    </row>
    <row r="21" spans="1:9" s="1348" customFormat="1" ht="30.75" customHeight="1">
      <c r="A21" s="1409" t="s">
        <v>86</v>
      </c>
      <c r="B21" s="1383"/>
      <c r="C21" s="1384" t="s">
        <v>1081</v>
      </c>
      <c r="D21" s="1410">
        <v>70000</v>
      </c>
      <c r="E21" s="1410">
        <v>119000</v>
      </c>
      <c r="F21" s="1410">
        <v>119000</v>
      </c>
      <c r="G21" s="1410">
        <v>119000</v>
      </c>
      <c r="H21" s="1410">
        <v>119000</v>
      </c>
      <c r="I21" s="1401"/>
    </row>
    <row r="22" spans="1:9" s="1348" customFormat="1" ht="30.75" customHeight="1">
      <c r="A22" s="1409" t="s">
        <v>59</v>
      </c>
      <c r="B22" s="1383"/>
      <c r="C22" s="1384" t="s">
        <v>1082</v>
      </c>
      <c r="D22" s="1410">
        <v>378000</v>
      </c>
      <c r="E22" s="1410">
        <v>230000</v>
      </c>
      <c r="F22" s="1410">
        <v>230000</v>
      </c>
      <c r="G22" s="1410">
        <v>230000</v>
      </c>
      <c r="H22" s="1410">
        <v>230000</v>
      </c>
      <c r="I22" s="1401"/>
    </row>
    <row r="23" spans="1:9" s="1348" customFormat="1" ht="30.75" customHeight="1">
      <c r="A23" s="1409" t="s">
        <v>61</v>
      </c>
      <c r="B23" s="1383"/>
      <c r="C23" s="1384" t="s">
        <v>1083</v>
      </c>
      <c r="D23" s="1410">
        <v>76000</v>
      </c>
      <c r="E23" s="1410">
        <v>128990</v>
      </c>
      <c r="F23" s="1410">
        <v>128990</v>
      </c>
      <c r="G23" s="1410">
        <v>128990</v>
      </c>
      <c r="H23" s="1410">
        <v>128990</v>
      </c>
      <c r="I23" s="1401"/>
    </row>
    <row r="24" spans="1:9" s="1348" customFormat="1" ht="30.75" customHeight="1">
      <c r="A24" s="1409" t="s">
        <v>63</v>
      </c>
      <c r="B24" s="1383"/>
      <c r="C24" s="1384" t="s">
        <v>1162</v>
      </c>
      <c r="D24" s="1410"/>
      <c r="E24" s="1410">
        <v>62989</v>
      </c>
      <c r="F24" s="1410">
        <v>62989</v>
      </c>
      <c r="G24" s="1410">
        <v>62989</v>
      </c>
      <c r="H24" s="1410">
        <v>62989</v>
      </c>
      <c r="I24" s="1401"/>
    </row>
    <row r="25" spans="1:9" s="1348" customFormat="1" ht="30.75" customHeight="1" thickBot="1">
      <c r="A25" s="1582" t="s">
        <v>65</v>
      </c>
      <c r="B25" s="1583"/>
      <c r="C25" s="1590" t="s">
        <v>1094</v>
      </c>
      <c r="D25" s="1585">
        <v>76000</v>
      </c>
      <c r="E25" s="1585">
        <v>59021</v>
      </c>
      <c r="F25" s="1585">
        <v>59021</v>
      </c>
      <c r="G25" s="1585">
        <v>59021</v>
      </c>
      <c r="H25" s="1585"/>
      <c r="I25" s="1401"/>
    </row>
    <row r="26" spans="1:9" s="293" customFormat="1" ht="30.75" customHeight="1" thickBot="1">
      <c r="A26" s="1748" t="s">
        <v>92</v>
      </c>
      <c r="B26" s="1749"/>
      <c r="C26" s="1750" t="s">
        <v>1084</v>
      </c>
      <c r="D26" s="1751">
        <f>SUM(D21:D25)</f>
        <v>600000</v>
      </c>
      <c r="E26" s="1751">
        <f>SUM(E21:E25)</f>
        <v>600000</v>
      </c>
      <c r="F26" s="1751">
        <f>SUM(F21:F25)</f>
        <v>600000</v>
      </c>
      <c r="G26" s="1751">
        <f>SUM(G21:G25)</f>
        <v>600000</v>
      </c>
      <c r="H26" s="1751">
        <f>SUM(H21:H25)</f>
        <v>540979</v>
      </c>
      <c r="I26" s="1402"/>
    </row>
    <row r="27" spans="1:9" s="293" customFormat="1" ht="30.75" customHeight="1">
      <c r="A27" s="1754" t="s">
        <v>66</v>
      </c>
      <c r="B27" s="1755"/>
      <c r="C27" s="1756" t="s">
        <v>1163</v>
      </c>
      <c r="D27" s="1757"/>
      <c r="E27" s="1757">
        <v>159766</v>
      </c>
      <c r="F27" s="1757">
        <v>159766</v>
      </c>
      <c r="G27" s="1406">
        <v>159766</v>
      </c>
      <c r="H27" s="1406">
        <v>159766</v>
      </c>
      <c r="I27" s="1402"/>
    </row>
    <row r="28" spans="1:9" s="293" customFormat="1" ht="30.75" customHeight="1">
      <c r="A28" s="1411" t="s">
        <v>67</v>
      </c>
      <c r="B28" s="362"/>
      <c r="C28" s="1418" t="s">
        <v>1164</v>
      </c>
      <c r="D28" s="1589"/>
      <c r="E28" s="1589">
        <v>125146</v>
      </c>
      <c r="F28" s="1589">
        <v>147339</v>
      </c>
      <c r="G28" s="1408">
        <v>159646</v>
      </c>
      <c r="H28" s="1408">
        <v>159647</v>
      </c>
      <c r="I28" s="1402"/>
    </row>
    <row r="29" spans="1:9" s="293" customFormat="1" ht="30.75" customHeight="1">
      <c r="A29" s="1411" t="s">
        <v>68</v>
      </c>
      <c r="B29" s="362"/>
      <c r="C29" s="1418" t="s">
        <v>1165</v>
      </c>
      <c r="D29" s="1589"/>
      <c r="E29" s="1589">
        <v>157480</v>
      </c>
      <c r="F29" s="1589">
        <v>157480</v>
      </c>
      <c r="G29" s="1408">
        <v>157480</v>
      </c>
      <c r="H29" s="1408">
        <v>157480</v>
      </c>
      <c r="I29" s="1402"/>
    </row>
    <row r="30" spans="1:9" s="293" customFormat="1" ht="30.75" customHeight="1">
      <c r="A30" s="1411" t="s">
        <v>70</v>
      </c>
      <c r="B30" s="362"/>
      <c r="C30" s="1418" t="s">
        <v>1255</v>
      </c>
      <c r="D30" s="1589"/>
      <c r="E30" s="1589"/>
      <c r="F30" s="1589"/>
      <c r="G30" s="1408">
        <v>28380</v>
      </c>
      <c r="H30" s="1408">
        <v>28380</v>
      </c>
      <c r="I30" s="1402"/>
    </row>
    <row r="31" spans="1:9" s="293" customFormat="1" ht="30.75" customHeight="1">
      <c r="A31" s="1411" t="s">
        <v>97</v>
      </c>
      <c r="B31" s="362"/>
      <c r="C31" s="1418" t="s">
        <v>1256</v>
      </c>
      <c r="D31" s="1589"/>
      <c r="E31" s="1589"/>
      <c r="F31" s="1589"/>
      <c r="G31" s="1408">
        <v>179999</v>
      </c>
      <c r="H31" s="1408">
        <v>180000</v>
      </c>
      <c r="I31" s="1402"/>
    </row>
    <row r="32" spans="1:9" s="293" customFormat="1" ht="30.75" customHeight="1">
      <c r="A32" s="1411" t="s">
        <v>99</v>
      </c>
      <c r="B32" s="362"/>
      <c r="C32" s="1384" t="s">
        <v>1273</v>
      </c>
      <c r="D32" s="1589"/>
      <c r="E32" s="1589"/>
      <c r="F32" s="1589"/>
      <c r="G32" s="1408"/>
      <c r="H32" s="1408">
        <v>6618257</v>
      </c>
      <c r="I32" s="1402"/>
    </row>
    <row r="33" spans="1:9" s="1348" customFormat="1" ht="30.75" customHeight="1">
      <c r="A33" s="1409" t="s">
        <v>101</v>
      </c>
      <c r="B33" s="1383"/>
      <c r="C33" s="1384" t="s">
        <v>1274</v>
      </c>
      <c r="D33" s="1410">
        <v>1000000</v>
      </c>
      <c r="E33" s="1410">
        <v>557608</v>
      </c>
      <c r="F33" s="1410">
        <v>535415</v>
      </c>
      <c r="G33" s="1410">
        <v>314729</v>
      </c>
      <c r="H33" s="1410"/>
      <c r="I33" s="1401"/>
    </row>
    <row r="34" spans="1:9" s="1612" customFormat="1" ht="26.25" customHeight="1">
      <c r="A34" s="1797" t="s">
        <v>103</v>
      </c>
      <c r="B34" s="1798"/>
      <c r="C34" s="1799" t="s">
        <v>1085</v>
      </c>
      <c r="D34" s="1800">
        <f>SUM(D33:D33)</f>
        <v>1000000</v>
      </c>
      <c r="E34" s="1800">
        <f>SUM(E27:E33)</f>
        <v>1000000</v>
      </c>
      <c r="F34" s="1800">
        <f>SUM(F27:F33)</f>
        <v>1000000</v>
      </c>
      <c r="G34" s="1801">
        <f>SUM(G27:G33)</f>
        <v>1000000</v>
      </c>
      <c r="H34" s="1801">
        <f>SUM(H27:H33)</f>
        <v>7303530</v>
      </c>
      <c r="I34" s="1611"/>
    </row>
    <row r="35" spans="1:9" s="1348" customFormat="1" ht="29.25" customHeight="1">
      <c r="A35" s="1409" t="s">
        <v>105</v>
      </c>
      <c r="B35" s="1383"/>
      <c r="C35" s="1384" t="s">
        <v>1103</v>
      </c>
      <c r="D35" s="1410">
        <v>250000</v>
      </c>
      <c r="E35" s="1410">
        <v>250000</v>
      </c>
      <c r="F35" s="1410">
        <v>201901</v>
      </c>
      <c r="G35" s="1410">
        <v>201901</v>
      </c>
      <c r="H35" s="1410"/>
      <c r="I35" s="1401"/>
    </row>
    <row r="36" spans="1:9" s="1348" customFormat="1" ht="29.25" customHeight="1">
      <c r="A36" s="1409" t="s">
        <v>107</v>
      </c>
      <c r="B36" s="1383"/>
      <c r="C36" s="1384" t="s">
        <v>1104</v>
      </c>
      <c r="D36" s="1410">
        <v>50000</v>
      </c>
      <c r="E36" s="1410">
        <v>50000</v>
      </c>
      <c r="F36" s="1410">
        <v>50000</v>
      </c>
      <c r="G36" s="1410">
        <v>50000</v>
      </c>
      <c r="H36" s="1410"/>
      <c r="I36" s="1401"/>
    </row>
    <row r="37" spans="1:9" s="1348" customFormat="1" ht="29.25" customHeight="1">
      <c r="A37" s="1409" t="s">
        <v>109</v>
      </c>
      <c r="B37" s="1383"/>
      <c r="C37" s="1384" t="s">
        <v>1105</v>
      </c>
      <c r="D37" s="1410">
        <v>150000</v>
      </c>
      <c r="E37" s="1410">
        <v>150000</v>
      </c>
      <c r="F37" s="1410">
        <v>150000</v>
      </c>
      <c r="G37" s="1410">
        <v>150000</v>
      </c>
      <c r="H37" s="1410"/>
      <c r="I37" s="1401"/>
    </row>
    <row r="38" spans="1:9" s="1348" customFormat="1" ht="29.25" customHeight="1">
      <c r="A38" s="1409" t="s">
        <v>111</v>
      </c>
      <c r="B38" s="1383"/>
      <c r="C38" s="1384" t="s">
        <v>1166</v>
      </c>
      <c r="D38" s="1410"/>
      <c r="E38" s="1410">
        <v>17989</v>
      </c>
      <c r="F38" s="1410">
        <v>17989</v>
      </c>
      <c r="G38" s="1410">
        <v>17989</v>
      </c>
      <c r="H38" s="1410">
        <v>17989</v>
      </c>
      <c r="I38" s="1401"/>
    </row>
    <row r="39" spans="1:9" s="1348" customFormat="1" ht="29.25" customHeight="1">
      <c r="A39" s="1409" t="s">
        <v>113</v>
      </c>
      <c r="B39" s="1383"/>
      <c r="C39" s="1384" t="s">
        <v>1167</v>
      </c>
      <c r="D39" s="1410"/>
      <c r="E39" s="1410">
        <v>29120</v>
      </c>
      <c r="F39" s="1410">
        <v>29120</v>
      </c>
      <c r="G39" s="1410">
        <v>29120</v>
      </c>
      <c r="H39" s="1410">
        <v>30120</v>
      </c>
      <c r="I39" s="1401"/>
    </row>
    <row r="40" spans="1:9" s="1348" customFormat="1" ht="29.25" customHeight="1">
      <c r="A40" s="1409" t="s">
        <v>115</v>
      </c>
      <c r="B40" s="1383"/>
      <c r="C40" s="1384" t="s">
        <v>1193</v>
      </c>
      <c r="D40" s="1410"/>
      <c r="E40" s="1410"/>
      <c r="F40" s="1410">
        <v>15990</v>
      </c>
      <c r="G40" s="1410">
        <v>15990</v>
      </c>
      <c r="H40" s="1410">
        <v>15990</v>
      </c>
      <c r="I40" s="1401"/>
    </row>
    <row r="41" spans="1:9" s="1348" customFormat="1" ht="29.25" customHeight="1">
      <c r="A41" s="1409" t="s">
        <v>117</v>
      </c>
      <c r="B41" s="1383"/>
      <c r="C41" s="1384" t="s">
        <v>1277</v>
      </c>
      <c r="D41" s="1410"/>
      <c r="E41" s="1410"/>
      <c r="F41" s="1410"/>
      <c r="G41" s="1410"/>
      <c r="H41" s="1410">
        <v>114170</v>
      </c>
      <c r="I41" s="1401"/>
    </row>
    <row r="42" spans="1:9" s="1348" customFormat="1" ht="29.25" customHeight="1">
      <c r="A42" s="1409" t="s">
        <v>118</v>
      </c>
      <c r="B42" s="1383"/>
      <c r="C42" s="1384" t="s">
        <v>1278</v>
      </c>
      <c r="D42" s="1410"/>
      <c r="E42" s="1410"/>
      <c r="F42" s="1410"/>
      <c r="G42" s="1410"/>
      <c r="H42" s="1410">
        <v>19590</v>
      </c>
      <c r="I42" s="1401"/>
    </row>
    <row r="43" spans="1:9" s="1348" customFormat="1" ht="29.25" customHeight="1">
      <c r="A43" s="1409" t="s">
        <v>120</v>
      </c>
      <c r="B43" s="1383"/>
      <c r="C43" s="1384" t="s">
        <v>1279</v>
      </c>
      <c r="D43" s="1410"/>
      <c r="E43" s="1410"/>
      <c r="F43" s="1410"/>
      <c r="G43" s="1410"/>
      <c r="H43" s="1410">
        <v>24000</v>
      </c>
      <c r="I43" s="1401"/>
    </row>
    <row r="44" spans="1:9" s="1348" customFormat="1" ht="29.25" customHeight="1">
      <c r="A44" s="1409" t="s">
        <v>122</v>
      </c>
      <c r="B44" s="1383"/>
      <c r="C44" s="1384" t="s">
        <v>1280</v>
      </c>
      <c r="D44" s="1410"/>
      <c r="E44" s="1410"/>
      <c r="F44" s="1410"/>
      <c r="G44" s="1410"/>
      <c r="H44" s="1410">
        <v>53000</v>
      </c>
      <c r="I44" s="1401"/>
    </row>
    <row r="45" spans="1:9" s="1348" customFormat="1" ht="29.25" customHeight="1">
      <c r="A45" s="1409" t="s">
        <v>124</v>
      </c>
      <c r="B45" s="1383"/>
      <c r="C45" s="1384" t="s">
        <v>1281</v>
      </c>
      <c r="D45" s="1410"/>
      <c r="E45" s="1410"/>
      <c r="F45" s="1410"/>
      <c r="G45" s="1410"/>
      <c r="H45" s="1410">
        <v>23900</v>
      </c>
      <c r="I45" s="1401"/>
    </row>
    <row r="46" spans="1:9" s="1348" customFormat="1" ht="29.25" customHeight="1">
      <c r="A46" s="1409" t="s">
        <v>126</v>
      </c>
      <c r="B46" s="1383"/>
      <c r="C46" s="1384" t="s">
        <v>1253</v>
      </c>
      <c r="D46" s="1410"/>
      <c r="E46" s="1410"/>
      <c r="F46" s="1410"/>
      <c r="G46" s="1410">
        <v>35000</v>
      </c>
      <c r="H46" s="1410">
        <v>35000</v>
      </c>
      <c r="I46" s="1401"/>
    </row>
    <row r="47" spans="1:9" s="1613" customFormat="1" ht="29.25" customHeight="1">
      <c r="A47" s="1802" t="s">
        <v>128</v>
      </c>
      <c r="B47" s="1803"/>
      <c r="C47" s="1804" t="s">
        <v>1086</v>
      </c>
      <c r="D47" s="1805">
        <f>SUM(D35:D46)</f>
        <v>450000</v>
      </c>
      <c r="E47" s="1805">
        <f>SUM(E35:E46)</f>
        <v>497109</v>
      </c>
      <c r="F47" s="1805">
        <f>SUM(F35:F46)</f>
        <v>465000</v>
      </c>
      <c r="G47" s="1806">
        <f>SUM(G35:G46)</f>
        <v>500000</v>
      </c>
      <c r="H47" s="1806">
        <f>SUM(H35:H46)</f>
        <v>333759</v>
      </c>
      <c r="I47" s="1611"/>
    </row>
    <row r="48" spans="1:9" s="1348" customFormat="1" ht="29.25" customHeight="1">
      <c r="A48" s="1409" t="s">
        <v>130</v>
      </c>
      <c r="B48" s="1383"/>
      <c r="C48" s="1385" t="s">
        <v>1088</v>
      </c>
      <c r="D48" s="1410">
        <v>100000</v>
      </c>
      <c r="E48" s="1410">
        <v>100000</v>
      </c>
      <c r="F48" s="1410">
        <v>100000</v>
      </c>
      <c r="G48" s="1410">
        <v>94993</v>
      </c>
      <c r="H48" s="1410">
        <v>94993</v>
      </c>
      <c r="I48" s="1403"/>
    </row>
    <row r="49" spans="1:9" s="1348" customFormat="1" ht="29.25" customHeight="1">
      <c r="A49" s="1409" t="s">
        <v>131</v>
      </c>
      <c r="B49" s="1383"/>
      <c r="C49" s="1385" t="s">
        <v>1089</v>
      </c>
      <c r="D49" s="1410">
        <v>100000</v>
      </c>
      <c r="E49" s="1410">
        <v>100000</v>
      </c>
      <c r="F49" s="1410">
        <v>100000</v>
      </c>
      <c r="G49" s="1410">
        <v>134998</v>
      </c>
      <c r="H49" s="1410">
        <v>134998</v>
      </c>
      <c r="I49" s="1401"/>
    </row>
    <row r="50" spans="1:9" s="1348" customFormat="1" ht="29.25" customHeight="1">
      <c r="A50" s="1409" t="s">
        <v>133</v>
      </c>
      <c r="B50" s="1383"/>
      <c r="C50" s="1384" t="s">
        <v>1090</v>
      </c>
      <c r="D50" s="1410">
        <v>80000</v>
      </c>
      <c r="E50" s="1410">
        <v>80000</v>
      </c>
      <c r="F50" s="1410">
        <v>80000</v>
      </c>
      <c r="G50" s="1410">
        <v>80000</v>
      </c>
      <c r="H50" s="1410"/>
      <c r="I50" s="1401"/>
    </row>
    <row r="51" spans="1:9" s="1348" customFormat="1" ht="29.25" customHeight="1">
      <c r="A51" s="1409" t="s">
        <v>135</v>
      </c>
      <c r="B51" s="1383"/>
      <c r="C51" s="1385" t="s">
        <v>1091</v>
      </c>
      <c r="D51" s="1410">
        <v>20000</v>
      </c>
      <c r="E51" s="1410">
        <v>20000</v>
      </c>
      <c r="F51" s="1410">
        <v>20000</v>
      </c>
      <c r="G51" s="1410">
        <v>20000</v>
      </c>
      <c r="H51" s="1410"/>
      <c r="I51" s="1401"/>
    </row>
    <row r="52" spans="1:9" s="1348" customFormat="1" ht="29.25" customHeight="1">
      <c r="A52" s="1409" t="s">
        <v>137</v>
      </c>
      <c r="B52" s="1383"/>
      <c r="C52" s="1385" t="s">
        <v>1092</v>
      </c>
      <c r="D52" s="1410">
        <v>20000</v>
      </c>
      <c r="E52" s="1410">
        <v>20000</v>
      </c>
      <c r="F52" s="1410">
        <v>20000</v>
      </c>
      <c r="G52" s="1410">
        <v>20000</v>
      </c>
      <c r="H52" s="1410"/>
      <c r="I52" s="1401"/>
    </row>
    <row r="53" spans="1:9" s="1348" customFormat="1" ht="29.25" customHeight="1">
      <c r="A53" s="1409" t="s">
        <v>139</v>
      </c>
      <c r="B53" s="1383"/>
      <c r="C53" s="1385" t="s">
        <v>1254</v>
      </c>
      <c r="D53" s="1410"/>
      <c r="E53" s="1410"/>
      <c r="F53" s="1410"/>
      <c r="G53" s="1410">
        <v>14790</v>
      </c>
      <c r="H53" s="1410">
        <v>14790</v>
      </c>
      <c r="I53" s="1401"/>
    </row>
    <row r="54" spans="1:9" s="1348" customFormat="1" ht="29.25" customHeight="1" thickBot="1">
      <c r="A54" s="1582" t="s">
        <v>141</v>
      </c>
      <c r="B54" s="1583"/>
      <c r="C54" s="1584" t="s">
        <v>1093</v>
      </c>
      <c r="D54" s="1585">
        <v>180000</v>
      </c>
      <c r="E54" s="1585">
        <v>180000</v>
      </c>
      <c r="F54" s="1585">
        <v>180000</v>
      </c>
      <c r="G54" s="1585">
        <v>135219</v>
      </c>
      <c r="H54" s="1585"/>
      <c r="I54" s="1401"/>
    </row>
    <row r="55" spans="1:9" s="293" customFormat="1" ht="29.25" customHeight="1" thickBot="1">
      <c r="A55" s="1748" t="s">
        <v>143</v>
      </c>
      <c r="B55" s="1749"/>
      <c r="C55" s="1750" t="s">
        <v>1087</v>
      </c>
      <c r="D55" s="1751">
        <f>SUM(D48:D54)</f>
        <v>500000</v>
      </c>
      <c r="E55" s="1751">
        <f>SUM(E48:E54)</f>
        <v>500000</v>
      </c>
      <c r="F55" s="1751">
        <f>SUM(F48:F54)</f>
        <v>500000</v>
      </c>
      <c r="G55" s="1751">
        <f>SUM(G48:G54)</f>
        <v>500000</v>
      </c>
      <c r="H55" s="1751">
        <f>SUM(H48:H54)</f>
        <v>244781</v>
      </c>
      <c r="I55" s="1402"/>
    </row>
    <row r="56" spans="1:9" s="1604" customFormat="1" ht="29.25" customHeight="1">
      <c r="A56" s="1743" t="s">
        <v>145</v>
      </c>
      <c r="B56" s="1744"/>
      <c r="C56" s="1745" t="s">
        <v>1106</v>
      </c>
      <c r="D56" s="1746">
        <v>500000</v>
      </c>
      <c r="E56" s="1746">
        <v>500000</v>
      </c>
      <c r="F56" s="1746">
        <v>500000</v>
      </c>
      <c r="G56" s="1747">
        <v>500000</v>
      </c>
      <c r="H56" s="1747">
        <v>0</v>
      </c>
      <c r="I56" s="1603"/>
    </row>
    <row r="57" spans="1:9" s="1604" customFormat="1" ht="29.25" customHeight="1">
      <c r="A57" s="1599" t="s">
        <v>131</v>
      </c>
      <c r="B57" s="1600"/>
      <c r="C57" s="1601" t="s">
        <v>1107</v>
      </c>
      <c r="D57" s="1602">
        <v>1200000</v>
      </c>
      <c r="E57" s="1602">
        <v>1199000</v>
      </c>
      <c r="F57" s="1602">
        <v>1199000</v>
      </c>
      <c r="G57" s="1410">
        <v>1199000</v>
      </c>
      <c r="H57" s="1410">
        <v>1199000</v>
      </c>
      <c r="I57" s="1605"/>
    </row>
    <row r="58" spans="1:9" s="1604" customFormat="1" ht="29.25" customHeight="1">
      <c r="A58" s="1606" t="s">
        <v>133</v>
      </c>
      <c r="B58" s="1607"/>
      <c r="C58" s="1608" t="s">
        <v>1168</v>
      </c>
      <c r="D58" s="1609"/>
      <c r="E58" s="1609">
        <v>27503</v>
      </c>
      <c r="F58" s="1609">
        <v>27503</v>
      </c>
      <c r="G58" s="1585">
        <v>27503</v>
      </c>
      <c r="H58" s="1585">
        <v>27503</v>
      </c>
      <c r="I58" s="1605"/>
    </row>
    <row r="59" spans="1:9" s="1604" customFormat="1" ht="29.25" customHeight="1">
      <c r="A59" s="1606" t="s">
        <v>135</v>
      </c>
      <c r="B59" s="1607"/>
      <c r="C59" s="1610" t="s">
        <v>1169</v>
      </c>
      <c r="D59" s="1609"/>
      <c r="E59" s="1609">
        <v>2223398</v>
      </c>
      <c r="F59" s="1609">
        <v>2285628</v>
      </c>
      <c r="G59" s="1585">
        <v>2285628</v>
      </c>
      <c r="H59" s="1585">
        <v>2285628</v>
      </c>
      <c r="I59" s="1605"/>
    </row>
    <row r="60" spans="1:9" s="1604" customFormat="1" ht="29.25" customHeight="1">
      <c r="A60" s="1606" t="s">
        <v>137</v>
      </c>
      <c r="B60" s="1607"/>
      <c r="C60" s="1610" t="s">
        <v>1182</v>
      </c>
      <c r="D60" s="1609"/>
      <c r="E60" s="1609"/>
      <c r="F60" s="1609">
        <v>29990</v>
      </c>
      <c r="G60" s="1585">
        <v>29990</v>
      </c>
      <c r="H60" s="1585">
        <v>29990</v>
      </c>
      <c r="I60" s="1605"/>
    </row>
    <row r="61" spans="1:9" s="1348" customFormat="1" ht="29.25" customHeight="1">
      <c r="A61" s="1582" t="s">
        <v>139</v>
      </c>
      <c r="B61" s="1583"/>
      <c r="C61" s="1584" t="s">
        <v>1160</v>
      </c>
      <c r="D61" s="1585"/>
      <c r="E61" s="1585">
        <v>89513907</v>
      </c>
      <c r="F61" s="1585">
        <f>SUM(89513907)+74594089+74594089</f>
        <v>238702085</v>
      </c>
      <c r="G61" s="1585">
        <f>SUM(89513907)+74594089+74594089</f>
        <v>238702085</v>
      </c>
      <c r="H61" s="1585">
        <v>298376356</v>
      </c>
      <c r="I61" s="1401"/>
    </row>
    <row r="62" spans="1:9" s="1348" customFormat="1" ht="29.25" customHeight="1">
      <c r="A62" s="1582" t="s">
        <v>141</v>
      </c>
      <c r="B62" s="1583"/>
      <c r="C62" s="1584" t="s">
        <v>1204</v>
      </c>
      <c r="D62" s="1585"/>
      <c r="E62" s="1585"/>
      <c r="F62" s="1585">
        <v>346329</v>
      </c>
      <c r="G62" s="1585">
        <v>346329</v>
      </c>
      <c r="H62" s="1585">
        <v>346329</v>
      </c>
      <c r="I62" s="1401"/>
    </row>
    <row r="63" spans="1:9" s="1348" customFormat="1" ht="29.25" customHeight="1">
      <c r="A63" s="1582" t="s">
        <v>143</v>
      </c>
      <c r="B63" s="1583"/>
      <c r="C63" s="1584" t="s">
        <v>1181</v>
      </c>
      <c r="D63" s="1585"/>
      <c r="E63" s="1585"/>
      <c r="F63" s="1585">
        <v>102362</v>
      </c>
      <c r="G63" s="1585">
        <v>102362</v>
      </c>
      <c r="H63" s="1585">
        <v>102362</v>
      </c>
      <c r="I63" s="1401"/>
    </row>
    <row r="64" spans="1:9" s="1348" customFormat="1" ht="29.25" customHeight="1">
      <c r="A64" s="1582" t="s">
        <v>145</v>
      </c>
      <c r="B64" s="1583"/>
      <c r="C64" s="1584" t="s">
        <v>1183</v>
      </c>
      <c r="D64" s="1585"/>
      <c r="E64" s="1585"/>
      <c r="F64" s="1585">
        <v>63000</v>
      </c>
      <c r="G64" s="1585">
        <v>63000</v>
      </c>
      <c r="H64" s="1585">
        <v>63000</v>
      </c>
      <c r="I64" s="1401"/>
    </row>
    <row r="65" spans="1:9" s="1348" customFormat="1" ht="29.25" customHeight="1">
      <c r="A65" s="1582" t="s">
        <v>147</v>
      </c>
      <c r="B65" s="1583"/>
      <c r="C65" s="1584" t="s">
        <v>1184</v>
      </c>
      <c r="D65" s="1585"/>
      <c r="E65" s="1585"/>
      <c r="F65" s="1585">
        <v>299000</v>
      </c>
      <c r="G65" s="1585">
        <v>299000</v>
      </c>
      <c r="H65" s="1585">
        <v>299000</v>
      </c>
      <c r="I65" s="1401"/>
    </row>
    <row r="66" spans="1:9" s="1348" customFormat="1" ht="29.25" customHeight="1">
      <c r="A66" s="1582" t="s">
        <v>149</v>
      </c>
      <c r="B66" s="1583"/>
      <c r="C66" s="1584" t="s">
        <v>1185</v>
      </c>
      <c r="D66" s="1585"/>
      <c r="E66" s="1585"/>
      <c r="F66" s="1585">
        <v>1490</v>
      </c>
      <c r="G66" s="1585">
        <v>1490</v>
      </c>
      <c r="H66" s="1585">
        <v>1490</v>
      </c>
      <c r="I66" s="1401"/>
    </row>
    <row r="67" spans="1:9" s="1348" customFormat="1" ht="29.25" customHeight="1">
      <c r="A67" s="1582" t="s">
        <v>151</v>
      </c>
      <c r="B67" s="1583"/>
      <c r="C67" s="1584" t="s">
        <v>1186</v>
      </c>
      <c r="D67" s="1585"/>
      <c r="E67" s="1585"/>
      <c r="F67" s="1585">
        <v>75800</v>
      </c>
      <c r="G67" s="1585">
        <v>75800</v>
      </c>
      <c r="H67" s="1585">
        <v>75800</v>
      </c>
      <c r="I67" s="1401"/>
    </row>
    <row r="68" spans="1:9" s="1348" customFormat="1" ht="29.25" customHeight="1">
      <c r="A68" s="1582" t="s">
        <v>205</v>
      </c>
      <c r="B68" s="1583"/>
      <c r="C68" s="1584" t="s">
        <v>1187</v>
      </c>
      <c r="D68" s="1585"/>
      <c r="E68" s="1585"/>
      <c r="F68" s="1585">
        <v>37900</v>
      </c>
      <c r="G68" s="1585">
        <v>37900</v>
      </c>
      <c r="H68" s="1585">
        <v>37900</v>
      </c>
      <c r="I68" s="1401"/>
    </row>
    <row r="69" spans="1:9" s="1348" customFormat="1" ht="29.25" customHeight="1">
      <c r="A69" s="1582" t="s">
        <v>207</v>
      </c>
      <c r="B69" s="1583"/>
      <c r="C69" s="1584" t="s">
        <v>1187</v>
      </c>
      <c r="D69" s="1585"/>
      <c r="E69" s="1585"/>
      <c r="F69" s="1585">
        <v>46150</v>
      </c>
      <c r="G69" s="1585">
        <v>46150</v>
      </c>
      <c r="H69" s="1585">
        <v>46150</v>
      </c>
      <c r="I69" s="1401"/>
    </row>
    <row r="70" spans="1:9" s="1348" customFormat="1" ht="29.25" customHeight="1">
      <c r="A70" s="1582" t="s">
        <v>261</v>
      </c>
      <c r="B70" s="1583"/>
      <c r="C70" s="1584" t="s">
        <v>1188</v>
      </c>
      <c r="D70" s="1585"/>
      <c r="E70" s="1585"/>
      <c r="F70" s="1585">
        <v>221500</v>
      </c>
      <c r="G70" s="1585">
        <v>221500</v>
      </c>
      <c r="H70" s="1585">
        <v>221500</v>
      </c>
      <c r="I70" s="1401"/>
    </row>
    <row r="71" spans="1:9" s="1348" customFormat="1" ht="29.25" customHeight="1">
      <c r="A71" s="1582" t="s">
        <v>208</v>
      </c>
      <c r="B71" s="1583"/>
      <c r="C71" s="1590" t="s">
        <v>1189</v>
      </c>
      <c r="D71" s="1585"/>
      <c r="E71" s="1585"/>
      <c r="F71" s="1585">
        <v>459600</v>
      </c>
      <c r="G71" s="1585">
        <v>459600</v>
      </c>
      <c r="H71" s="1585">
        <v>459600</v>
      </c>
      <c r="I71" s="1401"/>
    </row>
    <row r="72" spans="1:9" s="1348" customFormat="1" ht="29.25" customHeight="1">
      <c r="A72" s="1582" t="s">
        <v>210</v>
      </c>
      <c r="B72" s="1583"/>
      <c r="C72" s="1590" t="s">
        <v>1190</v>
      </c>
      <c r="D72" s="1585"/>
      <c r="E72" s="1585"/>
      <c r="F72" s="1585">
        <v>32900</v>
      </c>
      <c r="G72" s="1585">
        <v>32900</v>
      </c>
      <c r="H72" s="1585">
        <v>32900</v>
      </c>
      <c r="I72" s="1401"/>
    </row>
    <row r="73" spans="1:9" s="1348" customFormat="1" ht="29.25" customHeight="1">
      <c r="A73" s="1582" t="s">
        <v>263</v>
      </c>
      <c r="B73" s="1583"/>
      <c r="C73" s="1590" t="s">
        <v>1192</v>
      </c>
      <c r="D73" s="1585"/>
      <c r="E73" s="1585"/>
      <c r="F73" s="1585">
        <v>1200000</v>
      </c>
      <c r="G73" s="1585">
        <v>1200000</v>
      </c>
      <c r="H73" s="1585">
        <v>1200000</v>
      </c>
      <c r="I73" s="1401"/>
    </row>
    <row r="74" spans="1:9" s="1348" customFormat="1" ht="29.25" customHeight="1">
      <c r="A74" s="1582" t="s">
        <v>264</v>
      </c>
      <c r="B74" s="1583"/>
      <c r="C74" s="1590" t="s">
        <v>1191</v>
      </c>
      <c r="D74" s="1585"/>
      <c r="E74" s="1585"/>
      <c r="F74" s="1585">
        <v>233935</v>
      </c>
      <c r="G74" s="1585">
        <v>233935</v>
      </c>
      <c r="H74" s="1585">
        <v>233935</v>
      </c>
      <c r="I74" s="1401"/>
    </row>
    <row r="75" spans="1:9" s="1348" customFormat="1" ht="29.25" customHeight="1">
      <c r="A75" s="1582" t="s">
        <v>265</v>
      </c>
      <c r="B75" s="1583"/>
      <c r="C75" s="1590" t="s">
        <v>1206</v>
      </c>
      <c r="D75" s="1585"/>
      <c r="E75" s="1585"/>
      <c r="F75" s="1585">
        <v>2977923</v>
      </c>
      <c r="G75" s="1585">
        <v>2977923</v>
      </c>
      <c r="H75" s="1585">
        <v>2973531</v>
      </c>
      <c r="I75" s="1401"/>
    </row>
    <row r="76" spans="1:9" s="1348" customFormat="1" ht="29.25" customHeight="1">
      <c r="A76" s="1582" t="s">
        <v>266</v>
      </c>
      <c r="B76" s="1583"/>
      <c r="C76" s="1590" t="s">
        <v>1254</v>
      </c>
      <c r="D76" s="1585"/>
      <c r="E76" s="1585"/>
      <c r="F76" s="1585"/>
      <c r="G76" s="1585">
        <v>24489</v>
      </c>
      <c r="H76" s="1585">
        <v>24490</v>
      </c>
      <c r="I76" s="1401"/>
    </row>
    <row r="77" spans="1:9" s="1348" customFormat="1" ht="29.25" customHeight="1">
      <c r="A77" s="1582" t="s">
        <v>268</v>
      </c>
      <c r="B77" s="1583"/>
      <c r="C77" s="1590" t="s">
        <v>1257</v>
      </c>
      <c r="D77" s="1585"/>
      <c r="E77" s="1585"/>
      <c r="F77" s="1585"/>
      <c r="G77" s="1585">
        <v>181613</v>
      </c>
      <c r="H77" s="1585">
        <v>181613</v>
      </c>
      <c r="I77" s="1401"/>
    </row>
    <row r="78" spans="1:9" s="1348" customFormat="1" ht="29.25" customHeight="1">
      <c r="A78" s="1582" t="s">
        <v>270</v>
      </c>
      <c r="B78" s="1583"/>
      <c r="C78" s="1590" t="s">
        <v>1282</v>
      </c>
      <c r="D78" s="1585"/>
      <c r="E78" s="1585"/>
      <c r="F78" s="1585"/>
      <c r="G78" s="1585"/>
      <c r="H78" s="1585">
        <v>1802411</v>
      </c>
      <c r="I78" s="1401"/>
    </row>
    <row r="79" spans="1:9" s="1348" customFormat="1" ht="29.25" customHeight="1">
      <c r="A79" s="1582" t="s">
        <v>272</v>
      </c>
      <c r="B79" s="1583"/>
      <c r="C79" s="1590" t="s">
        <v>1283</v>
      </c>
      <c r="D79" s="1585"/>
      <c r="E79" s="1585"/>
      <c r="F79" s="1585"/>
      <c r="G79" s="1585"/>
      <c r="H79" s="1585">
        <v>1435300</v>
      </c>
      <c r="I79" s="1401"/>
    </row>
    <row r="80" spans="1:9" s="1348" customFormat="1" ht="29.25" customHeight="1">
      <c r="A80" s="1582" t="s">
        <v>273</v>
      </c>
      <c r="B80" s="1583"/>
      <c r="C80" s="1590" t="s">
        <v>1284</v>
      </c>
      <c r="D80" s="1585"/>
      <c r="E80" s="1585"/>
      <c r="F80" s="1585"/>
      <c r="G80" s="1585"/>
      <c r="H80" s="1585">
        <v>199990</v>
      </c>
      <c r="I80" s="1401"/>
    </row>
    <row r="81" spans="1:9" s="1348" customFormat="1" ht="29.25" customHeight="1">
      <c r="A81" s="1582" t="s">
        <v>274</v>
      </c>
      <c r="B81" s="1583"/>
      <c r="C81" s="1590" t="s">
        <v>1285</v>
      </c>
      <c r="D81" s="1585"/>
      <c r="E81" s="1585"/>
      <c r="F81" s="1585"/>
      <c r="G81" s="1585"/>
      <c r="H81" s="1585">
        <v>110178</v>
      </c>
      <c r="I81" s="1401"/>
    </row>
    <row r="82" spans="1:9" s="1348" customFormat="1" ht="29.25" customHeight="1">
      <c r="A82" s="1582" t="s">
        <v>276</v>
      </c>
      <c r="B82" s="1583"/>
      <c r="C82" s="1590" t="s">
        <v>1286</v>
      </c>
      <c r="D82" s="1585"/>
      <c r="E82" s="1585"/>
      <c r="F82" s="1585"/>
      <c r="G82" s="1585"/>
      <c r="H82" s="1585">
        <v>2499171</v>
      </c>
      <c r="I82" s="1401"/>
    </row>
    <row r="83" spans="1:9" s="293" customFormat="1" ht="26.25" thickBot="1">
      <c r="A83" s="1807" t="s">
        <v>277</v>
      </c>
      <c r="B83" s="1808"/>
      <c r="C83" s="1809" t="s">
        <v>1095</v>
      </c>
      <c r="D83" s="1810">
        <f>SUM(D56:D57)</f>
        <v>1700000</v>
      </c>
      <c r="E83" s="1810">
        <f>SUM(E56:E61)</f>
        <v>93463808</v>
      </c>
      <c r="F83" s="1810">
        <f>SUM(F56:F75)</f>
        <v>248842095</v>
      </c>
      <c r="G83" s="1810">
        <f>SUM(G56:G77)</f>
        <v>249048197</v>
      </c>
      <c r="H83" s="1810">
        <f>SUM(H56:H82)</f>
        <v>314265127</v>
      </c>
      <c r="I83" s="1402"/>
    </row>
    <row r="84" spans="1:9" ht="30" customHeight="1" thickBot="1">
      <c r="A84" s="1387" t="s">
        <v>278</v>
      </c>
      <c r="B84" s="1388"/>
      <c r="C84" s="1389" t="s">
        <v>25</v>
      </c>
      <c r="D84" s="1390">
        <f>SUM(D13+D20)</f>
        <v>4650000</v>
      </c>
      <c r="E84" s="1390">
        <f>SUM(E13+E20)</f>
        <v>96460917</v>
      </c>
      <c r="F84" s="1390">
        <f>SUM(F13+F20)</f>
        <v>274849650</v>
      </c>
      <c r="G84" s="1390">
        <f>SUM(G13+G20)</f>
        <v>275090752</v>
      </c>
      <c r="H84" s="1390">
        <f>SUM(H13+H20)</f>
        <v>338291741</v>
      </c>
      <c r="I84" s="1404"/>
    </row>
    <row r="85" spans="1:8" ht="12.75" customHeight="1">
      <c r="A85" s="1386"/>
      <c r="E85" s="1360"/>
      <c r="F85" s="1364"/>
      <c r="G85" s="1364"/>
      <c r="H85" s="1364"/>
    </row>
    <row r="86" spans="1:8" ht="12.75" customHeight="1">
      <c r="A86" s="1362"/>
      <c r="E86" s="1360"/>
      <c r="F86" s="1364"/>
      <c r="G86" s="1364"/>
      <c r="H86" s="1364"/>
    </row>
    <row r="87" spans="1:10" ht="12.75" customHeight="1">
      <c r="A87" s="1930" t="s">
        <v>905</v>
      </c>
      <c r="B87" s="1930"/>
      <c r="C87" s="1930"/>
      <c r="D87" s="1930"/>
      <c r="E87" s="1930"/>
      <c r="F87" s="1473"/>
      <c r="G87" s="1473"/>
      <c r="H87" s="1473"/>
      <c r="I87" s="1473"/>
      <c r="J87" s="1473"/>
    </row>
    <row r="88" spans="1:10" ht="12.75" customHeight="1">
      <c r="A88" s="1922" t="s">
        <v>1295</v>
      </c>
      <c r="B88" s="1922"/>
      <c r="C88" s="1922"/>
      <c r="D88" s="1922"/>
      <c r="E88" s="1922"/>
      <c r="F88" s="1922"/>
      <c r="G88" s="1922"/>
      <c r="H88" s="1922"/>
      <c r="I88" s="1922"/>
      <c r="J88" s="893"/>
    </row>
    <row r="89" spans="1:8" ht="12.75" customHeight="1">
      <c r="A89" s="1361"/>
      <c r="B89" s="1361"/>
      <c r="C89" s="1361"/>
      <c r="D89" s="1904" t="s">
        <v>1296</v>
      </c>
      <c r="E89" s="1904"/>
      <c r="F89" s="1904"/>
      <c r="G89" s="1361"/>
      <c r="H89" s="1821" t="s">
        <v>1302</v>
      </c>
    </row>
    <row r="90" spans="1:10" ht="40.5" customHeight="1">
      <c r="A90" s="1927" t="s">
        <v>1151</v>
      </c>
      <c r="B90" s="1927"/>
      <c r="C90" s="1927"/>
      <c r="D90" s="1927"/>
      <c r="E90" s="1927"/>
      <c r="F90" s="1927"/>
      <c r="G90" s="1927"/>
      <c r="H90" s="1927"/>
      <c r="I90" s="1927"/>
      <c r="J90" s="645"/>
    </row>
    <row r="91" spans="1:8" ht="12.75" customHeight="1">
      <c r="A91" s="645"/>
      <c r="B91" s="645"/>
      <c r="C91" s="645"/>
      <c r="D91" s="645"/>
      <c r="E91" s="645"/>
      <c r="F91" s="645"/>
      <c r="G91" s="645"/>
      <c r="H91" s="645"/>
    </row>
    <row r="92" spans="1:8" ht="12.75" customHeight="1">
      <c r="A92" s="1359"/>
      <c r="B92" s="1359"/>
      <c r="C92" s="1359"/>
      <c r="D92" s="1359"/>
      <c r="E92" s="1359"/>
      <c r="F92" s="1359"/>
      <c r="G92" s="1673"/>
      <c r="H92" s="1359"/>
    </row>
    <row r="93" spans="1:8" ht="12.75" customHeight="1">
      <c r="A93" s="1365"/>
      <c r="B93" s="1365"/>
      <c r="C93" s="1365"/>
      <c r="D93" s="1365"/>
      <c r="E93" s="1365"/>
      <c r="F93" s="1365"/>
      <c r="G93" s="1365"/>
      <c r="H93" s="1365"/>
    </row>
    <row r="94" spans="1:9" ht="12.75" customHeight="1" thickBot="1">
      <c r="A94" s="1365"/>
      <c r="B94" s="1365"/>
      <c r="C94" s="1365"/>
      <c r="D94" s="1365"/>
      <c r="E94" s="1933" t="s">
        <v>1070</v>
      </c>
      <c r="F94" s="1933"/>
      <c r="G94" s="1933"/>
      <c r="H94" s="1933"/>
      <c r="I94" s="1933"/>
    </row>
    <row r="95" spans="1:10" ht="21.75" customHeight="1" thickBot="1">
      <c r="A95" s="1912" t="s">
        <v>156</v>
      </c>
      <c r="B95" s="1913"/>
      <c r="C95" s="1931" t="s">
        <v>429</v>
      </c>
      <c r="D95" s="1924" t="s">
        <v>1071</v>
      </c>
      <c r="E95" s="1924" t="s">
        <v>1072</v>
      </c>
      <c r="F95" s="1924" t="s">
        <v>1157</v>
      </c>
      <c r="G95" s="1924" t="s">
        <v>1178</v>
      </c>
      <c r="H95" s="1924" t="s">
        <v>1250</v>
      </c>
      <c r="I95" s="1924" t="s">
        <v>1269</v>
      </c>
      <c r="J95" s="1923"/>
    </row>
    <row r="96" spans="1:10" ht="12.75" customHeight="1" thickBot="1">
      <c r="A96" s="1914"/>
      <c r="B96" s="1915"/>
      <c r="C96" s="1932"/>
      <c r="D96" s="1925"/>
      <c r="E96" s="1925"/>
      <c r="F96" s="1925"/>
      <c r="G96" s="1925"/>
      <c r="H96" s="1925"/>
      <c r="I96" s="1925"/>
      <c r="J96" s="1923"/>
    </row>
    <row r="97" spans="1:10" ht="12.75" customHeight="1">
      <c r="A97" s="1914"/>
      <c r="B97" s="1915"/>
      <c r="C97" s="897" t="s">
        <v>158</v>
      </c>
      <c r="D97" s="902" t="s">
        <v>159</v>
      </c>
      <c r="E97" s="902" t="s">
        <v>160</v>
      </c>
      <c r="F97" s="902" t="s">
        <v>161</v>
      </c>
      <c r="G97" s="902" t="s">
        <v>456</v>
      </c>
      <c r="H97" s="902" t="s">
        <v>476</v>
      </c>
      <c r="I97" s="902" t="s">
        <v>701</v>
      </c>
      <c r="J97" s="1451"/>
    </row>
    <row r="98" spans="1:10" ht="12.75" customHeight="1">
      <c r="A98" s="895" t="s">
        <v>38</v>
      </c>
      <c r="B98" s="646"/>
      <c r="C98" s="898" t="s">
        <v>430</v>
      </c>
      <c r="D98" s="903">
        <f aca="true" t="shared" si="0" ref="D98:I98">SUM(D99:D103)</f>
        <v>39839580</v>
      </c>
      <c r="E98" s="903">
        <f t="shared" si="0"/>
        <v>34251741</v>
      </c>
      <c r="F98" s="903">
        <f t="shared" si="0"/>
        <v>33378999</v>
      </c>
      <c r="G98" s="903">
        <f t="shared" si="0"/>
        <v>37044136</v>
      </c>
      <c r="H98" s="903">
        <f t="shared" si="0"/>
        <v>40183240</v>
      </c>
      <c r="I98" s="903">
        <f t="shared" si="0"/>
        <v>41907877</v>
      </c>
      <c r="J98" s="1452"/>
    </row>
    <row r="99" spans="1:10" s="1619" customFormat="1" ht="12.75" customHeight="1">
      <c r="A99" s="1614" t="s">
        <v>40</v>
      </c>
      <c r="B99" s="1615"/>
      <c r="C99" s="1616" t="s">
        <v>431</v>
      </c>
      <c r="D99" s="1617">
        <v>11783000</v>
      </c>
      <c r="E99" s="1617">
        <v>11826840</v>
      </c>
      <c r="F99" s="1617">
        <v>6634000</v>
      </c>
      <c r="G99" s="1617">
        <v>6981000</v>
      </c>
      <c r="H99" s="1811">
        <v>6981000</v>
      </c>
      <c r="I99" s="1675">
        <v>6981000</v>
      </c>
      <c r="J99" s="1618"/>
    </row>
    <row r="100" spans="1:10" ht="12.75" customHeight="1">
      <c r="A100" s="1366" t="s">
        <v>47</v>
      </c>
      <c r="B100" s="1367"/>
      <c r="C100" s="899" t="s">
        <v>432</v>
      </c>
      <c r="D100" s="1369">
        <v>3175647</v>
      </c>
      <c r="E100" s="1369">
        <v>3175647</v>
      </c>
      <c r="F100" s="1369">
        <v>3175647</v>
      </c>
      <c r="G100" s="1369">
        <v>3251899</v>
      </c>
      <c r="H100" s="1812">
        <v>4501932</v>
      </c>
      <c r="I100" s="1674">
        <v>6001932</v>
      </c>
      <c r="J100" s="1454"/>
    </row>
    <row r="101" spans="1:10" ht="12.75" customHeight="1">
      <c r="A101" s="1366" t="s">
        <v>49</v>
      </c>
      <c r="B101" s="1367"/>
      <c r="C101" s="899" t="s">
        <v>433</v>
      </c>
      <c r="D101" s="1370">
        <v>24880933</v>
      </c>
      <c r="E101" s="1370">
        <v>19249254</v>
      </c>
      <c r="F101" s="1370">
        <v>23569352</v>
      </c>
      <c r="G101" s="1370">
        <v>26461237</v>
      </c>
      <c r="H101" s="1813">
        <v>28350308</v>
      </c>
      <c r="I101" s="1813">
        <v>28674945</v>
      </c>
      <c r="J101" s="1455"/>
    </row>
    <row r="102" spans="1:10" ht="12.75" customHeight="1">
      <c r="A102" s="1614" t="s">
        <v>51</v>
      </c>
      <c r="B102" s="1367"/>
      <c r="C102" s="899" t="s">
        <v>1194</v>
      </c>
      <c r="D102" s="1370"/>
      <c r="E102" s="1370"/>
      <c r="F102" s="1370"/>
      <c r="G102" s="1370">
        <v>350000</v>
      </c>
      <c r="H102" s="1813">
        <v>350000</v>
      </c>
      <c r="I102" s="1676">
        <v>250000</v>
      </c>
      <c r="J102" s="1455"/>
    </row>
    <row r="103" spans="1:10" ht="12.75" customHeight="1">
      <c r="A103" s="1614" t="s">
        <v>53</v>
      </c>
      <c r="B103" s="1367"/>
      <c r="C103" s="899"/>
      <c r="D103" s="1368">
        <v>0</v>
      </c>
      <c r="E103" s="1368">
        <v>0</v>
      </c>
      <c r="F103" s="1368">
        <v>0</v>
      </c>
      <c r="G103" s="1617">
        <v>0</v>
      </c>
      <c r="H103" s="1617">
        <v>0</v>
      </c>
      <c r="I103" s="1617">
        <v>0</v>
      </c>
      <c r="J103" s="1453"/>
    </row>
    <row r="104" spans="1:10" ht="12.75" customHeight="1">
      <c r="A104" s="895" t="s">
        <v>55</v>
      </c>
      <c r="B104" s="1367"/>
      <c r="C104" s="900" t="s">
        <v>434</v>
      </c>
      <c r="D104" s="903">
        <f>SUM(D105:D121)</f>
        <v>4300000</v>
      </c>
      <c r="E104" s="903">
        <f>SUM(E105:E120)</f>
        <v>10480000</v>
      </c>
      <c r="F104" s="903">
        <f>SUM(F105:F120)</f>
        <v>8840000</v>
      </c>
      <c r="G104" s="903">
        <f>SUM(G105:G122)</f>
        <v>8961105</v>
      </c>
      <c r="H104" s="903">
        <f>SUM(H105:H122)</f>
        <v>8961105</v>
      </c>
      <c r="I104" s="903">
        <f>SUM(I105:I122)</f>
        <v>8561105</v>
      </c>
      <c r="J104" s="1452"/>
    </row>
    <row r="105" spans="1:10" s="1348" customFormat="1" ht="12.75" customHeight="1">
      <c r="A105" s="1344" t="s">
        <v>57</v>
      </c>
      <c r="B105" s="1345"/>
      <c r="C105" s="1346" t="s">
        <v>1049</v>
      </c>
      <c r="D105" s="1347"/>
      <c r="E105" s="1347">
        <v>3500000</v>
      </c>
      <c r="F105" s="1347">
        <v>1500000</v>
      </c>
      <c r="G105" s="1347">
        <v>180000</v>
      </c>
      <c r="H105" s="1347"/>
      <c r="I105" s="1347"/>
      <c r="J105" s="1456"/>
    </row>
    <row r="106" spans="1:10" s="1348" customFormat="1" ht="12.75" customHeight="1">
      <c r="A106" s="1344" t="s">
        <v>86</v>
      </c>
      <c r="B106" s="1345"/>
      <c r="C106" s="1346" t="s">
        <v>1037</v>
      </c>
      <c r="D106" s="1347">
        <v>200000</v>
      </c>
      <c r="E106" s="1347"/>
      <c r="F106" s="1347"/>
      <c r="G106" s="1347"/>
      <c r="H106" s="1347"/>
      <c r="I106" s="1347"/>
      <c r="J106" s="1456"/>
    </row>
    <row r="107" spans="1:10" s="1348" customFormat="1" ht="12.75" customHeight="1">
      <c r="A107" s="1344" t="s">
        <v>59</v>
      </c>
      <c r="B107" s="1345"/>
      <c r="C107" s="1346" t="s">
        <v>1038</v>
      </c>
      <c r="D107" s="1347">
        <v>200000</v>
      </c>
      <c r="E107" s="1347"/>
      <c r="F107" s="1347"/>
      <c r="G107" s="1347"/>
      <c r="H107" s="1347"/>
      <c r="I107" s="1347"/>
      <c r="J107" s="1456"/>
    </row>
    <row r="108" spans="1:10" s="1348" customFormat="1" ht="12.75" customHeight="1">
      <c r="A108" s="1344" t="s">
        <v>61</v>
      </c>
      <c r="B108" s="1345"/>
      <c r="C108" s="1346" t="s">
        <v>1039</v>
      </c>
      <c r="D108" s="1347">
        <v>150000</v>
      </c>
      <c r="E108" s="1347"/>
      <c r="F108" s="1347"/>
      <c r="G108" s="1347"/>
      <c r="H108" s="1347"/>
      <c r="I108" s="1347"/>
      <c r="J108" s="1456"/>
    </row>
    <row r="109" spans="1:10" s="1348" customFormat="1" ht="12.75" customHeight="1">
      <c r="A109" s="1344" t="s">
        <v>63</v>
      </c>
      <c r="B109" s="1345"/>
      <c r="C109" s="1346" t="s">
        <v>1040</v>
      </c>
      <c r="D109" s="1347">
        <v>1500000</v>
      </c>
      <c r="E109" s="1347">
        <v>6480000</v>
      </c>
      <c r="F109" s="1347">
        <v>6480000</v>
      </c>
      <c r="G109" s="1347">
        <v>6480000</v>
      </c>
      <c r="H109" s="1347">
        <v>6480000</v>
      </c>
      <c r="I109" s="1347">
        <v>6480000</v>
      </c>
      <c r="J109" s="1456"/>
    </row>
    <row r="110" spans="1:10" s="1348" customFormat="1" ht="12.75" customHeight="1">
      <c r="A110" s="1344" t="s">
        <v>65</v>
      </c>
      <c r="B110" s="1345"/>
      <c r="C110" s="1346" t="s">
        <v>1170</v>
      </c>
      <c r="D110" s="1347"/>
      <c r="E110" s="1347"/>
      <c r="F110" s="1347">
        <v>150000</v>
      </c>
      <c r="G110" s="1347">
        <v>150000</v>
      </c>
      <c r="H110" s="1347">
        <v>150000</v>
      </c>
      <c r="I110" s="1347">
        <v>150000</v>
      </c>
      <c r="J110" s="1456"/>
    </row>
    <row r="111" spans="1:10" s="1348" customFormat="1" ht="12.75" customHeight="1">
      <c r="A111" s="1344" t="s">
        <v>92</v>
      </c>
      <c r="B111" s="1345"/>
      <c r="C111" s="1346" t="s">
        <v>1171</v>
      </c>
      <c r="D111" s="1347"/>
      <c r="E111" s="1347"/>
      <c r="F111" s="1347">
        <v>200000</v>
      </c>
      <c r="G111" s="1347">
        <v>200000</v>
      </c>
      <c r="H111" s="1347">
        <v>200000</v>
      </c>
      <c r="I111" s="1347">
        <v>200000</v>
      </c>
      <c r="J111" s="1456"/>
    </row>
    <row r="112" spans="1:10" s="1348" customFormat="1" ht="12.75" customHeight="1">
      <c r="A112" s="1344" t="s">
        <v>66</v>
      </c>
      <c r="B112" s="1345"/>
      <c r="C112" s="1346" t="s">
        <v>1041</v>
      </c>
      <c r="D112" s="1347">
        <v>200000</v>
      </c>
      <c r="E112" s="1347"/>
      <c r="F112" s="1347"/>
      <c r="G112" s="1347">
        <v>350000</v>
      </c>
      <c r="H112" s="1347">
        <v>350000</v>
      </c>
      <c r="I112" s="1347">
        <v>350000</v>
      </c>
      <c r="J112" s="1456"/>
    </row>
    <row r="113" spans="1:10" s="1348" customFormat="1" ht="12.75" customHeight="1">
      <c r="A113" s="1344" t="s">
        <v>67</v>
      </c>
      <c r="B113" s="1345"/>
      <c r="C113" s="1346" t="s">
        <v>1042</v>
      </c>
      <c r="D113" s="1347">
        <v>300000</v>
      </c>
      <c r="E113" s="1347"/>
      <c r="F113" s="1347"/>
      <c r="G113" s="1347">
        <v>330000</v>
      </c>
      <c r="H113" s="1347">
        <v>330000</v>
      </c>
      <c r="I113" s="1347">
        <v>330000</v>
      </c>
      <c r="J113" s="1456"/>
    </row>
    <row r="114" spans="1:10" s="1348" customFormat="1" ht="12.75" customHeight="1">
      <c r="A114" s="1344" t="s">
        <v>68</v>
      </c>
      <c r="B114" s="1345"/>
      <c r="C114" s="1346" t="s">
        <v>1043</v>
      </c>
      <c r="D114" s="1347">
        <v>600000</v>
      </c>
      <c r="E114" s="1347"/>
      <c r="F114" s="1347"/>
      <c r="G114" s="1347">
        <v>420000</v>
      </c>
      <c r="H114" s="1347">
        <v>420000</v>
      </c>
      <c r="I114" s="1347">
        <v>420000</v>
      </c>
      <c r="J114" s="1456"/>
    </row>
    <row r="115" spans="1:10" s="1348" customFormat="1" ht="12.75" customHeight="1">
      <c r="A115" s="1344" t="s">
        <v>70</v>
      </c>
      <c r="B115" s="1345"/>
      <c r="C115" s="1346" t="s">
        <v>1044</v>
      </c>
      <c r="D115" s="1347">
        <v>100000</v>
      </c>
      <c r="E115" s="1347"/>
      <c r="F115" s="1347">
        <v>10000</v>
      </c>
      <c r="G115" s="1347">
        <v>10000</v>
      </c>
      <c r="H115" s="1347">
        <v>10000</v>
      </c>
      <c r="I115" s="1347">
        <v>10000</v>
      </c>
      <c r="J115" s="1456"/>
    </row>
    <row r="116" spans="1:10" s="1348" customFormat="1" ht="12.75" customHeight="1">
      <c r="A116" s="1344" t="s">
        <v>97</v>
      </c>
      <c r="B116" s="1345"/>
      <c r="C116" s="1346" t="s">
        <v>1045</v>
      </c>
      <c r="D116" s="1347">
        <v>200000</v>
      </c>
      <c r="E116" s="1347"/>
      <c r="F116" s="1347"/>
      <c r="G116" s="1347">
        <v>200000</v>
      </c>
      <c r="H116" s="1347">
        <v>200000</v>
      </c>
      <c r="I116" s="1347">
        <v>200000</v>
      </c>
      <c r="J116" s="1456"/>
    </row>
    <row r="117" spans="1:10" s="1348" customFormat="1" ht="12.75" customHeight="1">
      <c r="A117" s="1344" t="s">
        <v>99</v>
      </c>
      <c r="B117" s="1345"/>
      <c r="C117" s="1346" t="s">
        <v>1046</v>
      </c>
      <c r="D117" s="1347">
        <v>100000</v>
      </c>
      <c r="E117" s="1347"/>
      <c r="F117" s="1347"/>
      <c r="G117" s="1347">
        <v>20000</v>
      </c>
      <c r="H117" s="1347">
        <v>200000</v>
      </c>
      <c r="I117" s="1347">
        <v>200000</v>
      </c>
      <c r="J117" s="1456"/>
    </row>
    <row r="118" spans="1:10" s="1348" customFormat="1" ht="12.75" customHeight="1">
      <c r="A118" s="1344" t="s">
        <v>101</v>
      </c>
      <c r="B118" s="1345"/>
      <c r="C118" s="1346" t="s">
        <v>1047</v>
      </c>
      <c r="D118" s="1347">
        <v>100000</v>
      </c>
      <c r="E118" s="1347"/>
      <c r="F118" s="1347"/>
      <c r="G118" s="1347"/>
      <c r="H118" s="1347"/>
      <c r="I118" s="1347"/>
      <c r="J118" s="1456"/>
    </row>
    <row r="119" spans="1:10" s="1348" customFormat="1" ht="23.25" customHeight="1">
      <c r="A119" s="1344" t="s">
        <v>103</v>
      </c>
      <c r="B119" s="1345"/>
      <c r="C119" s="1349" t="s">
        <v>1048</v>
      </c>
      <c r="D119" s="1347">
        <v>50000</v>
      </c>
      <c r="E119" s="1347"/>
      <c r="F119" s="1347"/>
      <c r="G119" s="1347"/>
      <c r="H119" s="1347"/>
      <c r="I119" s="1347"/>
      <c r="J119" s="1456"/>
    </row>
    <row r="120" spans="1:10" s="1348" customFormat="1" ht="12.75" customHeight="1">
      <c r="A120" s="1344" t="s">
        <v>105</v>
      </c>
      <c r="B120" s="1345"/>
      <c r="C120" s="1346" t="s">
        <v>1011</v>
      </c>
      <c r="D120" s="1347">
        <v>500000</v>
      </c>
      <c r="E120" s="1347">
        <v>500000</v>
      </c>
      <c r="F120" s="1347">
        <v>500000</v>
      </c>
      <c r="G120" s="1347">
        <v>500000</v>
      </c>
      <c r="H120" s="1347">
        <v>500000</v>
      </c>
      <c r="I120" s="1347"/>
      <c r="J120" s="1456"/>
    </row>
    <row r="121" spans="1:10" s="1348" customFormat="1" ht="12.75" customHeight="1">
      <c r="A121" s="1344" t="s">
        <v>107</v>
      </c>
      <c r="B121" s="1345"/>
      <c r="C121" s="1346" t="s">
        <v>1069</v>
      </c>
      <c r="D121" s="1347">
        <v>100000</v>
      </c>
      <c r="E121" s="1347"/>
      <c r="F121" s="1347"/>
      <c r="G121" s="1347"/>
      <c r="H121" s="1347"/>
      <c r="I121" s="1347">
        <v>100000</v>
      </c>
      <c r="J121" s="1456"/>
    </row>
    <row r="122" spans="1:10" s="1348" customFormat="1" ht="12.75" customHeight="1">
      <c r="A122" s="1344" t="s">
        <v>109</v>
      </c>
      <c r="B122" s="1345"/>
      <c r="C122" s="1346" t="s">
        <v>1196</v>
      </c>
      <c r="D122" s="1347"/>
      <c r="E122" s="1347"/>
      <c r="F122" s="1347"/>
      <c r="G122" s="1347">
        <v>121105</v>
      </c>
      <c r="H122" s="1347">
        <v>121105</v>
      </c>
      <c r="I122" s="1347">
        <v>121105</v>
      </c>
      <c r="J122" s="1456"/>
    </row>
    <row r="123" spans="1:10" s="293" customFormat="1" ht="12.75" customHeight="1">
      <c r="A123" s="895" t="s">
        <v>111</v>
      </c>
      <c r="B123" s="646"/>
      <c r="C123" s="898" t="s">
        <v>260</v>
      </c>
      <c r="D123" s="903">
        <f aca="true" t="shared" si="1" ref="D123:I123">SUM(D140)</f>
        <v>3228</v>
      </c>
      <c r="E123" s="903">
        <f t="shared" si="1"/>
        <v>40000</v>
      </c>
      <c r="F123" s="903">
        <f t="shared" si="1"/>
        <v>40000</v>
      </c>
      <c r="G123" s="903">
        <f t="shared" si="1"/>
        <v>30013</v>
      </c>
      <c r="H123" s="903">
        <f t="shared" si="1"/>
        <v>40926</v>
      </c>
      <c r="I123" s="903">
        <f t="shared" si="1"/>
        <v>57293</v>
      </c>
      <c r="J123" s="1452"/>
    </row>
    <row r="124" spans="1:10" ht="12.75" customHeight="1" thickBot="1">
      <c r="A124" s="896" t="s">
        <v>113</v>
      </c>
      <c r="B124" s="1371"/>
      <c r="C124" s="901" t="s">
        <v>25</v>
      </c>
      <c r="D124" s="905">
        <f aca="true" t="shared" si="2" ref="D124:I124">D98+D104+D123</f>
        <v>44142808</v>
      </c>
      <c r="E124" s="905">
        <f t="shared" si="2"/>
        <v>44771741</v>
      </c>
      <c r="F124" s="905">
        <f t="shared" si="2"/>
        <v>42258999</v>
      </c>
      <c r="G124" s="905">
        <f t="shared" si="2"/>
        <v>46035254</v>
      </c>
      <c r="H124" s="905">
        <f t="shared" si="2"/>
        <v>49185271</v>
      </c>
      <c r="I124" s="905">
        <f t="shared" si="2"/>
        <v>50526275</v>
      </c>
      <c r="J124" s="1457"/>
    </row>
    <row r="125" spans="1:8" ht="12.75" customHeight="1">
      <c r="A125" s="1598"/>
      <c r="E125" s="1360"/>
      <c r="F125" s="1360"/>
      <c r="G125" s="1360"/>
      <c r="H125" s="1360"/>
    </row>
    <row r="126" spans="1:8" ht="12.75" customHeight="1">
      <c r="A126" s="1362"/>
      <c r="E126" s="1360"/>
      <c r="F126" s="1360"/>
      <c r="G126" s="1360"/>
      <c r="H126" s="1360"/>
    </row>
    <row r="128" spans="1:5" ht="12.75" customHeight="1">
      <c r="A128" s="1362"/>
      <c r="E128" s="1360"/>
    </row>
    <row r="129" spans="1:10" ht="12.75" customHeight="1">
      <c r="A129" s="1911" t="s">
        <v>435</v>
      </c>
      <c r="B129" s="1911"/>
      <c r="C129" s="1911"/>
      <c r="D129" s="1911"/>
      <c r="E129" s="1911"/>
      <c r="F129" s="1911"/>
      <c r="G129" s="1911"/>
      <c r="H129" s="1911"/>
      <c r="I129" s="1911"/>
      <c r="J129" s="1470"/>
    </row>
    <row r="130" spans="1:10" ht="12.75" customHeight="1">
      <c r="A130" s="1910" t="s">
        <v>1295</v>
      </c>
      <c r="B130" s="1910"/>
      <c r="C130" s="1910"/>
      <c r="D130" s="1910"/>
      <c r="E130" s="1910"/>
      <c r="F130" s="1910"/>
      <c r="G130" s="1910"/>
      <c r="H130" s="1910"/>
      <c r="I130" s="1910"/>
      <c r="J130" s="1471"/>
    </row>
    <row r="131" spans="1:10" ht="12.75" customHeight="1">
      <c r="A131" s="1817"/>
      <c r="B131" s="1817"/>
      <c r="C131" s="1817"/>
      <c r="D131" s="1905" t="s">
        <v>1296</v>
      </c>
      <c r="E131" s="1905"/>
      <c r="F131" s="1905"/>
      <c r="G131" s="1817"/>
      <c r="H131" s="1817"/>
      <c r="I131" s="1817" t="s">
        <v>1303</v>
      </c>
      <c r="J131" s="1471"/>
    </row>
    <row r="132" spans="1:10" ht="12.75" customHeight="1">
      <c r="A132" s="1909" t="s">
        <v>1150</v>
      </c>
      <c r="B132" s="1909"/>
      <c r="C132" s="1909"/>
      <c r="D132" s="1909"/>
      <c r="E132" s="1909"/>
      <c r="F132" s="1909"/>
      <c r="G132" s="1909"/>
      <c r="H132" s="1909"/>
      <c r="I132" s="1909"/>
      <c r="J132" s="1472"/>
    </row>
    <row r="133" spans="1:5" ht="12.75" customHeight="1">
      <c r="A133" s="1362"/>
      <c r="C133" s="1365"/>
      <c r="E133" s="1360"/>
    </row>
    <row r="134" spans="1:10" ht="12.75" customHeight="1" thickBot="1">
      <c r="A134" s="1362"/>
      <c r="C134" s="1908" t="s">
        <v>214</v>
      </c>
      <c r="D134" s="1908"/>
      <c r="E134" s="1908"/>
      <c r="F134" s="1908"/>
      <c r="G134" s="1908"/>
      <c r="H134" s="1908"/>
      <c r="I134" s="1908"/>
      <c r="J134" s="1469"/>
    </row>
    <row r="135" spans="1:10" ht="26.25" customHeight="1">
      <c r="A135" s="1362"/>
      <c r="C135" s="1459" t="s">
        <v>24</v>
      </c>
      <c r="D135" s="1460" t="s">
        <v>1071</v>
      </c>
      <c r="E135" s="1461" t="s">
        <v>1072</v>
      </c>
      <c r="F135" s="1461" t="s">
        <v>1157</v>
      </c>
      <c r="G135" s="1461" t="s">
        <v>1178</v>
      </c>
      <c r="H135" s="1461" t="s">
        <v>1250</v>
      </c>
      <c r="I135" s="1461" t="s">
        <v>1267</v>
      </c>
      <c r="J135" s="1458"/>
    </row>
    <row r="136" spans="1:10" ht="12.75" customHeight="1">
      <c r="A136" s="1362"/>
      <c r="C136" s="1462" t="s">
        <v>960</v>
      </c>
      <c r="D136" s="1372">
        <v>3228</v>
      </c>
      <c r="E136" s="1463">
        <v>40000</v>
      </c>
      <c r="F136" s="1463">
        <v>40000</v>
      </c>
      <c r="G136" s="1463">
        <v>30013</v>
      </c>
      <c r="H136" s="1463">
        <v>40926</v>
      </c>
      <c r="I136" s="1463">
        <v>57293</v>
      </c>
      <c r="J136" s="1453"/>
    </row>
    <row r="137" spans="1:10" ht="12.75" customHeight="1">
      <c r="A137" s="1362"/>
      <c r="C137" s="1620" t="s">
        <v>1195</v>
      </c>
      <c r="D137" s="1373">
        <v>0</v>
      </c>
      <c r="E137" s="1465">
        <v>0</v>
      </c>
      <c r="F137" s="1465">
        <v>0</v>
      </c>
      <c r="G137" s="1465">
        <v>0</v>
      </c>
      <c r="H137" s="1465">
        <v>0</v>
      </c>
      <c r="I137" s="1465">
        <v>0</v>
      </c>
      <c r="J137" s="1453"/>
    </row>
    <row r="138" spans="1:10" ht="12.75" customHeight="1">
      <c r="A138" s="1362"/>
      <c r="C138" s="1464"/>
      <c r="D138" s="1373"/>
      <c r="E138" s="1465"/>
      <c r="F138" s="1465"/>
      <c r="G138" s="1465"/>
      <c r="H138" s="1465"/>
      <c r="I138" s="1465"/>
      <c r="J138" s="1453"/>
    </row>
    <row r="139" spans="1:10" ht="12.75" customHeight="1">
      <c r="A139" s="1362"/>
      <c r="C139" s="1464"/>
      <c r="D139" s="1373">
        <v>0</v>
      </c>
      <c r="E139" s="1465">
        <v>0</v>
      </c>
      <c r="F139" s="1465">
        <v>0</v>
      </c>
      <c r="G139" s="1465">
        <v>0</v>
      </c>
      <c r="H139" s="1465">
        <v>0</v>
      </c>
      <c r="I139" s="1465">
        <v>0</v>
      </c>
      <c r="J139" s="1453"/>
    </row>
    <row r="140" spans="1:10" ht="12.75" customHeight="1" thickBot="1">
      <c r="A140" s="1362"/>
      <c r="C140" s="1466" t="s">
        <v>29</v>
      </c>
      <c r="D140" s="1467">
        <f aca="true" t="shared" si="3" ref="D140:I140">SUM(D136:D139)</f>
        <v>3228</v>
      </c>
      <c r="E140" s="1468">
        <f t="shared" si="3"/>
        <v>40000</v>
      </c>
      <c r="F140" s="1468">
        <f t="shared" si="3"/>
        <v>40000</v>
      </c>
      <c r="G140" s="1468">
        <f t="shared" si="3"/>
        <v>30013</v>
      </c>
      <c r="H140" s="1468">
        <f t="shared" si="3"/>
        <v>40926</v>
      </c>
      <c r="I140" s="1468">
        <f t="shared" si="3"/>
        <v>57293</v>
      </c>
      <c r="J140" s="1457"/>
    </row>
  </sheetData>
  <sheetProtection selectLockedCells="1" selectUnlockedCells="1"/>
  <mergeCells count="32">
    <mergeCell ref="A2:I2"/>
    <mergeCell ref="E10:E11"/>
    <mergeCell ref="I95:I96"/>
    <mergeCell ref="A90:I90"/>
    <mergeCell ref="A1:H1"/>
    <mergeCell ref="H95:H96"/>
    <mergeCell ref="A9:E9"/>
    <mergeCell ref="H10:H11"/>
    <mergeCell ref="A87:E87"/>
    <mergeCell ref="C95:C96"/>
    <mergeCell ref="E94:I94"/>
    <mergeCell ref="A5:I5"/>
    <mergeCell ref="A10:B12"/>
    <mergeCell ref="A88:I88"/>
    <mergeCell ref="J95:J96"/>
    <mergeCell ref="F95:F96"/>
    <mergeCell ref="C10:C11"/>
    <mergeCell ref="D95:D96"/>
    <mergeCell ref="E95:E96"/>
    <mergeCell ref="D10:D11"/>
    <mergeCell ref="I10:I11"/>
    <mergeCell ref="G95:G96"/>
    <mergeCell ref="C4:H4"/>
    <mergeCell ref="D89:F89"/>
    <mergeCell ref="D131:F131"/>
    <mergeCell ref="F10:F11"/>
    <mergeCell ref="G10:G11"/>
    <mergeCell ref="C134:I134"/>
    <mergeCell ref="A132:I132"/>
    <mergeCell ref="A130:I130"/>
    <mergeCell ref="A129:I129"/>
    <mergeCell ref="A95:B97"/>
  </mergeCells>
  <printOptions horizontalCentered="1"/>
  <pageMargins left="0.2755905511811024" right="0.2362204724409449" top="0.15748031496062992" bottom="0.15748031496062992" header="0.5118110236220472" footer="0.5118110236220472"/>
  <pageSetup firstPageNumber="1" useFirstPageNumber="1" horizontalDpi="600" verticalDpi="600" orientation="portrait" paperSize="9" scale="66" r:id="rId1"/>
  <rowBreaks count="1" manualBreakCount="1">
    <brk id="8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29"/>
  <sheetViews>
    <sheetView view="pageBreakPreview" zoomScaleSheetLayoutView="100" zoomScalePageLayoutView="0" workbookViewId="0" topLeftCell="A1">
      <selection activeCell="H12" sqref="H12"/>
    </sheetView>
  </sheetViews>
  <sheetFormatPr defaultColWidth="11.7109375" defaultRowHeight="12.75" customHeight="1"/>
  <cols>
    <col min="1" max="1" width="27.140625" style="654" customWidth="1"/>
    <col min="2" max="2" width="14.57421875" style="654" customWidth="1"/>
    <col min="3" max="3" width="12.140625" style="654" customWidth="1"/>
    <col min="4" max="4" width="14.7109375" style="654" bestFit="1" customWidth="1"/>
    <col min="5" max="5" width="13.7109375" style="654" bestFit="1" customWidth="1"/>
    <col min="6" max="7" width="13.7109375" style="674" bestFit="1" customWidth="1"/>
    <col min="8" max="8" width="14.7109375" style="654" bestFit="1" customWidth="1"/>
    <col min="9" max="9" width="31.28125" style="654" customWidth="1"/>
    <col min="10" max="10" width="15.140625" style="654" customWidth="1"/>
    <col min="11" max="11" width="9.28125" style="654" customWidth="1"/>
    <col min="12" max="12" width="12.57421875" style="654" customWidth="1"/>
    <col min="13" max="13" width="14.7109375" style="654" bestFit="1" customWidth="1"/>
    <col min="14" max="14" width="14.57421875" style="654" bestFit="1" customWidth="1"/>
    <col min="15" max="15" width="14.7109375" style="654" customWidth="1"/>
    <col min="16" max="16" width="14.140625" style="654" customWidth="1"/>
    <col min="17" max="16384" width="11.7109375" style="654" customWidth="1"/>
  </cols>
  <sheetData>
    <row r="1" spans="1:16" s="653" customFormat="1" ht="12.75" customHeight="1">
      <c r="A1" s="1937"/>
      <c r="B1" s="1937"/>
      <c r="C1" s="1937"/>
      <c r="D1" s="1937"/>
      <c r="I1" s="1938" t="s">
        <v>436</v>
      </c>
      <c r="J1" s="1938"/>
      <c r="K1" s="1938"/>
      <c r="L1" s="1938"/>
      <c r="M1" s="1938"/>
      <c r="N1" s="1938"/>
      <c r="O1" s="1938"/>
      <c r="P1" s="1938"/>
    </row>
    <row r="2" spans="1:16" ht="12.75" customHeight="1">
      <c r="A2" s="1939" t="s">
        <v>1295</v>
      </c>
      <c r="B2" s="1939"/>
      <c r="C2" s="1939"/>
      <c r="D2" s="1939"/>
      <c r="E2" s="1939"/>
      <c r="F2" s="1939"/>
      <c r="G2" s="1939"/>
      <c r="H2" s="1939"/>
      <c r="I2" s="1939"/>
      <c r="J2" s="1939"/>
      <c r="K2" s="1939"/>
      <c r="L2" s="1939"/>
      <c r="M2" s="1939"/>
      <c r="N2" s="1939"/>
      <c r="O2" s="1939"/>
      <c r="P2" s="1939"/>
    </row>
    <row r="3" spans="1:16" ht="12.75" customHeight="1">
      <c r="A3" s="1818"/>
      <c r="B3" s="1818"/>
      <c r="C3" s="1818"/>
      <c r="D3" s="1818"/>
      <c r="E3" s="1818"/>
      <c r="F3" s="1818"/>
      <c r="G3" s="1939" t="s">
        <v>1296</v>
      </c>
      <c r="H3" s="1939"/>
      <c r="I3" s="1939"/>
      <c r="J3" s="1818"/>
      <c r="K3" s="1818"/>
      <c r="L3" s="1818"/>
      <c r="M3" s="1818"/>
      <c r="N3" s="1818"/>
      <c r="O3" s="1818"/>
      <c r="P3" s="1818" t="s">
        <v>1304</v>
      </c>
    </row>
    <row r="4" spans="1:256" ht="12.75" customHeight="1">
      <c r="A4" s="1940" t="s">
        <v>1152</v>
      </c>
      <c r="B4" s="1940"/>
      <c r="C4" s="1940"/>
      <c r="D4" s="1940"/>
      <c r="E4" s="1940"/>
      <c r="F4" s="1940"/>
      <c r="G4" s="1940"/>
      <c r="H4" s="1940"/>
      <c r="I4" s="1940"/>
      <c r="J4" s="1940"/>
      <c r="K4" s="1940"/>
      <c r="L4" s="1940"/>
      <c r="M4" s="1940"/>
      <c r="N4" s="1940"/>
      <c r="O4" s="1940"/>
      <c r="P4" s="1940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655"/>
      <c r="AQ4" s="655"/>
      <c r="AR4" s="655"/>
      <c r="AS4" s="655"/>
      <c r="AT4" s="655"/>
      <c r="AU4" s="655"/>
      <c r="AV4" s="655"/>
      <c r="AW4" s="655"/>
      <c r="AX4" s="655"/>
      <c r="AY4" s="655"/>
      <c r="AZ4" s="655"/>
      <c r="BA4" s="655"/>
      <c r="BB4" s="655"/>
      <c r="BC4" s="655"/>
      <c r="BD4" s="655"/>
      <c r="BE4" s="655"/>
      <c r="BF4" s="655"/>
      <c r="BG4" s="655"/>
      <c r="BH4" s="655"/>
      <c r="BI4" s="655"/>
      <c r="BJ4" s="655"/>
      <c r="BK4" s="655"/>
      <c r="BL4" s="655"/>
      <c r="BM4" s="655"/>
      <c r="BN4" s="655"/>
      <c r="BO4" s="655"/>
      <c r="BP4" s="655"/>
      <c r="BQ4" s="655"/>
      <c r="BR4" s="655"/>
      <c r="BS4" s="655"/>
      <c r="BT4" s="655"/>
      <c r="BU4" s="655"/>
      <c r="BV4" s="655"/>
      <c r="BW4" s="655"/>
      <c r="BX4" s="655"/>
      <c r="BY4" s="655"/>
      <c r="BZ4" s="655"/>
      <c r="CA4" s="655"/>
      <c r="CB4" s="655"/>
      <c r="CC4" s="655"/>
      <c r="CD4" s="655"/>
      <c r="CE4" s="655"/>
      <c r="CF4" s="655"/>
      <c r="CG4" s="655"/>
      <c r="CH4" s="655"/>
      <c r="CI4" s="655"/>
      <c r="CJ4" s="655"/>
      <c r="CK4" s="655"/>
      <c r="CL4" s="655"/>
      <c r="CM4" s="655"/>
      <c r="CN4" s="655"/>
      <c r="CO4" s="655"/>
      <c r="CP4" s="655"/>
      <c r="CQ4" s="655"/>
      <c r="CR4" s="655"/>
      <c r="CS4" s="655"/>
      <c r="CT4" s="655"/>
      <c r="CU4" s="655"/>
      <c r="CV4" s="655"/>
      <c r="CW4" s="655"/>
      <c r="CX4" s="655"/>
      <c r="CY4" s="655"/>
      <c r="CZ4" s="655"/>
      <c r="DA4" s="655"/>
      <c r="DB4" s="655"/>
      <c r="DC4" s="655"/>
      <c r="DD4" s="655"/>
      <c r="DE4" s="655"/>
      <c r="DF4" s="655"/>
      <c r="DG4" s="655"/>
      <c r="DH4" s="655"/>
      <c r="DI4" s="655"/>
      <c r="DJ4" s="655"/>
      <c r="DK4" s="655"/>
      <c r="DL4" s="655"/>
      <c r="DM4" s="655"/>
      <c r="DN4" s="655"/>
      <c r="DO4" s="655"/>
      <c r="DP4" s="655"/>
      <c r="DQ4" s="655"/>
      <c r="DR4" s="655"/>
      <c r="DS4" s="655"/>
      <c r="DT4" s="655"/>
      <c r="DU4" s="655"/>
      <c r="DV4" s="655"/>
      <c r="DW4" s="655"/>
      <c r="DX4" s="655"/>
      <c r="DY4" s="655"/>
      <c r="DZ4" s="655"/>
      <c r="EA4" s="655"/>
      <c r="EB4" s="655"/>
      <c r="EC4" s="655"/>
      <c r="ED4" s="655"/>
      <c r="EE4" s="655"/>
      <c r="EF4" s="655"/>
      <c r="EG4" s="655"/>
      <c r="EH4" s="655"/>
      <c r="EI4" s="655"/>
      <c r="EJ4" s="655"/>
      <c r="EK4" s="655"/>
      <c r="EL4" s="655"/>
      <c r="EM4" s="655"/>
      <c r="EN4" s="655"/>
      <c r="EO4" s="655"/>
      <c r="EP4" s="655"/>
      <c r="EQ4" s="655"/>
      <c r="ER4" s="655"/>
      <c r="ES4" s="655"/>
      <c r="ET4" s="655"/>
      <c r="EU4" s="655"/>
      <c r="EV4" s="655"/>
      <c r="EW4" s="655"/>
      <c r="EX4" s="655"/>
      <c r="EY4" s="655"/>
      <c r="EZ4" s="655"/>
      <c r="FA4" s="655"/>
      <c r="FB4" s="655"/>
      <c r="FC4" s="655"/>
      <c r="FD4" s="655"/>
      <c r="FE4" s="655"/>
      <c r="FF4" s="655"/>
      <c r="FG4" s="655"/>
      <c r="FH4" s="655"/>
      <c r="FI4" s="655"/>
      <c r="FJ4" s="655"/>
      <c r="FK4" s="655"/>
      <c r="FL4" s="655"/>
      <c r="FM4" s="655"/>
      <c r="FN4" s="655"/>
      <c r="FO4" s="655"/>
      <c r="FP4" s="655"/>
      <c r="FQ4" s="655"/>
      <c r="FR4" s="655"/>
      <c r="FS4" s="655"/>
      <c r="FT4" s="655"/>
      <c r="FU4" s="655"/>
      <c r="FV4" s="655"/>
      <c r="FW4" s="655"/>
      <c r="FX4" s="655"/>
      <c r="FY4" s="655"/>
      <c r="FZ4" s="655"/>
      <c r="GA4" s="655"/>
      <c r="GB4" s="655"/>
      <c r="GC4" s="655"/>
      <c r="GD4" s="655"/>
      <c r="GE4" s="655"/>
      <c r="GF4" s="655"/>
      <c r="GG4" s="655"/>
      <c r="GH4" s="655"/>
      <c r="GI4" s="655"/>
      <c r="GJ4" s="655"/>
      <c r="GK4" s="655"/>
      <c r="GL4" s="655"/>
      <c r="GM4" s="655"/>
      <c r="GN4" s="655"/>
      <c r="GO4" s="655"/>
      <c r="GP4" s="655"/>
      <c r="GQ4" s="655"/>
      <c r="GR4" s="655"/>
      <c r="GS4" s="655"/>
      <c r="GT4" s="655"/>
      <c r="GU4" s="655"/>
      <c r="GV4" s="655"/>
      <c r="GW4" s="655"/>
      <c r="GX4" s="655"/>
      <c r="GY4" s="655"/>
      <c r="GZ4" s="655"/>
      <c r="HA4" s="655"/>
      <c r="HB4" s="655"/>
      <c r="HC4" s="655"/>
      <c r="HD4" s="655"/>
      <c r="HE4" s="655"/>
      <c r="HF4" s="655"/>
      <c r="HG4" s="655"/>
      <c r="HH4" s="655"/>
      <c r="HI4" s="655"/>
      <c r="HJ4" s="655"/>
      <c r="HK4" s="655"/>
      <c r="HL4" s="655"/>
      <c r="HM4" s="655"/>
      <c r="HN4" s="655"/>
      <c r="HO4" s="655"/>
      <c r="HP4" s="655"/>
      <c r="HQ4" s="655"/>
      <c r="HR4" s="655"/>
      <c r="HS4" s="655"/>
      <c r="HT4" s="655"/>
      <c r="HU4" s="655"/>
      <c r="HV4" s="655"/>
      <c r="HW4" s="655"/>
      <c r="HX4" s="655"/>
      <c r="HY4" s="655"/>
      <c r="HZ4" s="655"/>
      <c r="IA4" s="655"/>
      <c r="IB4" s="655"/>
      <c r="IC4" s="655"/>
      <c r="ID4" s="655"/>
      <c r="IE4" s="655"/>
      <c r="IF4" s="655"/>
      <c r="IG4" s="655"/>
      <c r="IH4" s="655"/>
      <c r="II4" s="655"/>
      <c r="IJ4" s="655"/>
      <c r="IK4" s="655"/>
      <c r="IL4" s="655"/>
      <c r="IM4" s="655"/>
      <c r="IN4" s="655"/>
      <c r="IO4" s="655"/>
      <c r="IP4" s="655"/>
      <c r="IQ4" s="655"/>
      <c r="IR4" s="655"/>
      <c r="IS4" s="655"/>
      <c r="IT4" s="655"/>
      <c r="IU4" s="655"/>
      <c r="IV4" s="655"/>
    </row>
    <row r="5" spans="1:256" ht="12.75" customHeight="1">
      <c r="A5" s="656"/>
      <c r="B5" s="656"/>
      <c r="C5" s="656"/>
      <c r="D5" s="656"/>
      <c r="E5" s="655"/>
      <c r="F5" s="655"/>
      <c r="G5" s="655"/>
      <c r="H5" s="655"/>
      <c r="I5" s="656"/>
      <c r="J5" s="656"/>
      <c r="K5" s="656"/>
      <c r="L5" s="656"/>
      <c r="M5" s="656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5"/>
      <c r="AF5" s="655"/>
      <c r="AG5" s="655"/>
      <c r="AH5" s="655"/>
      <c r="AI5" s="655"/>
      <c r="AJ5" s="655"/>
      <c r="AK5" s="655"/>
      <c r="AL5" s="655"/>
      <c r="AM5" s="655"/>
      <c r="AN5" s="655"/>
      <c r="AO5" s="655"/>
      <c r="AP5" s="655"/>
      <c r="AQ5" s="655"/>
      <c r="AR5" s="655"/>
      <c r="AS5" s="655"/>
      <c r="AT5" s="655"/>
      <c r="AU5" s="655"/>
      <c r="AV5" s="655"/>
      <c r="AW5" s="655"/>
      <c r="AX5" s="655"/>
      <c r="AY5" s="655"/>
      <c r="AZ5" s="655"/>
      <c r="BA5" s="655"/>
      <c r="BB5" s="655"/>
      <c r="BC5" s="655"/>
      <c r="BD5" s="655"/>
      <c r="BE5" s="655"/>
      <c r="BF5" s="655"/>
      <c r="BG5" s="655"/>
      <c r="BH5" s="655"/>
      <c r="BI5" s="655"/>
      <c r="BJ5" s="655"/>
      <c r="BK5" s="655"/>
      <c r="BL5" s="655"/>
      <c r="BM5" s="655"/>
      <c r="BN5" s="655"/>
      <c r="BO5" s="655"/>
      <c r="BP5" s="655"/>
      <c r="BQ5" s="655"/>
      <c r="BR5" s="655"/>
      <c r="BS5" s="655"/>
      <c r="BT5" s="655"/>
      <c r="BU5" s="655"/>
      <c r="BV5" s="655"/>
      <c r="BW5" s="655"/>
      <c r="BX5" s="655"/>
      <c r="BY5" s="655"/>
      <c r="BZ5" s="655"/>
      <c r="CA5" s="655"/>
      <c r="CB5" s="655"/>
      <c r="CC5" s="655"/>
      <c r="CD5" s="655"/>
      <c r="CE5" s="655"/>
      <c r="CF5" s="655"/>
      <c r="CG5" s="655"/>
      <c r="CH5" s="655"/>
      <c r="CI5" s="655"/>
      <c r="CJ5" s="655"/>
      <c r="CK5" s="655"/>
      <c r="CL5" s="655"/>
      <c r="CM5" s="655"/>
      <c r="CN5" s="655"/>
      <c r="CO5" s="655"/>
      <c r="CP5" s="655"/>
      <c r="CQ5" s="655"/>
      <c r="CR5" s="655"/>
      <c r="CS5" s="655"/>
      <c r="CT5" s="655"/>
      <c r="CU5" s="655"/>
      <c r="CV5" s="655"/>
      <c r="CW5" s="655"/>
      <c r="CX5" s="655"/>
      <c r="CY5" s="655"/>
      <c r="CZ5" s="655"/>
      <c r="DA5" s="655"/>
      <c r="DB5" s="655"/>
      <c r="DC5" s="655"/>
      <c r="DD5" s="655"/>
      <c r="DE5" s="655"/>
      <c r="DF5" s="655"/>
      <c r="DG5" s="655"/>
      <c r="DH5" s="655"/>
      <c r="DI5" s="655"/>
      <c r="DJ5" s="655"/>
      <c r="DK5" s="655"/>
      <c r="DL5" s="655"/>
      <c r="DM5" s="655"/>
      <c r="DN5" s="655"/>
      <c r="DO5" s="655"/>
      <c r="DP5" s="655"/>
      <c r="DQ5" s="655"/>
      <c r="DR5" s="655"/>
      <c r="DS5" s="655"/>
      <c r="DT5" s="655"/>
      <c r="DU5" s="655"/>
      <c r="DV5" s="655"/>
      <c r="DW5" s="655"/>
      <c r="DX5" s="655"/>
      <c r="DY5" s="655"/>
      <c r="DZ5" s="655"/>
      <c r="EA5" s="655"/>
      <c r="EB5" s="655"/>
      <c r="EC5" s="655"/>
      <c r="ED5" s="655"/>
      <c r="EE5" s="655"/>
      <c r="EF5" s="655"/>
      <c r="EG5" s="655"/>
      <c r="EH5" s="655"/>
      <c r="EI5" s="655"/>
      <c r="EJ5" s="655"/>
      <c r="EK5" s="655"/>
      <c r="EL5" s="655"/>
      <c r="EM5" s="655"/>
      <c r="EN5" s="655"/>
      <c r="EO5" s="655"/>
      <c r="EP5" s="655"/>
      <c r="EQ5" s="655"/>
      <c r="ER5" s="655"/>
      <c r="ES5" s="655"/>
      <c r="ET5" s="655"/>
      <c r="EU5" s="655"/>
      <c r="EV5" s="655"/>
      <c r="EW5" s="655"/>
      <c r="EX5" s="655"/>
      <c r="EY5" s="655"/>
      <c r="EZ5" s="655"/>
      <c r="FA5" s="655"/>
      <c r="FB5" s="655"/>
      <c r="FC5" s="655"/>
      <c r="FD5" s="655"/>
      <c r="FE5" s="655"/>
      <c r="FF5" s="655"/>
      <c r="FG5" s="655"/>
      <c r="FH5" s="655"/>
      <c r="FI5" s="655"/>
      <c r="FJ5" s="655"/>
      <c r="FK5" s="655"/>
      <c r="FL5" s="655"/>
      <c r="FM5" s="655"/>
      <c r="FN5" s="655"/>
      <c r="FO5" s="655"/>
      <c r="FP5" s="655"/>
      <c r="FQ5" s="655"/>
      <c r="FR5" s="655"/>
      <c r="FS5" s="655"/>
      <c r="FT5" s="655"/>
      <c r="FU5" s="655"/>
      <c r="FV5" s="655"/>
      <c r="FW5" s="655"/>
      <c r="FX5" s="655"/>
      <c r="FY5" s="655"/>
      <c r="FZ5" s="655"/>
      <c r="GA5" s="655"/>
      <c r="GB5" s="655"/>
      <c r="GC5" s="655"/>
      <c r="GD5" s="655"/>
      <c r="GE5" s="655"/>
      <c r="GF5" s="655"/>
      <c r="GG5" s="655"/>
      <c r="GH5" s="655"/>
      <c r="GI5" s="655"/>
      <c r="GJ5" s="655"/>
      <c r="GK5" s="655"/>
      <c r="GL5" s="655"/>
      <c r="GM5" s="655"/>
      <c r="GN5" s="655"/>
      <c r="GO5" s="655"/>
      <c r="GP5" s="655"/>
      <c r="GQ5" s="655"/>
      <c r="GR5" s="655"/>
      <c r="GS5" s="655"/>
      <c r="GT5" s="655"/>
      <c r="GU5" s="655"/>
      <c r="GV5" s="655"/>
      <c r="GW5" s="655"/>
      <c r="GX5" s="655"/>
      <c r="GY5" s="655"/>
      <c r="GZ5" s="655"/>
      <c r="HA5" s="655"/>
      <c r="HB5" s="655"/>
      <c r="HC5" s="655"/>
      <c r="HD5" s="655"/>
      <c r="HE5" s="655"/>
      <c r="HF5" s="655"/>
      <c r="HG5" s="655"/>
      <c r="HH5" s="655"/>
      <c r="HI5" s="655"/>
      <c r="HJ5" s="655"/>
      <c r="HK5" s="655"/>
      <c r="HL5" s="655"/>
      <c r="HM5" s="655"/>
      <c r="HN5" s="655"/>
      <c r="HO5" s="655"/>
      <c r="HP5" s="655"/>
      <c r="HQ5" s="655"/>
      <c r="HR5" s="655"/>
      <c r="HS5" s="655"/>
      <c r="HT5" s="655"/>
      <c r="HU5" s="655"/>
      <c r="HV5" s="655"/>
      <c r="HW5" s="655"/>
      <c r="HX5" s="655"/>
      <c r="HY5" s="655"/>
      <c r="HZ5" s="655"/>
      <c r="IA5" s="655"/>
      <c r="IB5" s="655"/>
      <c r="IC5" s="655"/>
      <c r="ID5" s="655"/>
      <c r="IE5" s="655"/>
      <c r="IF5" s="655"/>
      <c r="IG5" s="655"/>
      <c r="IH5" s="655"/>
      <c r="II5" s="655"/>
      <c r="IJ5" s="655"/>
      <c r="IK5" s="655"/>
      <c r="IL5" s="655"/>
      <c r="IM5" s="655"/>
      <c r="IN5" s="655"/>
      <c r="IO5" s="655"/>
      <c r="IP5" s="655"/>
      <c r="IQ5" s="655"/>
      <c r="IR5" s="655"/>
      <c r="IS5" s="655"/>
      <c r="IT5" s="655"/>
      <c r="IU5" s="655"/>
      <c r="IV5" s="655"/>
    </row>
    <row r="6" spans="1:256" ht="12.75" customHeight="1">
      <c r="A6" s="655"/>
      <c r="B6" s="655"/>
      <c r="C6" s="655"/>
      <c r="D6" s="655"/>
      <c r="E6" s="655"/>
      <c r="F6" s="655"/>
      <c r="G6" s="1941"/>
      <c r="H6" s="1941"/>
      <c r="I6" s="655"/>
      <c r="J6" s="655"/>
      <c r="K6" s="655"/>
      <c r="L6" s="655"/>
      <c r="M6" s="655"/>
      <c r="N6" s="1942" t="s">
        <v>155</v>
      </c>
      <c r="O6" s="1942"/>
      <c r="P6" s="1942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55"/>
      <c r="AJ6" s="655"/>
      <c r="AK6" s="655"/>
      <c r="AL6" s="655"/>
      <c r="AM6" s="655"/>
      <c r="AN6" s="655"/>
      <c r="AO6" s="655"/>
      <c r="AP6" s="655"/>
      <c r="AQ6" s="655"/>
      <c r="AR6" s="655"/>
      <c r="AS6" s="655"/>
      <c r="AT6" s="655"/>
      <c r="AU6" s="655"/>
      <c r="AV6" s="655"/>
      <c r="AW6" s="655"/>
      <c r="AX6" s="655"/>
      <c r="AY6" s="655"/>
      <c r="AZ6" s="655"/>
      <c r="BA6" s="655"/>
      <c r="BB6" s="655"/>
      <c r="BC6" s="655"/>
      <c r="BD6" s="655"/>
      <c r="BE6" s="655"/>
      <c r="BF6" s="655"/>
      <c r="BG6" s="655"/>
      <c r="BH6" s="655"/>
      <c r="BI6" s="655"/>
      <c r="BJ6" s="655"/>
      <c r="BK6" s="655"/>
      <c r="BL6" s="655"/>
      <c r="BM6" s="655"/>
      <c r="BN6" s="655"/>
      <c r="BO6" s="655"/>
      <c r="BP6" s="655"/>
      <c r="BQ6" s="655"/>
      <c r="BR6" s="655"/>
      <c r="BS6" s="655"/>
      <c r="BT6" s="655"/>
      <c r="BU6" s="655"/>
      <c r="BV6" s="655"/>
      <c r="BW6" s="655"/>
      <c r="BX6" s="655"/>
      <c r="BY6" s="655"/>
      <c r="BZ6" s="655"/>
      <c r="CA6" s="655"/>
      <c r="CB6" s="655"/>
      <c r="CC6" s="655"/>
      <c r="CD6" s="655"/>
      <c r="CE6" s="655"/>
      <c r="CF6" s="655"/>
      <c r="CG6" s="655"/>
      <c r="CH6" s="655"/>
      <c r="CI6" s="655"/>
      <c r="CJ6" s="655"/>
      <c r="CK6" s="655"/>
      <c r="CL6" s="655"/>
      <c r="CM6" s="655"/>
      <c r="CN6" s="655"/>
      <c r="CO6" s="655"/>
      <c r="CP6" s="655"/>
      <c r="CQ6" s="655"/>
      <c r="CR6" s="655"/>
      <c r="CS6" s="655"/>
      <c r="CT6" s="655"/>
      <c r="CU6" s="655"/>
      <c r="CV6" s="655"/>
      <c r="CW6" s="655"/>
      <c r="CX6" s="655"/>
      <c r="CY6" s="655"/>
      <c r="CZ6" s="655"/>
      <c r="DA6" s="655"/>
      <c r="DB6" s="655"/>
      <c r="DC6" s="655"/>
      <c r="DD6" s="655"/>
      <c r="DE6" s="655"/>
      <c r="DF6" s="655"/>
      <c r="DG6" s="655"/>
      <c r="DH6" s="655"/>
      <c r="DI6" s="655"/>
      <c r="DJ6" s="655"/>
      <c r="DK6" s="655"/>
      <c r="DL6" s="655"/>
      <c r="DM6" s="655"/>
      <c r="DN6" s="655"/>
      <c r="DO6" s="655"/>
      <c r="DP6" s="655"/>
      <c r="DQ6" s="655"/>
      <c r="DR6" s="655"/>
      <c r="DS6" s="655"/>
      <c r="DT6" s="655"/>
      <c r="DU6" s="655"/>
      <c r="DV6" s="655"/>
      <c r="DW6" s="655"/>
      <c r="DX6" s="655"/>
      <c r="DY6" s="655"/>
      <c r="DZ6" s="655"/>
      <c r="EA6" s="655"/>
      <c r="EB6" s="655"/>
      <c r="EC6" s="655"/>
      <c r="ED6" s="655"/>
      <c r="EE6" s="655"/>
      <c r="EF6" s="655"/>
      <c r="EG6" s="655"/>
      <c r="EH6" s="655"/>
      <c r="EI6" s="655"/>
      <c r="EJ6" s="655"/>
      <c r="EK6" s="655"/>
      <c r="EL6" s="655"/>
      <c r="EM6" s="655"/>
      <c r="EN6" s="655"/>
      <c r="EO6" s="655"/>
      <c r="EP6" s="655"/>
      <c r="EQ6" s="655"/>
      <c r="ER6" s="655"/>
      <c r="ES6" s="655"/>
      <c r="ET6" s="655"/>
      <c r="EU6" s="655"/>
      <c r="EV6" s="655"/>
      <c r="EW6" s="655"/>
      <c r="EX6" s="655"/>
      <c r="EY6" s="655"/>
      <c r="EZ6" s="655"/>
      <c r="FA6" s="655"/>
      <c r="FB6" s="655"/>
      <c r="FC6" s="655"/>
      <c r="FD6" s="655"/>
      <c r="FE6" s="655"/>
      <c r="FF6" s="655"/>
      <c r="FG6" s="655"/>
      <c r="FH6" s="655"/>
      <c r="FI6" s="655"/>
      <c r="FJ6" s="655"/>
      <c r="FK6" s="655"/>
      <c r="FL6" s="655"/>
      <c r="FM6" s="655"/>
      <c r="FN6" s="655"/>
      <c r="FO6" s="655"/>
      <c r="FP6" s="655"/>
      <c r="FQ6" s="655"/>
      <c r="FR6" s="655"/>
      <c r="FS6" s="655"/>
      <c r="FT6" s="655"/>
      <c r="FU6" s="655"/>
      <c r="FV6" s="655"/>
      <c r="FW6" s="655"/>
      <c r="FX6" s="655"/>
      <c r="FY6" s="655"/>
      <c r="FZ6" s="655"/>
      <c r="GA6" s="655"/>
      <c r="GB6" s="655"/>
      <c r="GC6" s="655"/>
      <c r="GD6" s="655"/>
      <c r="GE6" s="655"/>
      <c r="GF6" s="655"/>
      <c r="GG6" s="655"/>
      <c r="GH6" s="655"/>
      <c r="GI6" s="655"/>
      <c r="GJ6" s="655"/>
      <c r="GK6" s="655"/>
      <c r="GL6" s="655"/>
      <c r="GM6" s="655"/>
      <c r="GN6" s="655"/>
      <c r="GO6" s="655"/>
      <c r="GP6" s="655"/>
      <c r="GQ6" s="655"/>
      <c r="GR6" s="655"/>
      <c r="GS6" s="655"/>
      <c r="GT6" s="655"/>
      <c r="GU6" s="655"/>
      <c r="GV6" s="655"/>
      <c r="GW6" s="655"/>
      <c r="GX6" s="655"/>
      <c r="GY6" s="655"/>
      <c r="GZ6" s="655"/>
      <c r="HA6" s="655"/>
      <c r="HB6" s="655"/>
      <c r="HC6" s="655"/>
      <c r="HD6" s="655"/>
      <c r="HE6" s="655"/>
      <c r="HF6" s="655"/>
      <c r="HG6" s="655"/>
      <c r="HH6" s="655"/>
      <c r="HI6" s="655"/>
      <c r="HJ6" s="655"/>
      <c r="HK6" s="655"/>
      <c r="HL6" s="655"/>
      <c r="HM6" s="655"/>
      <c r="HN6" s="655"/>
      <c r="HO6" s="655"/>
      <c r="HP6" s="655"/>
      <c r="HQ6" s="655"/>
      <c r="HR6" s="655"/>
      <c r="HS6" s="655"/>
      <c r="HT6" s="655"/>
      <c r="HU6" s="655"/>
      <c r="HV6" s="655"/>
      <c r="HW6" s="655"/>
      <c r="HX6" s="655"/>
      <c r="HY6" s="655"/>
      <c r="HZ6" s="655"/>
      <c r="IA6" s="655"/>
      <c r="IB6" s="655"/>
      <c r="IC6" s="655"/>
      <c r="ID6" s="655"/>
      <c r="IE6" s="655"/>
      <c r="IF6" s="655"/>
      <c r="IG6" s="655"/>
      <c r="IH6" s="655"/>
      <c r="II6" s="655"/>
      <c r="IJ6" s="655"/>
      <c r="IK6" s="655"/>
      <c r="IL6" s="655"/>
      <c r="IM6" s="655"/>
      <c r="IN6" s="655"/>
      <c r="IO6" s="655"/>
      <c r="IP6" s="655"/>
      <c r="IQ6" s="655"/>
      <c r="IR6" s="655"/>
      <c r="IS6" s="655"/>
      <c r="IT6" s="655"/>
      <c r="IU6" s="655"/>
      <c r="IV6" s="655"/>
    </row>
    <row r="7" spans="1:256" ht="12.75" customHeight="1">
      <c r="A7" s="657" t="s">
        <v>437</v>
      </c>
      <c r="B7" s="658" t="s">
        <v>438</v>
      </c>
      <c r="C7" s="658" t="s">
        <v>439</v>
      </c>
      <c r="D7" s="658" t="s">
        <v>440</v>
      </c>
      <c r="E7" s="658" t="s">
        <v>441</v>
      </c>
      <c r="F7" s="1742" t="s">
        <v>442</v>
      </c>
      <c r="G7" s="658" t="s">
        <v>443</v>
      </c>
      <c r="H7" s="659" t="s">
        <v>444</v>
      </c>
      <c r="I7" s="657" t="s">
        <v>78</v>
      </c>
      <c r="J7" s="658" t="s">
        <v>438</v>
      </c>
      <c r="K7" s="658" t="s">
        <v>439</v>
      </c>
      <c r="L7" s="658" t="s">
        <v>440</v>
      </c>
      <c r="M7" s="658" t="s">
        <v>441</v>
      </c>
      <c r="N7" s="1742" t="s">
        <v>442</v>
      </c>
      <c r="O7" s="658" t="s">
        <v>443</v>
      </c>
      <c r="P7" s="659" t="s">
        <v>25</v>
      </c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5"/>
      <c r="AK7" s="655"/>
      <c r="AL7" s="655"/>
      <c r="AM7" s="655"/>
      <c r="AN7" s="655"/>
      <c r="AO7" s="655"/>
      <c r="AP7" s="655"/>
      <c r="AQ7" s="655"/>
      <c r="AR7" s="655"/>
      <c r="AS7" s="655"/>
      <c r="AT7" s="655"/>
      <c r="AU7" s="655"/>
      <c r="AV7" s="655"/>
      <c r="AW7" s="655"/>
      <c r="AX7" s="655"/>
      <c r="AY7" s="655"/>
      <c r="AZ7" s="655"/>
      <c r="BA7" s="655"/>
      <c r="BB7" s="655"/>
      <c r="BC7" s="655"/>
      <c r="BD7" s="655"/>
      <c r="BE7" s="655"/>
      <c r="BF7" s="655"/>
      <c r="BG7" s="655"/>
      <c r="BH7" s="655"/>
      <c r="BI7" s="655"/>
      <c r="BJ7" s="655"/>
      <c r="BK7" s="655"/>
      <c r="BL7" s="655"/>
      <c r="BM7" s="655"/>
      <c r="BN7" s="655"/>
      <c r="BO7" s="655"/>
      <c r="BP7" s="655"/>
      <c r="BQ7" s="655"/>
      <c r="BR7" s="655"/>
      <c r="BS7" s="655"/>
      <c r="BT7" s="655"/>
      <c r="BU7" s="655"/>
      <c r="BV7" s="655"/>
      <c r="BW7" s="655"/>
      <c r="BX7" s="655"/>
      <c r="BY7" s="655"/>
      <c r="BZ7" s="655"/>
      <c r="CA7" s="655"/>
      <c r="CB7" s="655"/>
      <c r="CC7" s="655"/>
      <c r="CD7" s="655"/>
      <c r="CE7" s="655"/>
      <c r="CF7" s="655"/>
      <c r="CG7" s="655"/>
      <c r="CH7" s="655"/>
      <c r="CI7" s="655"/>
      <c r="CJ7" s="655"/>
      <c r="CK7" s="655"/>
      <c r="CL7" s="655"/>
      <c r="CM7" s="655"/>
      <c r="CN7" s="655"/>
      <c r="CO7" s="655"/>
      <c r="CP7" s="655"/>
      <c r="CQ7" s="655"/>
      <c r="CR7" s="655"/>
      <c r="CS7" s="655"/>
      <c r="CT7" s="655"/>
      <c r="CU7" s="655"/>
      <c r="CV7" s="655"/>
      <c r="CW7" s="655"/>
      <c r="CX7" s="655"/>
      <c r="CY7" s="655"/>
      <c r="CZ7" s="655"/>
      <c r="DA7" s="655"/>
      <c r="DB7" s="655"/>
      <c r="DC7" s="655"/>
      <c r="DD7" s="655"/>
      <c r="DE7" s="655"/>
      <c r="DF7" s="655"/>
      <c r="DG7" s="655"/>
      <c r="DH7" s="655"/>
      <c r="DI7" s="655"/>
      <c r="DJ7" s="655"/>
      <c r="DK7" s="655"/>
      <c r="DL7" s="655"/>
      <c r="DM7" s="655"/>
      <c r="DN7" s="655"/>
      <c r="DO7" s="655"/>
      <c r="DP7" s="655"/>
      <c r="DQ7" s="655"/>
      <c r="DR7" s="655"/>
      <c r="DS7" s="655"/>
      <c r="DT7" s="655"/>
      <c r="DU7" s="655"/>
      <c r="DV7" s="655"/>
      <c r="DW7" s="655"/>
      <c r="DX7" s="655"/>
      <c r="DY7" s="655"/>
      <c r="DZ7" s="655"/>
      <c r="EA7" s="655"/>
      <c r="EB7" s="655"/>
      <c r="EC7" s="655"/>
      <c r="ED7" s="655"/>
      <c r="EE7" s="655"/>
      <c r="EF7" s="655"/>
      <c r="EG7" s="655"/>
      <c r="EH7" s="655"/>
      <c r="EI7" s="655"/>
      <c r="EJ7" s="655"/>
      <c r="EK7" s="655"/>
      <c r="EL7" s="655"/>
      <c r="EM7" s="655"/>
      <c r="EN7" s="655"/>
      <c r="EO7" s="655"/>
      <c r="EP7" s="655"/>
      <c r="EQ7" s="655"/>
      <c r="ER7" s="655"/>
      <c r="ES7" s="655"/>
      <c r="ET7" s="655"/>
      <c r="EU7" s="655"/>
      <c r="EV7" s="655"/>
      <c r="EW7" s="655"/>
      <c r="EX7" s="655"/>
      <c r="EY7" s="655"/>
      <c r="EZ7" s="655"/>
      <c r="FA7" s="655"/>
      <c r="FB7" s="655"/>
      <c r="FC7" s="655"/>
      <c r="FD7" s="655"/>
      <c r="FE7" s="655"/>
      <c r="FF7" s="655"/>
      <c r="FG7" s="655"/>
      <c r="FH7" s="655"/>
      <c r="FI7" s="655"/>
      <c r="FJ7" s="655"/>
      <c r="FK7" s="655"/>
      <c r="FL7" s="655"/>
      <c r="FM7" s="655"/>
      <c r="FN7" s="655"/>
      <c r="FO7" s="655"/>
      <c r="FP7" s="655"/>
      <c r="FQ7" s="655"/>
      <c r="FR7" s="655"/>
      <c r="FS7" s="655"/>
      <c r="FT7" s="655"/>
      <c r="FU7" s="655"/>
      <c r="FV7" s="655"/>
      <c r="FW7" s="655"/>
      <c r="FX7" s="655"/>
      <c r="FY7" s="655"/>
      <c r="FZ7" s="655"/>
      <c r="GA7" s="655"/>
      <c r="GB7" s="655"/>
      <c r="GC7" s="655"/>
      <c r="GD7" s="655"/>
      <c r="GE7" s="655"/>
      <c r="GF7" s="655"/>
      <c r="GG7" s="655"/>
      <c r="GH7" s="655"/>
      <c r="GI7" s="655"/>
      <c r="GJ7" s="655"/>
      <c r="GK7" s="655"/>
      <c r="GL7" s="655"/>
      <c r="GM7" s="655"/>
      <c r="GN7" s="655"/>
      <c r="GO7" s="655"/>
      <c r="GP7" s="655"/>
      <c r="GQ7" s="655"/>
      <c r="GR7" s="655"/>
      <c r="GS7" s="655"/>
      <c r="GT7" s="655"/>
      <c r="GU7" s="655"/>
      <c r="GV7" s="655"/>
      <c r="GW7" s="655"/>
      <c r="GX7" s="655"/>
      <c r="GY7" s="655"/>
      <c r="GZ7" s="655"/>
      <c r="HA7" s="655"/>
      <c r="HB7" s="655"/>
      <c r="HC7" s="655"/>
      <c r="HD7" s="655"/>
      <c r="HE7" s="655"/>
      <c r="HF7" s="655"/>
      <c r="HG7" s="655"/>
      <c r="HH7" s="655"/>
      <c r="HI7" s="655"/>
      <c r="HJ7" s="655"/>
      <c r="HK7" s="655"/>
      <c r="HL7" s="655"/>
      <c r="HM7" s="655"/>
      <c r="HN7" s="655"/>
      <c r="HO7" s="655"/>
      <c r="HP7" s="655"/>
      <c r="HQ7" s="655"/>
      <c r="HR7" s="655"/>
      <c r="HS7" s="655"/>
      <c r="HT7" s="655"/>
      <c r="HU7" s="655"/>
      <c r="HV7" s="655"/>
      <c r="HW7" s="655"/>
      <c r="HX7" s="655"/>
      <c r="HY7" s="655"/>
      <c r="HZ7" s="655"/>
      <c r="IA7" s="655"/>
      <c r="IB7" s="655"/>
      <c r="IC7" s="655"/>
      <c r="ID7" s="655"/>
      <c r="IE7" s="655"/>
      <c r="IF7" s="655"/>
      <c r="IG7" s="655"/>
      <c r="IH7" s="655"/>
      <c r="II7" s="655"/>
      <c r="IJ7" s="655"/>
      <c r="IK7" s="655"/>
      <c r="IL7" s="655"/>
      <c r="IM7" s="655"/>
      <c r="IN7" s="655"/>
      <c r="IO7" s="655"/>
      <c r="IP7" s="655"/>
      <c r="IQ7" s="655"/>
      <c r="IR7" s="655"/>
      <c r="IS7" s="655"/>
      <c r="IT7" s="655"/>
      <c r="IU7" s="655"/>
      <c r="IV7" s="655"/>
    </row>
    <row r="8" spans="1:256" ht="26.25" customHeight="1">
      <c r="A8" s="660" t="s">
        <v>445</v>
      </c>
      <c r="B8" s="664">
        <v>28701043</v>
      </c>
      <c r="C8" s="664">
        <v>966000</v>
      </c>
      <c r="D8" s="667">
        <v>77374506</v>
      </c>
      <c r="E8" s="667">
        <v>93761720</v>
      </c>
      <c r="F8" s="667">
        <v>13184023</v>
      </c>
      <c r="G8" s="667">
        <v>49672804</v>
      </c>
      <c r="H8" s="667">
        <f aca="true" t="shared" si="0" ref="H8:H18">SUM(B8:G8)</f>
        <v>263660096</v>
      </c>
      <c r="I8" s="660" t="s">
        <v>165</v>
      </c>
      <c r="J8" s="661">
        <v>243567370</v>
      </c>
      <c r="K8" s="661">
        <v>1135056</v>
      </c>
      <c r="L8" s="661">
        <v>0</v>
      </c>
      <c r="M8" s="662">
        <v>35340</v>
      </c>
      <c r="N8" s="662">
        <v>0</v>
      </c>
      <c r="O8" s="661">
        <v>1387847</v>
      </c>
      <c r="P8" s="663">
        <f aca="true" t="shared" si="1" ref="P8:P18">SUM(J8:O8)</f>
        <v>246125613</v>
      </c>
      <c r="Q8" s="655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5"/>
      <c r="AE8" s="655"/>
      <c r="AF8" s="655"/>
      <c r="AG8" s="655"/>
      <c r="AH8" s="655"/>
      <c r="AI8" s="655"/>
      <c r="AJ8" s="655"/>
      <c r="AK8" s="655"/>
      <c r="AL8" s="655"/>
      <c r="AM8" s="655"/>
      <c r="AN8" s="655"/>
      <c r="AO8" s="655"/>
      <c r="AP8" s="655"/>
      <c r="AQ8" s="655"/>
      <c r="AR8" s="655"/>
      <c r="AS8" s="655"/>
      <c r="AT8" s="655"/>
      <c r="AU8" s="655"/>
      <c r="AV8" s="655"/>
      <c r="AW8" s="655"/>
      <c r="AX8" s="655"/>
      <c r="AY8" s="655"/>
      <c r="AZ8" s="655"/>
      <c r="BA8" s="655"/>
      <c r="BB8" s="655"/>
      <c r="BC8" s="655"/>
      <c r="BD8" s="655"/>
      <c r="BE8" s="655"/>
      <c r="BF8" s="655"/>
      <c r="BG8" s="655"/>
      <c r="BH8" s="655"/>
      <c r="BI8" s="655"/>
      <c r="BJ8" s="655"/>
      <c r="BK8" s="655"/>
      <c r="BL8" s="655"/>
      <c r="BM8" s="655"/>
      <c r="BN8" s="655"/>
      <c r="BO8" s="655"/>
      <c r="BP8" s="655"/>
      <c r="BQ8" s="655"/>
      <c r="BR8" s="655"/>
      <c r="BS8" s="655"/>
      <c r="BT8" s="655"/>
      <c r="BU8" s="655"/>
      <c r="BV8" s="655"/>
      <c r="BW8" s="655"/>
      <c r="BX8" s="655"/>
      <c r="BY8" s="655"/>
      <c r="BZ8" s="655"/>
      <c r="CA8" s="655"/>
      <c r="CB8" s="655"/>
      <c r="CC8" s="655"/>
      <c r="CD8" s="655"/>
      <c r="CE8" s="655"/>
      <c r="CF8" s="655"/>
      <c r="CG8" s="655"/>
      <c r="CH8" s="655"/>
      <c r="CI8" s="655"/>
      <c r="CJ8" s="655"/>
      <c r="CK8" s="655"/>
      <c r="CL8" s="655"/>
      <c r="CM8" s="655"/>
      <c r="CN8" s="655"/>
      <c r="CO8" s="655"/>
      <c r="CP8" s="655"/>
      <c r="CQ8" s="655"/>
      <c r="CR8" s="655"/>
      <c r="CS8" s="655"/>
      <c r="CT8" s="655"/>
      <c r="CU8" s="655"/>
      <c r="CV8" s="655"/>
      <c r="CW8" s="655"/>
      <c r="CX8" s="655"/>
      <c r="CY8" s="655"/>
      <c r="CZ8" s="655"/>
      <c r="DA8" s="655"/>
      <c r="DB8" s="655"/>
      <c r="DC8" s="655"/>
      <c r="DD8" s="655"/>
      <c r="DE8" s="655"/>
      <c r="DF8" s="655"/>
      <c r="DG8" s="655"/>
      <c r="DH8" s="655"/>
      <c r="DI8" s="655"/>
      <c r="DJ8" s="655"/>
      <c r="DK8" s="655"/>
      <c r="DL8" s="655"/>
      <c r="DM8" s="655"/>
      <c r="DN8" s="655"/>
      <c r="DO8" s="655"/>
      <c r="DP8" s="655"/>
      <c r="DQ8" s="655"/>
      <c r="DR8" s="655"/>
      <c r="DS8" s="655"/>
      <c r="DT8" s="655"/>
      <c r="DU8" s="655"/>
      <c r="DV8" s="655"/>
      <c r="DW8" s="655"/>
      <c r="DX8" s="655"/>
      <c r="DY8" s="655"/>
      <c r="DZ8" s="655"/>
      <c r="EA8" s="655"/>
      <c r="EB8" s="655"/>
      <c r="EC8" s="655"/>
      <c r="ED8" s="655"/>
      <c r="EE8" s="655"/>
      <c r="EF8" s="655"/>
      <c r="EG8" s="655"/>
      <c r="EH8" s="655"/>
      <c r="EI8" s="655"/>
      <c r="EJ8" s="655"/>
      <c r="EK8" s="655"/>
      <c r="EL8" s="655"/>
      <c r="EM8" s="655"/>
      <c r="EN8" s="655"/>
      <c r="EO8" s="655"/>
      <c r="EP8" s="655"/>
      <c r="EQ8" s="655"/>
      <c r="ER8" s="655"/>
      <c r="ES8" s="655"/>
      <c r="ET8" s="655"/>
      <c r="EU8" s="655"/>
      <c r="EV8" s="655"/>
      <c r="EW8" s="655"/>
      <c r="EX8" s="655"/>
      <c r="EY8" s="655"/>
      <c r="EZ8" s="655"/>
      <c r="FA8" s="655"/>
      <c r="FB8" s="655"/>
      <c r="FC8" s="655"/>
      <c r="FD8" s="655"/>
      <c r="FE8" s="655"/>
      <c r="FF8" s="655"/>
      <c r="FG8" s="655"/>
      <c r="FH8" s="655"/>
      <c r="FI8" s="655"/>
      <c r="FJ8" s="655"/>
      <c r="FK8" s="655"/>
      <c r="FL8" s="655"/>
      <c r="FM8" s="655"/>
      <c r="FN8" s="655"/>
      <c r="FO8" s="655"/>
      <c r="FP8" s="655"/>
      <c r="FQ8" s="655"/>
      <c r="FR8" s="655"/>
      <c r="FS8" s="655"/>
      <c r="FT8" s="655"/>
      <c r="FU8" s="655"/>
      <c r="FV8" s="655"/>
      <c r="FW8" s="655"/>
      <c r="FX8" s="655"/>
      <c r="FY8" s="655"/>
      <c r="FZ8" s="655"/>
      <c r="GA8" s="655"/>
      <c r="GB8" s="655"/>
      <c r="GC8" s="655"/>
      <c r="GD8" s="655"/>
      <c r="GE8" s="655"/>
      <c r="GF8" s="655"/>
      <c r="GG8" s="655"/>
      <c r="GH8" s="655"/>
      <c r="GI8" s="655"/>
      <c r="GJ8" s="655"/>
      <c r="GK8" s="655"/>
      <c r="GL8" s="655"/>
      <c r="GM8" s="655"/>
      <c r="GN8" s="655"/>
      <c r="GO8" s="655"/>
      <c r="GP8" s="655"/>
      <c r="GQ8" s="655"/>
      <c r="GR8" s="655"/>
      <c r="GS8" s="655"/>
      <c r="GT8" s="655"/>
      <c r="GU8" s="655"/>
      <c r="GV8" s="655"/>
      <c r="GW8" s="655"/>
      <c r="GX8" s="655"/>
      <c r="GY8" s="655"/>
      <c r="GZ8" s="655"/>
      <c r="HA8" s="655"/>
      <c r="HB8" s="655"/>
      <c r="HC8" s="655"/>
      <c r="HD8" s="655"/>
      <c r="HE8" s="655"/>
      <c r="HF8" s="655"/>
      <c r="HG8" s="655"/>
      <c r="HH8" s="655"/>
      <c r="HI8" s="655"/>
      <c r="HJ8" s="655"/>
      <c r="HK8" s="655"/>
      <c r="HL8" s="655"/>
      <c r="HM8" s="655"/>
      <c r="HN8" s="655"/>
      <c r="HO8" s="655"/>
      <c r="HP8" s="655"/>
      <c r="HQ8" s="655"/>
      <c r="HR8" s="655"/>
      <c r="HS8" s="655"/>
      <c r="HT8" s="655"/>
      <c r="HU8" s="655"/>
      <c r="HV8" s="655"/>
      <c r="HW8" s="655"/>
      <c r="HX8" s="655"/>
      <c r="HY8" s="655"/>
      <c r="HZ8" s="655"/>
      <c r="IA8" s="655"/>
      <c r="IB8" s="655"/>
      <c r="IC8" s="655"/>
      <c r="ID8" s="655"/>
      <c r="IE8" s="655"/>
      <c r="IF8" s="655"/>
      <c r="IG8" s="655"/>
      <c r="IH8" s="655"/>
      <c r="II8" s="655"/>
      <c r="IJ8" s="655"/>
      <c r="IK8" s="655"/>
      <c r="IL8" s="655"/>
      <c r="IM8" s="655"/>
      <c r="IN8" s="655"/>
      <c r="IO8" s="655"/>
      <c r="IP8" s="655"/>
      <c r="IQ8" s="655"/>
      <c r="IR8" s="655"/>
      <c r="IS8" s="655"/>
      <c r="IT8" s="655"/>
      <c r="IU8" s="655"/>
      <c r="IV8" s="655"/>
    </row>
    <row r="9" spans="1:256" ht="21.75" customHeight="1">
      <c r="A9" s="660" t="s">
        <v>614</v>
      </c>
      <c r="B9" s="664">
        <v>4969100</v>
      </c>
      <c r="C9" s="664">
        <v>169056</v>
      </c>
      <c r="D9" s="667">
        <v>12886293</v>
      </c>
      <c r="E9" s="667">
        <v>16813771</v>
      </c>
      <c r="F9" s="667">
        <v>2234109</v>
      </c>
      <c r="G9" s="667">
        <v>8744396</v>
      </c>
      <c r="H9" s="667">
        <f t="shared" si="0"/>
        <v>45816725</v>
      </c>
      <c r="I9" s="660" t="s">
        <v>450</v>
      </c>
      <c r="J9" s="661"/>
      <c r="K9" s="661"/>
      <c r="L9" s="661">
        <v>75719241</v>
      </c>
      <c r="M9" s="662">
        <v>102743125</v>
      </c>
      <c r="N9" s="662">
        <v>6558776</v>
      </c>
      <c r="O9" s="661">
        <v>24018300</v>
      </c>
      <c r="P9" s="663">
        <f t="shared" si="1"/>
        <v>209039442</v>
      </c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655"/>
      <c r="AD9" s="655"/>
      <c r="AE9" s="655"/>
      <c r="AF9" s="655"/>
      <c r="AG9" s="655"/>
      <c r="AH9" s="655"/>
      <c r="AI9" s="655"/>
      <c r="AJ9" s="655"/>
      <c r="AK9" s="655"/>
      <c r="AL9" s="655"/>
      <c r="AM9" s="655"/>
      <c r="AN9" s="655"/>
      <c r="AO9" s="655"/>
      <c r="AP9" s="655"/>
      <c r="AQ9" s="655"/>
      <c r="AR9" s="655"/>
      <c r="AS9" s="655"/>
      <c r="AT9" s="655"/>
      <c r="AU9" s="655"/>
      <c r="AV9" s="655"/>
      <c r="AW9" s="655"/>
      <c r="AX9" s="655"/>
      <c r="AY9" s="655"/>
      <c r="AZ9" s="655"/>
      <c r="BA9" s="655"/>
      <c r="BB9" s="655"/>
      <c r="BC9" s="655"/>
      <c r="BD9" s="655"/>
      <c r="BE9" s="655"/>
      <c r="BF9" s="655"/>
      <c r="BG9" s="655"/>
      <c r="BH9" s="655"/>
      <c r="BI9" s="655"/>
      <c r="BJ9" s="655"/>
      <c r="BK9" s="655"/>
      <c r="BL9" s="655"/>
      <c r="BM9" s="655"/>
      <c r="BN9" s="655"/>
      <c r="BO9" s="655"/>
      <c r="BP9" s="655"/>
      <c r="BQ9" s="655"/>
      <c r="BR9" s="655"/>
      <c r="BS9" s="655"/>
      <c r="BT9" s="655"/>
      <c r="BU9" s="655"/>
      <c r="BV9" s="655"/>
      <c r="BW9" s="655"/>
      <c r="BX9" s="655"/>
      <c r="BY9" s="655"/>
      <c r="BZ9" s="655"/>
      <c r="CA9" s="655"/>
      <c r="CB9" s="655"/>
      <c r="CC9" s="655"/>
      <c r="CD9" s="655"/>
      <c r="CE9" s="655"/>
      <c r="CF9" s="655"/>
      <c r="CG9" s="655"/>
      <c r="CH9" s="655"/>
      <c r="CI9" s="655"/>
      <c r="CJ9" s="655"/>
      <c r="CK9" s="655"/>
      <c r="CL9" s="655"/>
      <c r="CM9" s="655"/>
      <c r="CN9" s="655"/>
      <c r="CO9" s="655"/>
      <c r="CP9" s="655"/>
      <c r="CQ9" s="655"/>
      <c r="CR9" s="655"/>
      <c r="CS9" s="655"/>
      <c r="CT9" s="655"/>
      <c r="CU9" s="655"/>
      <c r="CV9" s="655"/>
      <c r="CW9" s="655"/>
      <c r="CX9" s="655"/>
      <c r="CY9" s="655"/>
      <c r="CZ9" s="655"/>
      <c r="DA9" s="655"/>
      <c r="DB9" s="655"/>
      <c r="DC9" s="655"/>
      <c r="DD9" s="655"/>
      <c r="DE9" s="655"/>
      <c r="DF9" s="655"/>
      <c r="DG9" s="655"/>
      <c r="DH9" s="655"/>
      <c r="DI9" s="655"/>
      <c r="DJ9" s="655"/>
      <c r="DK9" s="655"/>
      <c r="DL9" s="655"/>
      <c r="DM9" s="655"/>
      <c r="DN9" s="655"/>
      <c r="DO9" s="655"/>
      <c r="DP9" s="655"/>
      <c r="DQ9" s="655"/>
      <c r="DR9" s="655"/>
      <c r="DS9" s="655"/>
      <c r="DT9" s="655"/>
      <c r="DU9" s="655"/>
      <c r="DV9" s="655"/>
      <c r="DW9" s="655"/>
      <c r="DX9" s="655"/>
      <c r="DY9" s="655"/>
      <c r="DZ9" s="655"/>
      <c r="EA9" s="655"/>
      <c r="EB9" s="655"/>
      <c r="EC9" s="655"/>
      <c r="ED9" s="655"/>
      <c r="EE9" s="655"/>
      <c r="EF9" s="655"/>
      <c r="EG9" s="655"/>
      <c r="EH9" s="655"/>
      <c r="EI9" s="655"/>
      <c r="EJ9" s="655"/>
      <c r="EK9" s="655"/>
      <c r="EL9" s="655"/>
      <c r="EM9" s="655"/>
      <c r="EN9" s="655"/>
      <c r="EO9" s="655"/>
      <c r="EP9" s="655"/>
      <c r="EQ9" s="655"/>
      <c r="ER9" s="655"/>
      <c r="ES9" s="655"/>
      <c r="ET9" s="655"/>
      <c r="EU9" s="655"/>
      <c r="EV9" s="655"/>
      <c r="EW9" s="655"/>
      <c r="EX9" s="655"/>
      <c r="EY9" s="655"/>
      <c r="EZ9" s="655"/>
      <c r="FA9" s="655"/>
      <c r="FB9" s="655"/>
      <c r="FC9" s="655"/>
      <c r="FD9" s="655"/>
      <c r="FE9" s="655"/>
      <c r="FF9" s="655"/>
      <c r="FG9" s="655"/>
      <c r="FH9" s="655"/>
      <c r="FI9" s="655"/>
      <c r="FJ9" s="655"/>
      <c r="FK9" s="655"/>
      <c r="FL9" s="655"/>
      <c r="FM9" s="655"/>
      <c r="FN9" s="655"/>
      <c r="FO9" s="655"/>
      <c r="FP9" s="655"/>
      <c r="FQ9" s="655"/>
      <c r="FR9" s="655"/>
      <c r="FS9" s="655"/>
      <c r="FT9" s="655"/>
      <c r="FU9" s="655"/>
      <c r="FV9" s="655"/>
      <c r="FW9" s="655"/>
      <c r="FX9" s="655"/>
      <c r="FY9" s="655"/>
      <c r="FZ9" s="655"/>
      <c r="GA9" s="655"/>
      <c r="GB9" s="655"/>
      <c r="GC9" s="655"/>
      <c r="GD9" s="655"/>
      <c r="GE9" s="655"/>
      <c r="GF9" s="655"/>
      <c r="GG9" s="655"/>
      <c r="GH9" s="655"/>
      <c r="GI9" s="655"/>
      <c r="GJ9" s="655"/>
      <c r="GK9" s="655"/>
      <c r="GL9" s="655"/>
      <c r="GM9" s="655"/>
      <c r="GN9" s="655"/>
      <c r="GO9" s="655"/>
      <c r="GP9" s="655"/>
      <c r="GQ9" s="655"/>
      <c r="GR9" s="655"/>
      <c r="GS9" s="655"/>
      <c r="GT9" s="655"/>
      <c r="GU9" s="655"/>
      <c r="GV9" s="655"/>
      <c r="GW9" s="655"/>
      <c r="GX9" s="655"/>
      <c r="GY9" s="655"/>
      <c r="GZ9" s="655"/>
      <c r="HA9" s="655"/>
      <c r="HB9" s="655"/>
      <c r="HC9" s="655"/>
      <c r="HD9" s="655"/>
      <c r="HE9" s="655"/>
      <c r="HF9" s="655"/>
      <c r="HG9" s="655"/>
      <c r="HH9" s="655"/>
      <c r="HI9" s="655"/>
      <c r="HJ9" s="655"/>
      <c r="HK9" s="655"/>
      <c r="HL9" s="655"/>
      <c r="HM9" s="655"/>
      <c r="HN9" s="655"/>
      <c r="HO9" s="655"/>
      <c r="HP9" s="655"/>
      <c r="HQ9" s="655"/>
      <c r="HR9" s="655"/>
      <c r="HS9" s="655"/>
      <c r="HT9" s="655"/>
      <c r="HU9" s="655"/>
      <c r="HV9" s="655"/>
      <c r="HW9" s="655"/>
      <c r="HX9" s="655"/>
      <c r="HY9" s="655"/>
      <c r="HZ9" s="655"/>
      <c r="IA9" s="655"/>
      <c r="IB9" s="655"/>
      <c r="IC9" s="655"/>
      <c r="ID9" s="655"/>
      <c r="IE9" s="655"/>
      <c r="IF9" s="655"/>
      <c r="IG9" s="655"/>
      <c r="IH9" s="655"/>
      <c r="II9" s="655"/>
      <c r="IJ9" s="655"/>
      <c r="IK9" s="655"/>
      <c r="IL9" s="655"/>
      <c r="IM9" s="655"/>
      <c r="IN9" s="655"/>
      <c r="IO9" s="655"/>
      <c r="IP9" s="655"/>
      <c r="IQ9" s="655"/>
      <c r="IR9" s="655"/>
      <c r="IS9" s="655"/>
      <c r="IT9" s="655"/>
      <c r="IU9" s="655"/>
      <c r="IV9" s="655"/>
    </row>
    <row r="10" spans="1:256" ht="16.5" customHeight="1">
      <c r="A10" s="660" t="s">
        <v>447</v>
      </c>
      <c r="B10" s="664">
        <v>142689133</v>
      </c>
      <c r="C10" s="664"/>
      <c r="D10" s="667">
        <v>10409765</v>
      </c>
      <c r="E10" s="667">
        <v>24190317</v>
      </c>
      <c r="F10" s="667">
        <v>8181114</v>
      </c>
      <c r="G10" s="667">
        <v>51119398</v>
      </c>
      <c r="H10" s="667">
        <f t="shared" si="0"/>
        <v>236589727</v>
      </c>
      <c r="I10" s="660" t="s">
        <v>451</v>
      </c>
      <c r="J10" s="664"/>
      <c r="K10" s="661"/>
      <c r="L10" s="661">
        <v>23274725</v>
      </c>
      <c r="M10" s="662">
        <v>29115913</v>
      </c>
      <c r="N10" s="662">
        <v>16068570</v>
      </c>
      <c r="O10" s="661">
        <v>46233605</v>
      </c>
      <c r="P10" s="663">
        <f t="shared" si="1"/>
        <v>114692813</v>
      </c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655"/>
      <c r="AM10" s="655"/>
      <c r="AN10" s="655"/>
      <c r="AO10" s="655"/>
      <c r="AP10" s="655"/>
      <c r="AQ10" s="655"/>
      <c r="AR10" s="655"/>
      <c r="AS10" s="655"/>
      <c r="AT10" s="655"/>
      <c r="AU10" s="655"/>
      <c r="AV10" s="655"/>
      <c r="AW10" s="655"/>
      <c r="AX10" s="655"/>
      <c r="AY10" s="655"/>
      <c r="AZ10" s="655"/>
      <c r="BA10" s="655"/>
      <c r="BB10" s="655"/>
      <c r="BC10" s="655"/>
      <c r="BD10" s="655"/>
      <c r="BE10" s="655"/>
      <c r="BF10" s="655"/>
      <c r="BG10" s="655"/>
      <c r="BH10" s="655"/>
      <c r="BI10" s="655"/>
      <c r="BJ10" s="655"/>
      <c r="BK10" s="655"/>
      <c r="BL10" s="655"/>
      <c r="BM10" s="655"/>
      <c r="BN10" s="655"/>
      <c r="BO10" s="655"/>
      <c r="BP10" s="655"/>
      <c r="BQ10" s="655"/>
      <c r="BR10" s="655"/>
      <c r="BS10" s="655"/>
      <c r="BT10" s="655"/>
      <c r="BU10" s="655"/>
      <c r="BV10" s="655"/>
      <c r="BW10" s="655"/>
      <c r="BX10" s="655"/>
      <c r="BY10" s="655"/>
      <c r="BZ10" s="655"/>
      <c r="CA10" s="655"/>
      <c r="CB10" s="655"/>
      <c r="CC10" s="655"/>
      <c r="CD10" s="655"/>
      <c r="CE10" s="655"/>
      <c r="CF10" s="655"/>
      <c r="CG10" s="655"/>
      <c r="CH10" s="655"/>
      <c r="CI10" s="655"/>
      <c r="CJ10" s="655"/>
      <c r="CK10" s="655"/>
      <c r="CL10" s="655"/>
      <c r="CM10" s="655"/>
      <c r="CN10" s="655"/>
      <c r="CO10" s="655"/>
      <c r="CP10" s="655"/>
      <c r="CQ10" s="655"/>
      <c r="CR10" s="655"/>
      <c r="CS10" s="655"/>
      <c r="CT10" s="655"/>
      <c r="CU10" s="655"/>
      <c r="CV10" s="655"/>
      <c r="CW10" s="655"/>
      <c r="CX10" s="655"/>
      <c r="CY10" s="655"/>
      <c r="CZ10" s="655"/>
      <c r="DA10" s="655"/>
      <c r="DB10" s="655"/>
      <c r="DC10" s="655"/>
      <c r="DD10" s="655"/>
      <c r="DE10" s="655"/>
      <c r="DF10" s="655"/>
      <c r="DG10" s="655"/>
      <c r="DH10" s="655"/>
      <c r="DI10" s="655"/>
      <c r="DJ10" s="655"/>
      <c r="DK10" s="655"/>
      <c r="DL10" s="655"/>
      <c r="DM10" s="655"/>
      <c r="DN10" s="655"/>
      <c r="DO10" s="655"/>
      <c r="DP10" s="655"/>
      <c r="DQ10" s="655"/>
      <c r="DR10" s="655"/>
      <c r="DS10" s="655"/>
      <c r="DT10" s="655"/>
      <c r="DU10" s="655"/>
      <c r="DV10" s="655"/>
      <c r="DW10" s="655"/>
      <c r="DX10" s="655"/>
      <c r="DY10" s="655"/>
      <c r="DZ10" s="655"/>
      <c r="EA10" s="655"/>
      <c r="EB10" s="655"/>
      <c r="EC10" s="655"/>
      <c r="ED10" s="655"/>
      <c r="EE10" s="655"/>
      <c r="EF10" s="655"/>
      <c r="EG10" s="655"/>
      <c r="EH10" s="655"/>
      <c r="EI10" s="655"/>
      <c r="EJ10" s="655"/>
      <c r="EK10" s="655"/>
      <c r="EL10" s="655"/>
      <c r="EM10" s="655"/>
      <c r="EN10" s="655"/>
      <c r="EO10" s="655"/>
      <c r="EP10" s="655"/>
      <c r="EQ10" s="655"/>
      <c r="ER10" s="655"/>
      <c r="ES10" s="655"/>
      <c r="ET10" s="655"/>
      <c r="EU10" s="655"/>
      <c r="EV10" s="655"/>
      <c r="EW10" s="655"/>
      <c r="EX10" s="655"/>
      <c r="EY10" s="655"/>
      <c r="EZ10" s="655"/>
      <c r="FA10" s="655"/>
      <c r="FB10" s="655"/>
      <c r="FC10" s="655"/>
      <c r="FD10" s="655"/>
      <c r="FE10" s="655"/>
      <c r="FF10" s="655"/>
      <c r="FG10" s="655"/>
      <c r="FH10" s="655"/>
      <c r="FI10" s="655"/>
      <c r="FJ10" s="655"/>
      <c r="FK10" s="655"/>
      <c r="FL10" s="655"/>
      <c r="FM10" s="655"/>
      <c r="FN10" s="655"/>
      <c r="FO10" s="655"/>
      <c r="FP10" s="655"/>
      <c r="FQ10" s="655"/>
      <c r="FR10" s="655"/>
      <c r="FS10" s="655"/>
      <c r="FT10" s="655"/>
      <c r="FU10" s="655"/>
      <c r="FV10" s="655"/>
      <c r="FW10" s="655"/>
      <c r="FX10" s="655"/>
      <c r="FY10" s="655"/>
      <c r="FZ10" s="655"/>
      <c r="GA10" s="655"/>
      <c r="GB10" s="655"/>
      <c r="GC10" s="655"/>
      <c r="GD10" s="655"/>
      <c r="GE10" s="655"/>
      <c r="GF10" s="655"/>
      <c r="GG10" s="655"/>
      <c r="GH10" s="655"/>
      <c r="GI10" s="655"/>
      <c r="GJ10" s="655"/>
      <c r="GK10" s="655"/>
      <c r="GL10" s="655"/>
      <c r="GM10" s="655"/>
      <c r="GN10" s="655"/>
      <c r="GO10" s="655"/>
      <c r="GP10" s="655"/>
      <c r="GQ10" s="655"/>
      <c r="GR10" s="655"/>
      <c r="GS10" s="655"/>
      <c r="GT10" s="655"/>
      <c r="GU10" s="655"/>
      <c r="GV10" s="655"/>
      <c r="GW10" s="655"/>
      <c r="GX10" s="655"/>
      <c r="GY10" s="655"/>
      <c r="GZ10" s="655"/>
      <c r="HA10" s="655"/>
      <c r="HB10" s="655"/>
      <c r="HC10" s="655"/>
      <c r="HD10" s="655"/>
      <c r="HE10" s="655"/>
      <c r="HF10" s="655"/>
      <c r="HG10" s="655"/>
      <c r="HH10" s="655"/>
      <c r="HI10" s="655"/>
      <c r="HJ10" s="655"/>
      <c r="HK10" s="655"/>
      <c r="HL10" s="655"/>
      <c r="HM10" s="655"/>
      <c r="HN10" s="655"/>
      <c r="HO10" s="655"/>
      <c r="HP10" s="655"/>
      <c r="HQ10" s="655"/>
      <c r="HR10" s="655"/>
      <c r="HS10" s="655"/>
      <c r="HT10" s="655"/>
      <c r="HU10" s="655"/>
      <c r="HV10" s="655"/>
      <c r="HW10" s="655"/>
      <c r="HX10" s="655"/>
      <c r="HY10" s="655"/>
      <c r="HZ10" s="655"/>
      <c r="IA10" s="655"/>
      <c r="IB10" s="655"/>
      <c r="IC10" s="655"/>
      <c r="ID10" s="655"/>
      <c r="IE10" s="655"/>
      <c r="IF10" s="655"/>
      <c r="IG10" s="655"/>
      <c r="IH10" s="655"/>
      <c r="II10" s="655"/>
      <c r="IJ10" s="655"/>
      <c r="IK10" s="655"/>
      <c r="IL10" s="655"/>
      <c r="IM10" s="655"/>
      <c r="IN10" s="655"/>
      <c r="IO10" s="655"/>
      <c r="IP10" s="655"/>
      <c r="IQ10" s="655"/>
      <c r="IR10" s="655"/>
      <c r="IS10" s="655"/>
      <c r="IT10" s="655"/>
      <c r="IU10" s="655"/>
      <c r="IV10" s="655"/>
    </row>
    <row r="11" spans="1:256" ht="16.5" customHeight="1">
      <c r="A11" s="660" t="s">
        <v>201</v>
      </c>
      <c r="B11" s="664">
        <v>4980000</v>
      </c>
      <c r="C11" s="664"/>
      <c r="D11" s="664"/>
      <c r="E11" s="664"/>
      <c r="F11" s="664"/>
      <c r="G11" s="664"/>
      <c r="H11" s="664">
        <f t="shared" si="0"/>
        <v>4980000</v>
      </c>
      <c r="I11" s="660" t="s">
        <v>174</v>
      </c>
      <c r="J11" s="661">
        <v>157053408</v>
      </c>
      <c r="K11" s="661"/>
      <c r="L11" s="661">
        <v>145000</v>
      </c>
      <c r="M11" s="662"/>
      <c r="N11" s="662"/>
      <c r="O11" s="661"/>
      <c r="P11" s="663">
        <f t="shared" si="1"/>
        <v>157198408</v>
      </c>
      <c r="Q11" s="655"/>
      <c r="R11" s="655"/>
      <c r="S11" s="655"/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655"/>
      <c r="AN11" s="655"/>
      <c r="AO11" s="655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  <c r="BE11" s="655"/>
      <c r="BF11" s="655"/>
      <c r="BG11" s="655"/>
      <c r="BH11" s="655"/>
      <c r="BI11" s="655"/>
      <c r="BJ11" s="655"/>
      <c r="BK11" s="655"/>
      <c r="BL11" s="655"/>
      <c r="BM11" s="655"/>
      <c r="BN11" s="655"/>
      <c r="BO11" s="655"/>
      <c r="BP11" s="655"/>
      <c r="BQ11" s="655"/>
      <c r="BR11" s="655"/>
      <c r="BS11" s="655"/>
      <c r="BT11" s="655"/>
      <c r="BU11" s="655"/>
      <c r="BV11" s="655"/>
      <c r="BW11" s="655"/>
      <c r="BX11" s="655"/>
      <c r="BY11" s="655"/>
      <c r="BZ11" s="655"/>
      <c r="CA11" s="655"/>
      <c r="CB11" s="655"/>
      <c r="CC11" s="655"/>
      <c r="CD11" s="655"/>
      <c r="CE11" s="655"/>
      <c r="CF11" s="655"/>
      <c r="CG11" s="655"/>
      <c r="CH11" s="655"/>
      <c r="CI11" s="655"/>
      <c r="CJ11" s="655"/>
      <c r="CK11" s="655"/>
      <c r="CL11" s="655"/>
      <c r="CM11" s="655"/>
      <c r="CN11" s="655"/>
      <c r="CO11" s="655"/>
      <c r="CP11" s="655"/>
      <c r="CQ11" s="655"/>
      <c r="CR11" s="655"/>
      <c r="CS11" s="655"/>
      <c r="CT11" s="655"/>
      <c r="CU11" s="655"/>
      <c r="CV11" s="655"/>
      <c r="CW11" s="655"/>
      <c r="CX11" s="655"/>
      <c r="CY11" s="655"/>
      <c r="CZ11" s="655"/>
      <c r="DA11" s="655"/>
      <c r="DB11" s="655"/>
      <c r="DC11" s="655"/>
      <c r="DD11" s="655"/>
      <c r="DE11" s="655"/>
      <c r="DF11" s="655"/>
      <c r="DG11" s="655"/>
      <c r="DH11" s="655"/>
      <c r="DI11" s="655"/>
      <c r="DJ11" s="655"/>
      <c r="DK11" s="655"/>
      <c r="DL11" s="655"/>
      <c r="DM11" s="655"/>
      <c r="DN11" s="655"/>
      <c r="DO11" s="655"/>
      <c r="DP11" s="655"/>
      <c r="DQ11" s="655"/>
      <c r="DR11" s="655"/>
      <c r="DS11" s="655"/>
      <c r="DT11" s="655"/>
      <c r="DU11" s="655"/>
      <c r="DV11" s="655"/>
      <c r="DW11" s="655"/>
      <c r="DX11" s="655"/>
      <c r="DY11" s="655"/>
      <c r="DZ11" s="655"/>
      <c r="EA11" s="655"/>
      <c r="EB11" s="655"/>
      <c r="EC11" s="655"/>
      <c r="ED11" s="655"/>
      <c r="EE11" s="655"/>
      <c r="EF11" s="655"/>
      <c r="EG11" s="655"/>
      <c r="EH11" s="655"/>
      <c r="EI11" s="655"/>
      <c r="EJ11" s="655"/>
      <c r="EK11" s="655"/>
      <c r="EL11" s="655"/>
      <c r="EM11" s="655"/>
      <c r="EN11" s="655"/>
      <c r="EO11" s="655"/>
      <c r="EP11" s="655"/>
      <c r="EQ11" s="655"/>
      <c r="ER11" s="655"/>
      <c r="ES11" s="655"/>
      <c r="ET11" s="655"/>
      <c r="EU11" s="655"/>
      <c r="EV11" s="655"/>
      <c r="EW11" s="655"/>
      <c r="EX11" s="655"/>
      <c r="EY11" s="655"/>
      <c r="EZ11" s="655"/>
      <c r="FA11" s="655"/>
      <c r="FB11" s="655"/>
      <c r="FC11" s="655"/>
      <c r="FD11" s="655"/>
      <c r="FE11" s="655"/>
      <c r="FF11" s="655"/>
      <c r="FG11" s="655"/>
      <c r="FH11" s="655"/>
      <c r="FI11" s="655"/>
      <c r="FJ11" s="655"/>
      <c r="FK11" s="655"/>
      <c r="FL11" s="655"/>
      <c r="FM11" s="655"/>
      <c r="FN11" s="655"/>
      <c r="FO11" s="655"/>
      <c r="FP11" s="655"/>
      <c r="FQ11" s="655"/>
      <c r="FR11" s="655"/>
      <c r="FS11" s="655"/>
      <c r="FT11" s="655"/>
      <c r="FU11" s="655"/>
      <c r="FV11" s="655"/>
      <c r="FW11" s="655"/>
      <c r="FX11" s="655"/>
      <c r="FY11" s="655"/>
      <c r="FZ11" s="655"/>
      <c r="GA11" s="655"/>
      <c r="GB11" s="655"/>
      <c r="GC11" s="655"/>
      <c r="GD11" s="655"/>
      <c r="GE11" s="655"/>
      <c r="GF11" s="655"/>
      <c r="GG11" s="655"/>
      <c r="GH11" s="655"/>
      <c r="GI11" s="655"/>
      <c r="GJ11" s="655"/>
      <c r="GK11" s="655"/>
      <c r="GL11" s="655"/>
      <c r="GM11" s="655"/>
      <c r="GN11" s="655"/>
      <c r="GO11" s="655"/>
      <c r="GP11" s="655"/>
      <c r="GQ11" s="655"/>
      <c r="GR11" s="655"/>
      <c r="GS11" s="655"/>
      <c r="GT11" s="655"/>
      <c r="GU11" s="655"/>
      <c r="GV11" s="655"/>
      <c r="GW11" s="655"/>
      <c r="GX11" s="655"/>
      <c r="GY11" s="655"/>
      <c r="GZ11" s="655"/>
      <c r="HA11" s="655"/>
      <c r="HB11" s="655"/>
      <c r="HC11" s="655"/>
      <c r="HD11" s="655"/>
      <c r="HE11" s="655"/>
      <c r="HF11" s="655"/>
      <c r="HG11" s="655"/>
      <c r="HH11" s="655"/>
      <c r="HI11" s="655"/>
      <c r="HJ11" s="655"/>
      <c r="HK11" s="655"/>
      <c r="HL11" s="655"/>
      <c r="HM11" s="655"/>
      <c r="HN11" s="655"/>
      <c r="HO11" s="655"/>
      <c r="HP11" s="655"/>
      <c r="HQ11" s="655"/>
      <c r="HR11" s="655"/>
      <c r="HS11" s="655"/>
      <c r="HT11" s="655"/>
      <c r="HU11" s="655"/>
      <c r="HV11" s="655"/>
      <c r="HW11" s="655"/>
      <c r="HX11" s="655"/>
      <c r="HY11" s="655"/>
      <c r="HZ11" s="655"/>
      <c r="IA11" s="655"/>
      <c r="IB11" s="655"/>
      <c r="IC11" s="655"/>
      <c r="ID11" s="655"/>
      <c r="IE11" s="655"/>
      <c r="IF11" s="655"/>
      <c r="IG11" s="655"/>
      <c r="IH11" s="655"/>
      <c r="II11" s="655"/>
      <c r="IJ11" s="655"/>
      <c r="IK11" s="655"/>
      <c r="IL11" s="655"/>
      <c r="IM11" s="655"/>
      <c r="IN11" s="655"/>
      <c r="IO11" s="655"/>
      <c r="IP11" s="655"/>
      <c r="IQ11" s="655"/>
      <c r="IR11" s="655"/>
      <c r="IS11" s="655"/>
      <c r="IT11" s="655"/>
      <c r="IU11" s="655"/>
      <c r="IV11" s="655"/>
    </row>
    <row r="12" spans="1:256" ht="30" customHeight="1">
      <c r="A12" s="660" t="s">
        <v>150</v>
      </c>
      <c r="B12" s="664">
        <v>63984797</v>
      </c>
      <c r="C12" s="664"/>
      <c r="D12" s="664"/>
      <c r="E12" s="664"/>
      <c r="F12" s="664"/>
      <c r="G12" s="664"/>
      <c r="H12" s="664">
        <f t="shared" si="0"/>
        <v>63984797</v>
      </c>
      <c r="I12" s="660" t="s">
        <v>78</v>
      </c>
      <c r="J12" s="661">
        <v>19632098</v>
      </c>
      <c r="K12" s="661"/>
      <c r="L12" s="661">
        <v>1329246</v>
      </c>
      <c r="M12" s="662">
        <v>2499228</v>
      </c>
      <c r="N12" s="662">
        <v>702157</v>
      </c>
      <c r="O12" s="661">
        <v>37365910</v>
      </c>
      <c r="P12" s="663">
        <f>SUM(J12:O12)</f>
        <v>61528639</v>
      </c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655"/>
      <c r="AK12" s="655"/>
      <c r="AL12" s="655"/>
      <c r="AM12" s="655"/>
      <c r="AN12" s="655"/>
      <c r="AO12" s="655"/>
      <c r="AP12" s="655"/>
      <c r="AQ12" s="655"/>
      <c r="AR12" s="655"/>
      <c r="AS12" s="655"/>
      <c r="AT12" s="655"/>
      <c r="AU12" s="655"/>
      <c r="AV12" s="655"/>
      <c r="AW12" s="655"/>
      <c r="AX12" s="655"/>
      <c r="AY12" s="655"/>
      <c r="AZ12" s="655"/>
      <c r="BA12" s="655"/>
      <c r="BB12" s="655"/>
      <c r="BC12" s="655"/>
      <c r="BD12" s="655"/>
      <c r="BE12" s="655"/>
      <c r="BF12" s="655"/>
      <c r="BG12" s="655"/>
      <c r="BH12" s="655"/>
      <c r="BI12" s="655"/>
      <c r="BJ12" s="655"/>
      <c r="BK12" s="655"/>
      <c r="BL12" s="655"/>
      <c r="BM12" s="655"/>
      <c r="BN12" s="655"/>
      <c r="BO12" s="655"/>
      <c r="BP12" s="655"/>
      <c r="BQ12" s="655"/>
      <c r="BR12" s="655"/>
      <c r="BS12" s="655"/>
      <c r="BT12" s="655"/>
      <c r="BU12" s="655"/>
      <c r="BV12" s="655"/>
      <c r="BW12" s="655"/>
      <c r="BX12" s="655"/>
      <c r="BY12" s="655"/>
      <c r="BZ12" s="655"/>
      <c r="CA12" s="655"/>
      <c r="CB12" s="655"/>
      <c r="CC12" s="655"/>
      <c r="CD12" s="655"/>
      <c r="CE12" s="655"/>
      <c r="CF12" s="655"/>
      <c r="CG12" s="655"/>
      <c r="CH12" s="655"/>
      <c r="CI12" s="655"/>
      <c r="CJ12" s="655"/>
      <c r="CK12" s="655"/>
      <c r="CL12" s="655"/>
      <c r="CM12" s="655"/>
      <c r="CN12" s="655"/>
      <c r="CO12" s="655"/>
      <c r="CP12" s="655"/>
      <c r="CQ12" s="655"/>
      <c r="CR12" s="655"/>
      <c r="CS12" s="655"/>
      <c r="CT12" s="655"/>
      <c r="CU12" s="655"/>
      <c r="CV12" s="655"/>
      <c r="CW12" s="655"/>
      <c r="CX12" s="655"/>
      <c r="CY12" s="655"/>
      <c r="CZ12" s="655"/>
      <c r="DA12" s="655"/>
      <c r="DB12" s="655"/>
      <c r="DC12" s="655"/>
      <c r="DD12" s="655"/>
      <c r="DE12" s="655"/>
      <c r="DF12" s="655"/>
      <c r="DG12" s="655"/>
      <c r="DH12" s="655"/>
      <c r="DI12" s="655"/>
      <c r="DJ12" s="655"/>
      <c r="DK12" s="655"/>
      <c r="DL12" s="655"/>
      <c r="DM12" s="655"/>
      <c r="DN12" s="655"/>
      <c r="DO12" s="655"/>
      <c r="DP12" s="655"/>
      <c r="DQ12" s="655"/>
      <c r="DR12" s="655"/>
      <c r="DS12" s="655"/>
      <c r="DT12" s="655"/>
      <c r="DU12" s="655"/>
      <c r="DV12" s="655"/>
      <c r="DW12" s="655"/>
      <c r="DX12" s="655"/>
      <c r="DY12" s="655"/>
      <c r="DZ12" s="655"/>
      <c r="EA12" s="655"/>
      <c r="EB12" s="655"/>
      <c r="EC12" s="655"/>
      <c r="ED12" s="655"/>
      <c r="EE12" s="655"/>
      <c r="EF12" s="655"/>
      <c r="EG12" s="655"/>
      <c r="EH12" s="655"/>
      <c r="EI12" s="655"/>
      <c r="EJ12" s="655"/>
      <c r="EK12" s="655"/>
      <c r="EL12" s="655"/>
      <c r="EM12" s="655"/>
      <c r="EN12" s="655"/>
      <c r="EO12" s="655"/>
      <c r="EP12" s="655"/>
      <c r="EQ12" s="655"/>
      <c r="ER12" s="655"/>
      <c r="ES12" s="655"/>
      <c r="ET12" s="655"/>
      <c r="EU12" s="655"/>
      <c r="EV12" s="655"/>
      <c r="EW12" s="655"/>
      <c r="EX12" s="655"/>
      <c r="EY12" s="655"/>
      <c r="EZ12" s="655"/>
      <c r="FA12" s="655"/>
      <c r="FB12" s="655"/>
      <c r="FC12" s="655"/>
      <c r="FD12" s="655"/>
      <c r="FE12" s="655"/>
      <c r="FF12" s="655"/>
      <c r="FG12" s="655"/>
      <c r="FH12" s="655"/>
      <c r="FI12" s="655"/>
      <c r="FJ12" s="655"/>
      <c r="FK12" s="655"/>
      <c r="FL12" s="655"/>
      <c r="FM12" s="655"/>
      <c r="FN12" s="655"/>
      <c r="FO12" s="655"/>
      <c r="FP12" s="655"/>
      <c r="FQ12" s="655"/>
      <c r="FR12" s="655"/>
      <c r="FS12" s="655"/>
      <c r="FT12" s="655"/>
      <c r="FU12" s="655"/>
      <c r="FV12" s="655"/>
      <c r="FW12" s="655"/>
      <c r="FX12" s="655"/>
      <c r="FY12" s="655"/>
      <c r="FZ12" s="655"/>
      <c r="GA12" s="655"/>
      <c r="GB12" s="655"/>
      <c r="GC12" s="655"/>
      <c r="GD12" s="655"/>
      <c r="GE12" s="655"/>
      <c r="GF12" s="655"/>
      <c r="GG12" s="655"/>
      <c r="GH12" s="655"/>
      <c r="GI12" s="655"/>
      <c r="GJ12" s="655"/>
      <c r="GK12" s="655"/>
      <c r="GL12" s="655"/>
      <c r="GM12" s="655"/>
      <c r="GN12" s="655"/>
      <c r="GO12" s="655"/>
      <c r="GP12" s="655"/>
      <c r="GQ12" s="655"/>
      <c r="GR12" s="655"/>
      <c r="GS12" s="655"/>
      <c r="GT12" s="655"/>
      <c r="GU12" s="655"/>
      <c r="GV12" s="655"/>
      <c r="GW12" s="655"/>
      <c r="GX12" s="655"/>
      <c r="GY12" s="655"/>
      <c r="GZ12" s="655"/>
      <c r="HA12" s="655"/>
      <c r="HB12" s="655"/>
      <c r="HC12" s="655"/>
      <c r="HD12" s="655"/>
      <c r="HE12" s="655"/>
      <c r="HF12" s="655"/>
      <c r="HG12" s="655"/>
      <c r="HH12" s="655"/>
      <c r="HI12" s="655"/>
      <c r="HJ12" s="655"/>
      <c r="HK12" s="655"/>
      <c r="HL12" s="655"/>
      <c r="HM12" s="655"/>
      <c r="HN12" s="655"/>
      <c r="HO12" s="655"/>
      <c r="HP12" s="655"/>
      <c r="HQ12" s="655"/>
      <c r="HR12" s="655"/>
      <c r="HS12" s="655"/>
      <c r="HT12" s="655"/>
      <c r="HU12" s="655"/>
      <c r="HV12" s="655"/>
      <c r="HW12" s="655"/>
      <c r="HX12" s="655"/>
      <c r="HY12" s="655"/>
      <c r="HZ12" s="655"/>
      <c r="IA12" s="655"/>
      <c r="IB12" s="655"/>
      <c r="IC12" s="655"/>
      <c r="ID12" s="655"/>
      <c r="IE12" s="655"/>
      <c r="IF12" s="655"/>
      <c r="IG12" s="655"/>
      <c r="IH12" s="655"/>
      <c r="II12" s="655"/>
      <c r="IJ12" s="655"/>
      <c r="IK12" s="655"/>
      <c r="IL12" s="655"/>
      <c r="IM12" s="655"/>
      <c r="IN12" s="655"/>
      <c r="IO12" s="655"/>
      <c r="IP12" s="655"/>
      <c r="IQ12" s="655"/>
      <c r="IR12" s="655"/>
      <c r="IS12" s="655"/>
      <c r="IT12" s="655"/>
      <c r="IU12" s="655"/>
      <c r="IV12" s="655"/>
    </row>
    <row r="13" spans="1:256" ht="16.5" customHeight="1">
      <c r="A13" s="660" t="s">
        <v>202</v>
      </c>
      <c r="B13" s="664">
        <v>50526275</v>
      </c>
      <c r="C13" s="664"/>
      <c r="D13" s="664"/>
      <c r="E13" s="664"/>
      <c r="F13" s="664"/>
      <c r="G13" s="664"/>
      <c r="H13" s="664">
        <f t="shared" si="0"/>
        <v>50526275</v>
      </c>
      <c r="I13" s="660" t="s">
        <v>185</v>
      </c>
      <c r="J13" s="661">
        <v>1765818</v>
      </c>
      <c r="K13" s="661"/>
      <c r="L13" s="661"/>
      <c r="M13" s="662">
        <v>178500</v>
      </c>
      <c r="N13" s="662"/>
      <c r="O13" s="661"/>
      <c r="P13" s="663">
        <f t="shared" si="1"/>
        <v>1944318</v>
      </c>
      <c r="Q13" s="655"/>
      <c r="R13" s="655"/>
      <c r="S13" s="655"/>
      <c r="T13" s="655"/>
      <c r="U13" s="655"/>
      <c r="V13" s="655"/>
      <c r="W13" s="655"/>
      <c r="X13" s="655"/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5"/>
      <c r="AO13" s="655"/>
      <c r="AP13" s="655"/>
      <c r="AQ13" s="655"/>
      <c r="AR13" s="655"/>
      <c r="AS13" s="655"/>
      <c r="AT13" s="655"/>
      <c r="AU13" s="655"/>
      <c r="AV13" s="655"/>
      <c r="AW13" s="655"/>
      <c r="AX13" s="655"/>
      <c r="AY13" s="655"/>
      <c r="AZ13" s="655"/>
      <c r="BA13" s="655"/>
      <c r="BB13" s="655"/>
      <c r="BC13" s="655"/>
      <c r="BD13" s="655"/>
      <c r="BE13" s="655"/>
      <c r="BF13" s="655"/>
      <c r="BG13" s="655"/>
      <c r="BH13" s="655"/>
      <c r="BI13" s="655"/>
      <c r="BJ13" s="655"/>
      <c r="BK13" s="655"/>
      <c r="BL13" s="655"/>
      <c r="BM13" s="655"/>
      <c r="BN13" s="655"/>
      <c r="BO13" s="655"/>
      <c r="BP13" s="655"/>
      <c r="BQ13" s="655"/>
      <c r="BR13" s="655"/>
      <c r="BS13" s="655"/>
      <c r="BT13" s="655"/>
      <c r="BU13" s="655"/>
      <c r="BV13" s="655"/>
      <c r="BW13" s="655"/>
      <c r="BX13" s="655"/>
      <c r="BY13" s="655"/>
      <c r="BZ13" s="655"/>
      <c r="CA13" s="655"/>
      <c r="CB13" s="655"/>
      <c r="CC13" s="655"/>
      <c r="CD13" s="655"/>
      <c r="CE13" s="655"/>
      <c r="CF13" s="655"/>
      <c r="CG13" s="655"/>
      <c r="CH13" s="655"/>
      <c r="CI13" s="655"/>
      <c r="CJ13" s="655"/>
      <c r="CK13" s="655"/>
      <c r="CL13" s="655"/>
      <c r="CM13" s="655"/>
      <c r="CN13" s="655"/>
      <c r="CO13" s="655"/>
      <c r="CP13" s="655"/>
      <c r="CQ13" s="655"/>
      <c r="CR13" s="655"/>
      <c r="CS13" s="655"/>
      <c r="CT13" s="655"/>
      <c r="CU13" s="655"/>
      <c r="CV13" s="655"/>
      <c r="CW13" s="655"/>
      <c r="CX13" s="655"/>
      <c r="CY13" s="655"/>
      <c r="CZ13" s="655"/>
      <c r="DA13" s="655"/>
      <c r="DB13" s="655"/>
      <c r="DC13" s="655"/>
      <c r="DD13" s="655"/>
      <c r="DE13" s="655"/>
      <c r="DF13" s="655"/>
      <c r="DG13" s="655"/>
      <c r="DH13" s="655"/>
      <c r="DI13" s="655"/>
      <c r="DJ13" s="655"/>
      <c r="DK13" s="655"/>
      <c r="DL13" s="655"/>
      <c r="DM13" s="655"/>
      <c r="DN13" s="655"/>
      <c r="DO13" s="655"/>
      <c r="DP13" s="655"/>
      <c r="DQ13" s="655"/>
      <c r="DR13" s="655"/>
      <c r="DS13" s="655"/>
      <c r="DT13" s="655"/>
      <c r="DU13" s="655"/>
      <c r="DV13" s="655"/>
      <c r="DW13" s="655"/>
      <c r="DX13" s="655"/>
      <c r="DY13" s="655"/>
      <c r="DZ13" s="655"/>
      <c r="EA13" s="655"/>
      <c r="EB13" s="655"/>
      <c r="EC13" s="655"/>
      <c r="ED13" s="655"/>
      <c r="EE13" s="655"/>
      <c r="EF13" s="655"/>
      <c r="EG13" s="655"/>
      <c r="EH13" s="655"/>
      <c r="EI13" s="655"/>
      <c r="EJ13" s="655"/>
      <c r="EK13" s="655"/>
      <c r="EL13" s="655"/>
      <c r="EM13" s="655"/>
      <c r="EN13" s="655"/>
      <c r="EO13" s="655"/>
      <c r="EP13" s="655"/>
      <c r="EQ13" s="655"/>
      <c r="ER13" s="655"/>
      <c r="ES13" s="655"/>
      <c r="ET13" s="655"/>
      <c r="EU13" s="655"/>
      <c r="EV13" s="655"/>
      <c r="EW13" s="655"/>
      <c r="EX13" s="655"/>
      <c r="EY13" s="655"/>
      <c r="EZ13" s="655"/>
      <c r="FA13" s="655"/>
      <c r="FB13" s="655"/>
      <c r="FC13" s="655"/>
      <c r="FD13" s="655"/>
      <c r="FE13" s="655"/>
      <c r="FF13" s="655"/>
      <c r="FG13" s="655"/>
      <c r="FH13" s="655"/>
      <c r="FI13" s="655"/>
      <c r="FJ13" s="655"/>
      <c r="FK13" s="655"/>
      <c r="FL13" s="655"/>
      <c r="FM13" s="655"/>
      <c r="FN13" s="655"/>
      <c r="FO13" s="655"/>
      <c r="FP13" s="655"/>
      <c r="FQ13" s="655"/>
      <c r="FR13" s="655"/>
      <c r="FS13" s="655"/>
      <c r="FT13" s="655"/>
      <c r="FU13" s="655"/>
      <c r="FV13" s="655"/>
      <c r="FW13" s="655"/>
      <c r="FX13" s="655"/>
      <c r="FY13" s="655"/>
      <c r="FZ13" s="655"/>
      <c r="GA13" s="655"/>
      <c r="GB13" s="655"/>
      <c r="GC13" s="655"/>
      <c r="GD13" s="655"/>
      <c r="GE13" s="655"/>
      <c r="GF13" s="655"/>
      <c r="GG13" s="655"/>
      <c r="GH13" s="655"/>
      <c r="GI13" s="655"/>
      <c r="GJ13" s="655"/>
      <c r="GK13" s="655"/>
      <c r="GL13" s="655"/>
      <c r="GM13" s="655"/>
      <c r="GN13" s="655"/>
      <c r="GO13" s="655"/>
      <c r="GP13" s="655"/>
      <c r="GQ13" s="655"/>
      <c r="GR13" s="655"/>
      <c r="GS13" s="655"/>
      <c r="GT13" s="655"/>
      <c r="GU13" s="655"/>
      <c r="GV13" s="655"/>
      <c r="GW13" s="655"/>
      <c r="GX13" s="655"/>
      <c r="GY13" s="655"/>
      <c r="GZ13" s="655"/>
      <c r="HA13" s="655"/>
      <c r="HB13" s="655"/>
      <c r="HC13" s="655"/>
      <c r="HD13" s="655"/>
      <c r="HE13" s="655"/>
      <c r="HF13" s="655"/>
      <c r="HG13" s="655"/>
      <c r="HH13" s="655"/>
      <c r="HI13" s="655"/>
      <c r="HJ13" s="655"/>
      <c r="HK13" s="655"/>
      <c r="HL13" s="655"/>
      <c r="HM13" s="655"/>
      <c r="HN13" s="655"/>
      <c r="HO13" s="655"/>
      <c r="HP13" s="655"/>
      <c r="HQ13" s="655"/>
      <c r="HR13" s="655"/>
      <c r="HS13" s="655"/>
      <c r="HT13" s="655"/>
      <c r="HU13" s="655"/>
      <c r="HV13" s="655"/>
      <c r="HW13" s="655"/>
      <c r="HX13" s="655"/>
      <c r="HY13" s="655"/>
      <c r="HZ13" s="655"/>
      <c r="IA13" s="655"/>
      <c r="IB13" s="655"/>
      <c r="IC13" s="655"/>
      <c r="ID13" s="655"/>
      <c r="IE13" s="655"/>
      <c r="IF13" s="655"/>
      <c r="IG13" s="655"/>
      <c r="IH13" s="655"/>
      <c r="II13" s="655"/>
      <c r="IJ13" s="655"/>
      <c r="IK13" s="655"/>
      <c r="IL13" s="655"/>
      <c r="IM13" s="655"/>
      <c r="IN13" s="655"/>
      <c r="IO13" s="655"/>
      <c r="IP13" s="655"/>
      <c r="IQ13" s="655"/>
      <c r="IR13" s="655"/>
      <c r="IS13" s="655"/>
      <c r="IT13" s="655"/>
      <c r="IU13" s="655"/>
      <c r="IV13" s="655"/>
    </row>
    <row r="14" spans="1:256" ht="22.5">
      <c r="A14" s="660" t="s">
        <v>615</v>
      </c>
      <c r="B14" s="664"/>
      <c r="C14" s="664"/>
      <c r="D14" s="664"/>
      <c r="E14" s="664"/>
      <c r="F14" s="664"/>
      <c r="G14" s="664"/>
      <c r="H14" s="664">
        <f t="shared" si="0"/>
        <v>0</v>
      </c>
      <c r="I14" s="660" t="s">
        <v>616</v>
      </c>
      <c r="J14" s="661"/>
      <c r="K14" s="661"/>
      <c r="L14" s="661"/>
      <c r="M14" s="662"/>
      <c r="N14" s="662"/>
      <c r="O14" s="661"/>
      <c r="P14" s="663">
        <f t="shared" si="1"/>
        <v>0</v>
      </c>
      <c r="Q14" s="655"/>
      <c r="R14" s="655"/>
      <c r="S14" s="655"/>
      <c r="T14" s="655"/>
      <c r="U14" s="655"/>
      <c r="V14" s="655"/>
      <c r="W14" s="655"/>
      <c r="X14" s="655"/>
      <c r="Y14" s="655"/>
      <c r="Z14" s="655"/>
      <c r="AA14" s="655"/>
      <c r="AB14" s="655"/>
      <c r="AC14" s="655"/>
      <c r="AD14" s="655"/>
      <c r="AE14" s="655"/>
      <c r="AF14" s="655"/>
      <c r="AG14" s="655"/>
      <c r="AH14" s="655"/>
      <c r="AI14" s="655"/>
      <c r="AJ14" s="655"/>
      <c r="AK14" s="655"/>
      <c r="AL14" s="655"/>
      <c r="AM14" s="655"/>
      <c r="AN14" s="655"/>
      <c r="AO14" s="655"/>
      <c r="AP14" s="655"/>
      <c r="AQ14" s="655"/>
      <c r="AR14" s="655"/>
      <c r="AS14" s="655"/>
      <c r="AT14" s="655"/>
      <c r="AU14" s="655"/>
      <c r="AV14" s="655"/>
      <c r="AW14" s="655"/>
      <c r="AX14" s="655"/>
      <c r="AY14" s="655"/>
      <c r="AZ14" s="655"/>
      <c r="BA14" s="655"/>
      <c r="BB14" s="655"/>
      <c r="BC14" s="655"/>
      <c r="BD14" s="655"/>
      <c r="BE14" s="655"/>
      <c r="BF14" s="655"/>
      <c r="BG14" s="655"/>
      <c r="BH14" s="655"/>
      <c r="BI14" s="655"/>
      <c r="BJ14" s="655"/>
      <c r="BK14" s="655"/>
      <c r="BL14" s="655"/>
      <c r="BM14" s="655"/>
      <c r="BN14" s="655"/>
      <c r="BO14" s="655"/>
      <c r="BP14" s="655"/>
      <c r="BQ14" s="655"/>
      <c r="BR14" s="655"/>
      <c r="BS14" s="655"/>
      <c r="BT14" s="655"/>
      <c r="BU14" s="655"/>
      <c r="BV14" s="655"/>
      <c r="BW14" s="655"/>
      <c r="BX14" s="655"/>
      <c r="BY14" s="655"/>
      <c r="BZ14" s="655"/>
      <c r="CA14" s="655"/>
      <c r="CB14" s="655"/>
      <c r="CC14" s="655"/>
      <c r="CD14" s="655"/>
      <c r="CE14" s="655"/>
      <c r="CF14" s="655"/>
      <c r="CG14" s="655"/>
      <c r="CH14" s="655"/>
      <c r="CI14" s="655"/>
      <c r="CJ14" s="655"/>
      <c r="CK14" s="655"/>
      <c r="CL14" s="655"/>
      <c r="CM14" s="655"/>
      <c r="CN14" s="655"/>
      <c r="CO14" s="655"/>
      <c r="CP14" s="655"/>
      <c r="CQ14" s="655"/>
      <c r="CR14" s="655"/>
      <c r="CS14" s="655"/>
      <c r="CT14" s="655"/>
      <c r="CU14" s="655"/>
      <c r="CV14" s="655"/>
      <c r="CW14" s="655"/>
      <c r="CX14" s="655"/>
      <c r="CY14" s="655"/>
      <c r="CZ14" s="655"/>
      <c r="DA14" s="655"/>
      <c r="DB14" s="655"/>
      <c r="DC14" s="655"/>
      <c r="DD14" s="655"/>
      <c r="DE14" s="655"/>
      <c r="DF14" s="655"/>
      <c r="DG14" s="655"/>
      <c r="DH14" s="655"/>
      <c r="DI14" s="655"/>
      <c r="DJ14" s="655"/>
      <c r="DK14" s="655"/>
      <c r="DL14" s="655"/>
      <c r="DM14" s="655"/>
      <c r="DN14" s="655"/>
      <c r="DO14" s="655"/>
      <c r="DP14" s="655"/>
      <c r="DQ14" s="655"/>
      <c r="DR14" s="655"/>
      <c r="DS14" s="655"/>
      <c r="DT14" s="655"/>
      <c r="DU14" s="655"/>
      <c r="DV14" s="655"/>
      <c r="DW14" s="655"/>
      <c r="DX14" s="655"/>
      <c r="DY14" s="655"/>
      <c r="DZ14" s="655"/>
      <c r="EA14" s="655"/>
      <c r="EB14" s="655"/>
      <c r="EC14" s="655"/>
      <c r="ED14" s="655"/>
      <c r="EE14" s="655"/>
      <c r="EF14" s="655"/>
      <c r="EG14" s="655"/>
      <c r="EH14" s="655"/>
      <c r="EI14" s="655"/>
      <c r="EJ14" s="655"/>
      <c r="EK14" s="655"/>
      <c r="EL14" s="655"/>
      <c r="EM14" s="655"/>
      <c r="EN14" s="655"/>
      <c r="EO14" s="655"/>
      <c r="EP14" s="655"/>
      <c r="EQ14" s="655"/>
      <c r="ER14" s="655"/>
      <c r="ES14" s="655"/>
      <c r="ET14" s="655"/>
      <c r="EU14" s="655"/>
      <c r="EV14" s="655"/>
      <c r="EW14" s="655"/>
      <c r="EX14" s="655"/>
      <c r="EY14" s="655"/>
      <c r="EZ14" s="655"/>
      <c r="FA14" s="655"/>
      <c r="FB14" s="655"/>
      <c r="FC14" s="655"/>
      <c r="FD14" s="655"/>
      <c r="FE14" s="655"/>
      <c r="FF14" s="655"/>
      <c r="FG14" s="655"/>
      <c r="FH14" s="655"/>
      <c r="FI14" s="655"/>
      <c r="FJ14" s="655"/>
      <c r="FK14" s="655"/>
      <c r="FL14" s="655"/>
      <c r="FM14" s="655"/>
      <c r="FN14" s="655"/>
      <c r="FO14" s="655"/>
      <c r="FP14" s="655"/>
      <c r="FQ14" s="655"/>
      <c r="FR14" s="655"/>
      <c r="FS14" s="655"/>
      <c r="FT14" s="655"/>
      <c r="FU14" s="655"/>
      <c r="FV14" s="655"/>
      <c r="FW14" s="655"/>
      <c r="FX14" s="655"/>
      <c r="FY14" s="655"/>
      <c r="FZ14" s="655"/>
      <c r="GA14" s="655"/>
      <c r="GB14" s="655"/>
      <c r="GC14" s="655"/>
      <c r="GD14" s="655"/>
      <c r="GE14" s="655"/>
      <c r="GF14" s="655"/>
      <c r="GG14" s="655"/>
      <c r="GH14" s="655"/>
      <c r="GI14" s="655"/>
      <c r="GJ14" s="655"/>
      <c r="GK14" s="655"/>
      <c r="GL14" s="655"/>
      <c r="GM14" s="655"/>
      <c r="GN14" s="655"/>
      <c r="GO14" s="655"/>
      <c r="GP14" s="655"/>
      <c r="GQ14" s="655"/>
      <c r="GR14" s="655"/>
      <c r="GS14" s="655"/>
      <c r="GT14" s="655"/>
      <c r="GU14" s="655"/>
      <c r="GV14" s="655"/>
      <c r="GW14" s="655"/>
      <c r="GX14" s="655"/>
      <c r="GY14" s="655"/>
      <c r="GZ14" s="655"/>
      <c r="HA14" s="655"/>
      <c r="HB14" s="655"/>
      <c r="HC14" s="655"/>
      <c r="HD14" s="655"/>
      <c r="HE14" s="655"/>
      <c r="HF14" s="655"/>
      <c r="HG14" s="655"/>
      <c r="HH14" s="655"/>
      <c r="HI14" s="655"/>
      <c r="HJ14" s="655"/>
      <c r="HK14" s="655"/>
      <c r="HL14" s="655"/>
      <c r="HM14" s="655"/>
      <c r="HN14" s="655"/>
      <c r="HO14" s="655"/>
      <c r="HP14" s="655"/>
      <c r="HQ14" s="655"/>
      <c r="HR14" s="655"/>
      <c r="HS14" s="655"/>
      <c r="HT14" s="655"/>
      <c r="HU14" s="655"/>
      <c r="HV14" s="655"/>
      <c r="HW14" s="655"/>
      <c r="HX14" s="655"/>
      <c r="HY14" s="655"/>
      <c r="HZ14" s="655"/>
      <c r="IA14" s="655"/>
      <c r="IB14" s="655"/>
      <c r="IC14" s="655"/>
      <c r="ID14" s="655"/>
      <c r="IE14" s="655"/>
      <c r="IF14" s="655"/>
      <c r="IG14" s="655"/>
      <c r="IH14" s="655"/>
      <c r="II14" s="655"/>
      <c r="IJ14" s="655"/>
      <c r="IK14" s="655"/>
      <c r="IL14" s="655"/>
      <c r="IM14" s="655"/>
      <c r="IN14" s="655"/>
      <c r="IO14" s="655"/>
      <c r="IP14" s="655"/>
      <c r="IQ14" s="655"/>
      <c r="IR14" s="655"/>
      <c r="IS14" s="655"/>
      <c r="IT14" s="655"/>
      <c r="IU14" s="655"/>
      <c r="IV14" s="655"/>
    </row>
    <row r="15" spans="1:256" ht="24" customHeight="1">
      <c r="A15" s="660" t="s">
        <v>269</v>
      </c>
      <c r="B15" s="664">
        <v>8830789</v>
      </c>
      <c r="C15" s="664"/>
      <c r="D15" s="664"/>
      <c r="E15" s="664"/>
      <c r="F15" s="664"/>
      <c r="G15" s="664"/>
      <c r="H15" s="664">
        <f t="shared" si="0"/>
        <v>8830789</v>
      </c>
      <c r="I15" s="660" t="s">
        <v>448</v>
      </c>
      <c r="J15" s="665">
        <v>11393036</v>
      </c>
      <c r="K15" s="661"/>
      <c r="L15" s="666"/>
      <c r="M15" s="662"/>
      <c r="N15" s="662"/>
      <c r="O15" s="666"/>
      <c r="P15" s="663">
        <f t="shared" si="1"/>
        <v>11393036</v>
      </c>
      <c r="Q15" s="655"/>
      <c r="R15" s="655"/>
      <c r="S15" s="655"/>
      <c r="T15" s="655"/>
      <c r="U15" s="655"/>
      <c r="V15" s="655"/>
      <c r="W15" s="655"/>
      <c r="X15" s="655"/>
      <c r="Y15" s="655"/>
      <c r="Z15" s="655"/>
      <c r="AA15" s="655"/>
      <c r="AB15" s="655"/>
      <c r="AC15" s="655"/>
      <c r="AD15" s="655"/>
      <c r="AE15" s="655"/>
      <c r="AF15" s="655"/>
      <c r="AG15" s="655"/>
      <c r="AH15" s="655"/>
      <c r="AI15" s="655"/>
      <c r="AJ15" s="655"/>
      <c r="AK15" s="655"/>
      <c r="AL15" s="655"/>
      <c r="AM15" s="655"/>
      <c r="AN15" s="655"/>
      <c r="AO15" s="655"/>
      <c r="AP15" s="655"/>
      <c r="AQ15" s="655"/>
      <c r="AR15" s="655"/>
      <c r="AS15" s="655"/>
      <c r="AT15" s="655"/>
      <c r="AU15" s="655"/>
      <c r="AV15" s="655"/>
      <c r="AW15" s="655"/>
      <c r="AX15" s="655"/>
      <c r="AY15" s="655"/>
      <c r="AZ15" s="655"/>
      <c r="BA15" s="655"/>
      <c r="BB15" s="655"/>
      <c r="BC15" s="655"/>
      <c r="BD15" s="655"/>
      <c r="BE15" s="655"/>
      <c r="BF15" s="655"/>
      <c r="BG15" s="655"/>
      <c r="BH15" s="655"/>
      <c r="BI15" s="655"/>
      <c r="BJ15" s="655"/>
      <c r="BK15" s="655"/>
      <c r="BL15" s="655"/>
      <c r="BM15" s="655"/>
      <c r="BN15" s="655"/>
      <c r="BO15" s="655"/>
      <c r="BP15" s="655"/>
      <c r="BQ15" s="655"/>
      <c r="BR15" s="655"/>
      <c r="BS15" s="655"/>
      <c r="BT15" s="655"/>
      <c r="BU15" s="655"/>
      <c r="BV15" s="655"/>
      <c r="BW15" s="655"/>
      <c r="BX15" s="655"/>
      <c r="BY15" s="655"/>
      <c r="BZ15" s="655"/>
      <c r="CA15" s="655"/>
      <c r="CB15" s="655"/>
      <c r="CC15" s="655"/>
      <c r="CD15" s="655"/>
      <c r="CE15" s="655"/>
      <c r="CF15" s="655"/>
      <c r="CG15" s="655"/>
      <c r="CH15" s="655"/>
      <c r="CI15" s="655"/>
      <c r="CJ15" s="655"/>
      <c r="CK15" s="655"/>
      <c r="CL15" s="655"/>
      <c r="CM15" s="655"/>
      <c r="CN15" s="655"/>
      <c r="CO15" s="655"/>
      <c r="CP15" s="655"/>
      <c r="CQ15" s="655"/>
      <c r="CR15" s="655"/>
      <c r="CS15" s="655"/>
      <c r="CT15" s="655"/>
      <c r="CU15" s="655"/>
      <c r="CV15" s="655"/>
      <c r="CW15" s="655"/>
      <c r="CX15" s="655"/>
      <c r="CY15" s="655"/>
      <c r="CZ15" s="655"/>
      <c r="DA15" s="655"/>
      <c r="DB15" s="655"/>
      <c r="DC15" s="655"/>
      <c r="DD15" s="655"/>
      <c r="DE15" s="655"/>
      <c r="DF15" s="655"/>
      <c r="DG15" s="655"/>
      <c r="DH15" s="655"/>
      <c r="DI15" s="655"/>
      <c r="DJ15" s="655"/>
      <c r="DK15" s="655"/>
      <c r="DL15" s="655"/>
      <c r="DM15" s="655"/>
      <c r="DN15" s="655"/>
      <c r="DO15" s="655"/>
      <c r="DP15" s="655"/>
      <c r="DQ15" s="655"/>
      <c r="DR15" s="655"/>
      <c r="DS15" s="655"/>
      <c r="DT15" s="655"/>
      <c r="DU15" s="655"/>
      <c r="DV15" s="655"/>
      <c r="DW15" s="655"/>
      <c r="DX15" s="655"/>
      <c r="DY15" s="655"/>
      <c r="DZ15" s="655"/>
      <c r="EA15" s="655"/>
      <c r="EB15" s="655"/>
      <c r="EC15" s="655"/>
      <c r="ED15" s="655"/>
      <c r="EE15" s="655"/>
      <c r="EF15" s="655"/>
      <c r="EG15" s="655"/>
      <c r="EH15" s="655"/>
      <c r="EI15" s="655"/>
      <c r="EJ15" s="655"/>
      <c r="EK15" s="655"/>
      <c r="EL15" s="655"/>
      <c r="EM15" s="655"/>
      <c r="EN15" s="655"/>
      <c r="EO15" s="655"/>
      <c r="EP15" s="655"/>
      <c r="EQ15" s="655"/>
      <c r="ER15" s="655"/>
      <c r="ES15" s="655"/>
      <c r="ET15" s="655"/>
      <c r="EU15" s="655"/>
      <c r="EV15" s="655"/>
      <c r="EW15" s="655"/>
      <c r="EX15" s="655"/>
      <c r="EY15" s="655"/>
      <c r="EZ15" s="655"/>
      <c r="FA15" s="655"/>
      <c r="FB15" s="655"/>
      <c r="FC15" s="655"/>
      <c r="FD15" s="655"/>
      <c r="FE15" s="655"/>
      <c r="FF15" s="655"/>
      <c r="FG15" s="655"/>
      <c r="FH15" s="655"/>
      <c r="FI15" s="655"/>
      <c r="FJ15" s="655"/>
      <c r="FK15" s="655"/>
      <c r="FL15" s="655"/>
      <c r="FM15" s="655"/>
      <c r="FN15" s="655"/>
      <c r="FO15" s="655"/>
      <c r="FP15" s="655"/>
      <c r="FQ15" s="655"/>
      <c r="FR15" s="655"/>
      <c r="FS15" s="655"/>
      <c r="FT15" s="655"/>
      <c r="FU15" s="655"/>
      <c r="FV15" s="655"/>
      <c r="FW15" s="655"/>
      <c r="FX15" s="655"/>
      <c r="FY15" s="655"/>
      <c r="FZ15" s="655"/>
      <c r="GA15" s="655"/>
      <c r="GB15" s="655"/>
      <c r="GC15" s="655"/>
      <c r="GD15" s="655"/>
      <c r="GE15" s="655"/>
      <c r="GF15" s="655"/>
      <c r="GG15" s="655"/>
      <c r="GH15" s="655"/>
      <c r="GI15" s="655"/>
      <c r="GJ15" s="655"/>
      <c r="GK15" s="655"/>
      <c r="GL15" s="655"/>
      <c r="GM15" s="655"/>
      <c r="GN15" s="655"/>
      <c r="GO15" s="655"/>
      <c r="GP15" s="655"/>
      <c r="GQ15" s="655"/>
      <c r="GR15" s="655"/>
      <c r="GS15" s="655"/>
      <c r="GT15" s="655"/>
      <c r="GU15" s="655"/>
      <c r="GV15" s="655"/>
      <c r="GW15" s="655"/>
      <c r="GX15" s="655"/>
      <c r="GY15" s="655"/>
      <c r="GZ15" s="655"/>
      <c r="HA15" s="655"/>
      <c r="HB15" s="655"/>
      <c r="HC15" s="655"/>
      <c r="HD15" s="655"/>
      <c r="HE15" s="655"/>
      <c r="HF15" s="655"/>
      <c r="HG15" s="655"/>
      <c r="HH15" s="655"/>
      <c r="HI15" s="655"/>
      <c r="HJ15" s="655"/>
      <c r="HK15" s="655"/>
      <c r="HL15" s="655"/>
      <c r="HM15" s="655"/>
      <c r="HN15" s="655"/>
      <c r="HO15" s="655"/>
      <c r="HP15" s="655"/>
      <c r="HQ15" s="655"/>
      <c r="HR15" s="655"/>
      <c r="HS15" s="655"/>
      <c r="HT15" s="655"/>
      <c r="HU15" s="655"/>
      <c r="HV15" s="655"/>
      <c r="HW15" s="655"/>
      <c r="HX15" s="655"/>
      <c r="HY15" s="655"/>
      <c r="HZ15" s="655"/>
      <c r="IA15" s="655"/>
      <c r="IB15" s="655"/>
      <c r="IC15" s="655"/>
      <c r="ID15" s="655"/>
      <c r="IE15" s="655"/>
      <c r="IF15" s="655"/>
      <c r="IG15" s="655"/>
      <c r="IH15" s="655"/>
      <c r="II15" s="655"/>
      <c r="IJ15" s="655"/>
      <c r="IK15" s="655"/>
      <c r="IL15" s="655"/>
      <c r="IM15" s="655"/>
      <c r="IN15" s="655"/>
      <c r="IO15" s="655"/>
      <c r="IP15" s="655"/>
      <c r="IQ15" s="655"/>
      <c r="IR15" s="655"/>
      <c r="IS15" s="655"/>
      <c r="IT15" s="655"/>
      <c r="IU15" s="655"/>
      <c r="IV15" s="655"/>
    </row>
    <row r="16" spans="1:256" ht="24" customHeight="1">
      <c r="A16" s="660" t="s">
        <v>807</v>
      </c>
      <c r="B16" s="664">
        <v>354027</v>
      </c>
      <c r="C16" s="664"/>
      <c r="D16" s="664"/>
      <c r="E16" s="664"/>
      <c r="F16" s="664"/>
      <c r="G16" s="664"/>
      <c r="H16" s="664">
        <f t="shared" si="0"/>
        <v>354027</v>
      </c>
      <c r="I16" s="660"/>
      <c r="J16" s="665"/>
      <c r="K16" s="661"/>
      <c r="L16" s="666"/>
      <c r="M16" s="662"/>
      <c r="N16" s="662"/>
      <c r="O16" s="666"/>
      <c r="P16" s="663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655"/>
      <c r="AL16" s="655"/>
      <c r="AM16" s="655"/>
      <c r="AN16" s="655"/>
      <c r="AO16" s="655"/>
      <c r="AP16" s="655"/>
      <c r="AQ16" s="655"/>
      <c r="AR16" s="655"/>
      <c r="AS16" s="655"/>
      <c r="AT16" s="655"/>
      <c r="AU16" s="655"/>
      <c r="AV16" s="655"/>
      <c r="AW16" s="655"/>
      <c r="AX16" s="655"/>
      <c r="AY16" s="655"/>
      <c r="AZ16" s="655"/>
      <c r="BA16" s="655"/>
      <c r="BB16" s="655"/>
      <c r="BC16" s="655"/>
      <c r="BD16" s="655"/>
      <c r="BE16" s="655"/>
      <c r="BF16" s="655"/>
      <c r="BG16" s="655"/>
      <c r="BH16" s="655"/>
      <c r="BI16" s="655"/>
      <c r="BJ16" s="655"/>
      <c r="BK16" s="655"/>
      <c r="BL16" s="655"/>
      <c r="BM16" s="655"/>
      <c r="BN16" s="655"/>
      <c r="BO16" s="655"/>
      <c r="BP16" s="655"/>
      <c r="BQ16" s="655"/>
      <c r="BR16" s="655"/>
      <c r="BS16" s="655"/>
      <c r="BT16" s="655"/>
      <c r="BU16" s="655"/>
      <c r="BV16" s="655"/>
      <c r="BW16" s="655"/>
      <c r="BX16" s="655"/>
      <c r="BY16" s="655"/>
      <c r="BZ16" s="655"/>
      <c r="CA16" s="655"/>
      <c r="CB16" s="655"/>
      <c r="CC16" s="655"/>
      <c r="CD16" s="655"/>
      <c r="CE16" s="655"/>
      <c r="CF16" s="655"/>
      <c r="CG16" s="655"/>
      <c r="CH16" s="655"/>
      <c r="CI16" s="655"/>
      <c r="CJ16" s="655"/>
      <c r="CK16" s="655"/>
      <c r="CL16" s="655"/>
      <c r="CM16" s="655"/>
      <c r="CN16" s="655"/>
      <c r="CO16" s="655"/>
      <c r="CP16" s="655"/>
      <c r="CQ16" s="655"/>
      <c r="CR16" s="655"/>
      <c r="CS16" s="655"/>
      <c r="CT16" s="655"/>
      <c r="CU16" s="655"/>
      <c r="CV16" s="655"/>
      <c r="CW16" s="655"/>
      <c r="CX16" s="655"/>
      <c r="CY16" s="655"/>
      <c r="CZ16" s="655"/>
      <c r="DA16" s="655"/>
      <c r="DB16" s="655"/>
      <c r="DC16" s="655"/>
      <c r="DD16" s="655"/>
      <c r="DE16" s="655"/>
      <c r="DF16" s="655"/>
      <c r="DG16" s="655"/>
      <c r="DH16" s="655"/>
      <c r="DI16" s="655"/>
      <c r="DJ16" s="655"/>
      <c r="DK16" s="655"/>
      <c r="DL16" s="655"/>
      <c r="DM16" s="655"/>
      <c r="DN16" s="655"/>
      <c r="DO16" s="655"/>
      <c r="DP16" s="655"/>
      <c r="DQ16" s="655"/>
      <c r="DR16" s="655"/>
      <c r="DS16" s="655"/>
      <c r="DT16" s="655"/>
      <c r="DU16" s="655"/>
      <c r="DV16" s="655"/>
      <c r="DW16" s="655"/>
      <c r="DX16" s="655"/>
      <c r="DY16" s="655"/>
      <c r="DZ16" s="655"/>
      <c r="EA16" s="655"/>
      <c r="EB16" s="655"/>
      <c r="EC16" s="655"/>
      <c r="ED16" s="655"/>
      <c r="EE16" s="655"/>
      <c r="EF16" s="655"/>
      <c r="EG16" s="655"/>
      <c r="EH16" s="655"/>
      <c r="EI16" s="655"/>
      <c r="EJ16" s="655"/>
      <c r="EK16" s="655"/>
      <c r="EL16" s="655"/>
      <c r="EM16" s="655"/>
      <c r="EN16" s="655"/>
      <c r="EO16" s="655"/>
      <c r="EP16" s="655"/>
      <c r="EQ16" s="655"/>
      <c r="ER16" s="655"/>
      <c r="ES16" s="655"/>
      <c r="ET16" s="655"/>
      <c r="EU16" s="655"/>
      <c r="EV16" s="655"/>
      <c r="EW16" s="655"/>
      <c r="EX16" s="655"/>
      <c r="EY16" s="655"/>
      <c r="EZ16" s="655"/>
      <c r="FA16" s="655"/>
      <c r="FB16" s="655"/>
      <c r="FC16" s="655"/>
      <c r="FD16" s="655"/>
      <c r="FE16" s="655"/>
      <c r="FF16" s="655"/>
      <c r="FG16" s="655"/>
      <c r="FH16" s="655"/>
      <c r="FI16" s="655"/>
      <c r="FJ16" s="655"/>
      <c r="FK16" s="655"/>
      <c r="FL16" s="655"/>
      <c r="FM16" s="655"/>
      <c r="FN16" s="655"/>
      <c r="FO16" s="655"/>
      <c r="FP16" s="655"/>
      <c r="FQ16" s="655"/>
      <c r="FR16" s="655"/>
      <c r="FS16" s="655"/>
      <c r="FT16" s="655"/>
      <c r="FU16" s="655"/>
      <c r="FV16" s="655"/>
      <c r="FW16" s="655"/>
      <c r="FX16" s="655"/>
      <c r="FY16" s="655"/>
      <c r="FZ16" s="655"/>
      <c r="GA16" s="655"/>
      <c r="GB16" s="655"/>
      <c r="GC16" s="655"/>
      <c r="GD16" s="655"/>
      <c r="GE16" s="655"/>
      <c r="GF16" s="655"/>
      <c r="GG16" s="655"/>
      <c r="GH16" s="655"/>
      <c r="GI16" s="655"/>
      <c r="GJ16" s="655"/>
      <c r="GK16" s="655"/>
      <c r="GL16" s="655"/>
      <c r="GM16" s="655"/>
      <c r="GN16" s="655"/>
      <c r="GO16" s="655"/>
      <c r="GP16" s="655"/>
      <c r="GQ16" s="655"/>
      <c r="GR16" s="655"/>
      <c r="GS16" s="655"/>
      <c r="GT16" s="655"/>
      <c r="GU16" s="655"/>
      <c r="GV16" s="655"/>
      <c r="GW16" s="655"/>
      <c r="GX16" s="655"/>
      <c r="GY16" s="655"/>
      <c r="GZ16" s="655"/>
      <c r="HA16" s="655"/>
      <c r="HB16" s="655"/>
      <c r="HC16" s="655"/>
      <c r="HD16" s="655"/>
      <c r="HE16" s="655"/>
      <c r="HF16" s="655"/>
      <c r="HG16" s="655"/>
      <c r="HH16" s="655"/>
      <c r="HI16" s="655"/>
      <c r="HJ16" s="655"/>
      <c r="HK16" s="655"/>
      <c r="HL16" s="655"/>
      <c r="HM16" s="655"/>
      <c r="HN16" s="655"/>
      <c r="HO16" s="655"/>
      <c r="HP16" s="655"/>
      <c r="HQ16" s="655"/>
      <c r="HR16" s="655"/>
      <c r="HS16" s="655"/>
      <c r="HT16" s="655"/>
      <c r="HU16" s="655"/>
      <c r="HV16" s="655"/>
      <c r="HW16" s="655"/>
      <c r="HX16" s="655"/>
      <c r="HY16" s="655"/>
      <c r="HZ16" s="655"/>
      <c r="IA16" s="655"/>
      <c r="IB16" s="655"/>
      <c r="IC16" s="655"/>
      <c r="ID16" s="655"/>
      <c r="IE16" s="655"/>
      <c r="IF16" s="655"/>
      <c r="IG16" s="655"/>
      <c r="IH16" s="655"/>
      <c r="II16" s="655"/>
      <c r="IJ16" s="655"/>
      <c r="IK16" s="655"/>
      <c r="IL16" s="655"/>
      <c r="IM16" s="655"/>
      <c r="IN16" s="655"/>
      <c r="IO16" s="655"/>
      <c r="IP16" s="655"/>
      <c r="IQ16" s="655"/>
      <c r="IR16" s="655"/>
      <c r="IS16" s="655"/>
      <c r="IT16" s="655"/>
      <c r="IU16" s="655"/>
      <c r="IV16" s="655"/>
    </row>
    <row r="17" spans="1:256" ht="24" customHeight="1">
      <c r="A17" s="660" t="s">
        <v>1225</v>
      </c>
      <c r="B17" s="664">
        <v>2354850</v>
      </c>
      <c r="C17" s="664"/>
      <c r="D17" s="664"/>
      <c r="E17" s="664"/>
      <c r="F17" s="664"/>
      <c r="G17" s="664"/>
      <c r="H17" s="664">
        <f t="shared" si="0"/>
        <v>2354850</v>
      </c>
      <c r="I17" s="660"/>
      <c r="J17" s="665"/>
      <c r="K17" s="664"/>
      <c r="L17" s="666"/>
      <c r="M17" s="667"/>
      <c r="N17" s="667"/>
      <c r="O17" s="666"/>
      <c r="P17" s="663"/>
      <c r="Q17" s="655"/>
      <c r="R17" s="655"/>
      <c r="S17" s="655"/>
      <c r="T17" s="655"/>
      <c r="U17" s="655"/>
      <c r="V17" s="655"/>
      <c r="W17" s="655"/>
      <c r="X17" s="655"/>
      <c r="Y17" s="655"/>
      <c r="Z17" s="655"/>
      <c r="AA17" s="655"/>
      <c r="AB17" s="655"/>
      <c r="AC17" s="655"/>
      <c r="AD17" s="655"/>
      <c r="AE17" s="655"/>
      <c r="AF17" s="655"/>
      <c r="AG17" s="655"/>
      <c r="AH17" s="655"/>
      <c r="AI17" s="655"/>
      <c r="AJ17" s="655"/>
      <c r="AK17" s="655"/>
      <c r="AL17" s="655"/>
      <c r="AM17" s="655"/>
      <c r="AN17" s="655"/>
      <c r="AO17" s="655"/>
      <c r="AP17" s="655"/>
      <c r="AQ17" s="655"/>
      <c r="AR17" s="655"/>
      <c r="AS17" s="655"/>
      <c r="AT17" s="655"/>
      <c r="AU17" s="655"/>
      <c r="AV17" s="655"/>
      <c r="AW17" s="655"/>
      <c r="AX17" s="655"/>
      <c r="AY17" s="655"/>
      <c r="AZ17" s="655"/>
      <c r="BA17" s="655"/>
      <c r="BB17" s="655"/>
      <c r="BC17" s="655"/>
      <c r="BD17" s="655"/>
      <c r="BE17" s="655"/>
      <c r="BF17" s="655"/>
      <c r="BG17" s="655"/>
      <c r="BH17" s="655"/>
      <c r="BI17" s="655"/>
      <c r="BJ17" s="655"/>
      <c r="BK17" s="655"/>
      <c r="BL17" s="655"/>
      <c r="BM17" s="655"/>
      <c r="BN17" s="655"/>
      <c r="BO17" s="655"/>
      <c r="BP17" s="655"/>
      <c r="BQ17" s="655"/>
      <c r="BR17" s="655"/>
      <c r="BS17" s="655"/>
      <c r="BT17" s="655"/>
      <c r="BU17" s="655"/>
      <c r="BV17" s="655"/>
      <c r="BW17" s="655"/>
      <c r="BX17" s="655"/>
      <c r="BY17" s="655"/>
      <c r="BZ17" s="655"/>
      <c r="CA17" s="655"/>
      <c r="CB17" s="655"/>
      <c r="CC17" s="655"/>
      <c r="CD17" s="655"/>
      <c r="CE17" s="655"/>
      <c r="CF17" s="655"/>
      <c r="CG17" s="655"/>
      <c r="CH17" s="655"/>
      <c r="CI17" s="655"/>
      <c r="CJ17" s="655"/>
      <c r="CK17" s="655"/>
      <c r="CL17" s="655"/>
      <c r="CM17" s="655"/>
      <c r="CN17" s="655"/>
      <c r="CO17" s="655"/>
      <c r="CP17" s="655"/>
      <c r="CQ17" s="655"/>
      <c r="CR17" s="655"/>
      <c r="CS17" s="655"/>
      <c r="CT17" s="655"/>
      <c r="CU17" s="655"/>
      <c r="CV17" s="655"/>
      <c r="CW17" s="655"/>
      <c r="CX17" s="655"/>
      <c r="CY17" s="655"/>
      <c r="CZ17" s="655"/>
      <c r="DA17" s="655"/>
      <c r="DB17" s="655"/>
      <c r="DC17" s="655"/>
      <c r="DD17" s="655"/>
      <c r="DE17" s="655"/>
      <c r="DF17" s="655"/>
      <c r="DG17" s="655"/>
      <c r="DH17" s="655"/>
      <c r="DI17" s="655"/>
      <c r="DJ17" s="655"/>
      <c r="DK17" s="655"/>
      <c r="DL17" s="655"/>
      <c r="DM17" s="655"/>
      <c r="DN17" s="655"/>
      <c r="DO17" s="655"/>
      <c r="DP17" s="655"/>
      <c r="DQ17" s="655"/>
      <c r="DR17" s="655"/>
      <c r="DS17" s="655"/>
      <c r="DT17" s="655"/>
      <c r="DU17" s="655"/>
      <c r="DV17" s="655"/>
      <c r="DW17" s="655"/>
      <c r="DX17" s="655"/>
      <c r="DY17" s="655"/>
      <c r="DZ17" s="655"/>
      <c r="EA17" s="655"/>
      <c r="EB17" s="655"/>
      <c r="EC17" s="655"/>
      <c r="ED17" s="655"/>
      <c r="EE17" s="655"/>
      <c r="EF17" s="655"/>
      <c r="EG17" s="655"/>
      <c r="EH17" s="655"/>
      <c r="EI17" s="655"/>
      <c r="EJ17" s="655"/>
      <c r="EK17" s="655"/>
      <c r="EL17" s="655"/>
      <c r="EM17" s="655"/>
      <c r="EN17" s="655"/>
      <c r="EO17" s="655"/>
      <c r="EP17" s="655"/>
      <c r="EQ17" s="655"/>
      <c r="ER17" s="655"/>
      <c r="ES17" s="655"/>
      <c r="ET17" s="655"/>
      <c r="EU17" s="655"/>
      <c r="EV17" s="655"/>
      <c r="EW17" s="655"/>
      <c r="EX17" s="655"/>
      <c r="EY17" s="655"/>
      <c r="EZ17" s="655"/>
      <c r="FA17" s="655"/>
      <c r="FB17" s="655"/>
      <c r="FC17" s="655"/>
      <c r="FD17" s="655"/>
      <c r="FE17" s="655"/>
      <c r="FF17" s="655"/>
      <c r="FG17" s="655"/>
      <c r="FH17" s="655"/>
      <c r="FI17" s="655"/>
      <c r="FJ17" s="655"/>
      <c r="FK17" s="655"/>
      <c r="FL17" s="655"/>
      <c r="FM17" s="655"/>
      <c r="FN17" s="655"/>
      <c r="FO17" s="655"/>
      <c r="FP17" s="655"/>
      <c r="FQ17" s="655"/>
      <c r="FR17" s="655"/>
      <c r="FS17" s="655"/>
      <c r="FT17" s="655"/>
      <c r="FU17" s="655"/>
      <c r="FV17" s="655"/>
      <c r="FW17" s="655"/>
      <c r="FX17" s="655"/>
      <c r="FY17" s="655"/>
      <c r="FZ17" s="655"/>
      <c r="GA17" s="655"/>
      <c r="GB17" s="655"/>
      <c r="GC17" s="655"/>
      <c r="GD17" s="655"/>
      <c r="GE17" s="655"/>
      <c r="GF17" s="655"/>
      <c r="GG17" s="655"/>
      <c r="GH17" s="655"/>
      <c r="GI17" s="655"/>
      <c r="GJ17" s="655"/>
      <c r="GK17" s="655"/>
      <c r="GL17" s="655"/>
      <c r="GM17" s="655"/>
      <c r="GN17" s="655"/>
      <c r="GO17" s="655"/>
      <c r="GP17" s="655"/>
      <c r="GQ17" s="655"/>
      <c r="GR17" s="655"/>
      <c r="GS17" s="655"/>
      <c r="GT17" s="655"/>
      <c r="GU17" s="655"/>
      <c r="GV17" s="655"/>
      <c r="GW17" s="655"/>
      <c r="GX17" s="655"/>
      <c r="GY17" s="655"/>
      <c r="GZ17" s="655"/>
      <c r="HA17" s="655"/>
      <c r="HB17" s="655"/>
      <c r="HC17" s="655"/>
      <c r="HD17" s="655"/>
      <c r="HE17" s="655"/>
      <c r="HF17" s="655"/>
      <c r="HG17" s="655"/>
      <c r="HH17" s="655"/>
      <c r="HI17" s="655"/>
      <c r="HJ17" s="655"/>
      <c r="HK17" s="655"/>
      <c r="HL17" s="655"/>
      <c r="HM17" s="655"/>
      <c r="HN17" s="655"/>
      <c r="HO17" s="655"/>
      <c r="HP17" s="655"/>
      <c r="HQ17" s="655"/>
      <c r="HR17" s="655"/>
      <c r="HS17" s="655"/>
      <c r="HT17" s="655"/>
      <c r="HU17" s="655"/>
      <c r="HV17" s="655"/>
      <c r="HW17" s="655"/>
      <c r="HX17" s="655"/>
      <c r="HY17" s="655"/>
      <c r="HZ17" s="655"/>
      <c r="IA17" s="655"/>
      <c r="IB17" s="655"/>
      <c r="IC17" s="655"/>
      <c r="ID17" s="655"/>
      <c r="IE17" s="655"/>
      <c r="IF17" s="655"/>
      <c r="IG17" s="655"/>
      <c r="IH17" s="655"/>
      <c r="II17" s="655"/>
      <c r="IJ17" s="655"/>
      <c r="IK17" s="655"/>
      <c r="IL17" s="655"/>
      <c r="IM17" s="655"/>
      <c r="IN17" s="655"/>
      <c r="IO17" s="655"/>
      <c r="IP17" s="655"/>
      <c r="IQ17" s="655"/>
      <c r="IR17" s="655"/>
      <c r="IS17" s="655"/>
      <c r="IT17" s="655"/>
      <c r="IU17" s="655"/>
      <c r="IV17" s="655"/>
    </row>
    <row r="18" spans="1:256" ht="24" customHeight="1">
      <c r="A18" s="660" t="s">
        <v>209</v>
      </c>
      <c r="B18" s="661">
        <v>332155304</v>
      </c>
      <c r="C18" s="661"/>
      <c r="D18" s="661"/>
      <c r="E18" s="661"/>
      <c r="F18" s="661"/>
      <c r="G18" s="661"/>
      <c r="H18" s="661">
        <f t="shared" si="0"/>
        <v>332155304</v>
      </c>
      <c r="I18" s="660" t="s">
        <v>617</v>
      </c>
      <c r="J18" s="1657">
        <v>197710539</v>
      </c>
      <c r="K18" s="661"/>
      <c r="L18" s="667">
        <v>202352</v>
      </c>
      <c r="M18" s="662">
        <v>193702</v>
      </c>
      <c r="N18" s="662">
        <v>269743</v>
      </c>
      <c r="O18" s="667">
        <v>530936</v>
      </c>
      <c r="P18" s="663">
        <f t="shared" si="1"/>
        <v>198907272</v>
      </c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5"/>
      <c r="AG18" s="655"/>
      <c r="AH18" s="655"/>
      <c r="AI18" s="655"/>
      <c r="AJ18" s="655"/>
      <c r="AK18" s="655"/>
      <c r="AL18" s="655"/>
      <c r="AM18" s="655"/>
      <c r="AN18" s="655"/>
      <c r="AO18" s="655"/>
      <c r="AP18" s="655"/>
      <c r="AQ18" s="655"/>
      <c r="AR18" s="655"/>
      <c r="AS18" s="655"/>
      <c r="AT18" s="655"/>
      <c r="AU18" s="655"/>
      <c r="AV18" s="655"/>
      <c r="AW18" s="655"/>
      <c r="AX18" s="655"/>
      <c r="AY18" s="655"/>
      <c r="AZ18" s="655"/>
      <c r="BA18" s="655"/>
      <c r="BB18" s="655"/>
      <c r="BC18" s="655"/>
      <c r="BD18" s="655"/>
      <c r="BE18" s="655"/>
      <c r="BF18" s="655"/>
      <c r="BG18" s="655"/>
      <c r="BH18" s="655"/>
      <c r="BI18" s="655"/>
      <c r="BJ18" s="655"/>
      <c r="BK18" s="655"/>
      <c r="BL18" s="655"/>
      <c r="BM18" s="655"/>
      <c r="BN18" s="655"/>
      <c r="BO18" s="655"/>
      <c r="BP18" s="655"/>
      <c r="BQ18" s="655"/>
      <c r="BR18" s="655"/>
      <c r="BS18" s="655"/>
      <c r="BT18" s="655"/>
      <c r="BU18" s="655"/>
      <c r="BV18" s="655"/>
      <c r="BW18" s="655"/>
      <c r="BX18" s="655"/>
      <c r="BY18" s="655"/>
      <c r="BZ18" s="655"/>
      <c r="CA18" s="655"/>
      <c r="CB18" s="655"/>
      <c r="CC18" s="655"/>
      <c r="CD18" s="655"/>
      <c r="CE18" s="655"/>
      <c r="CF18" s="655"/>
      <c r="CG18" s="655"/>
      <c r="CH18" s="655"/>
      <c r="CI18" s="655"/>
      <c r="CJ18" s="655"/>
      <c r="CK18" s="655"/>
      <c r="CL18" s="655"/>
      <c r="CM18" s="655"/>
      <c r="CN18" s="655"/>
      <c r="CO18" s="655"/>
      <c r="CP18" s="655"/>
      <c r="CQ18" s="655"/>
      <c r="CR18" s="655"/>
      <c r="CS18" s="655"/>
      <c r="CT18" s="655"/>
      <c r="CU18" s="655"/>
      <c r="CV18" s="655"/>
      <c r="CW18" s="655"/>
      <c r="CX18" s="655"/>
      <c r="CY18" s="655"/>
      <c r="CZ18" s="655"/>
      <c r="DA18" s="655"/>
      <c r="DB18" s="655"/>
      <c r="DC18" s="655"/>
      <c r="DD18" s="655"/>
      <c r="DE18" s="655"/>
      <c r="DF18" s="655"/>
      <c r="DG18" s="655"/>
      <c r="DH18" s="655"/>
      <c r="DI18" s="655"/>
      <c r="DJ18" s="655"/>
      <c r="DK18" s="655"/>
      <c r="DL18" s="655"/>
      <c r="DM18" s="655"/>
      <c r="DN18" s="655"/>
      <c r="DO18" s="655"/>
      <c r="DP18" s="655"/>
      <c r="DQ18" s="655"/>
      <c r="DR18" s="655"/>
      <c r="DS18" s="655"/>
      <c r="DT18" s="655"/>
      <c r="DU18" s="655"/>
      <c r="DV18" s="655"/>
      <c r="DW18" s="655"/>
      <c r="DX18" s="655"/>
      <c r="DY18" s="655"/>
      <c r="DZ18" s="655"/>
      <c r="EA18" s="655"/>
      <c r="EB18" s="655"/>
      <c r="EC18" s="655"/>
      <c r="ED18" s="655"/>
      <c r="EE18" s="655"/>
      <c r="EF18" s="655"/>
      <c r="EG18" s="655"/>
      <c r="EH18" s="655"/>
      <c r="EI18" s="655"/>
      <c r="EJ18" s="655"/>
      <c r="EK18" s="655"/>
      <c r="EL18" s="655"/>
      <c r="EM18" s="655"/>
      <c r="EN18" s="655"/>
      <c r="EO18" s="655"/>
      <c r="EP18" s="655"/>
      <c r="EQ18" s="655"/>
      <c r="ER18" s="655"/>
      <c r="ES18" s="655"/>
      <c r="ET18" s="655"/>
      <c r="EU18" s="655"/>
      <c r="EV18" s="655"/>
      <c r="EW18" s="655"/>
      <c r="EX18" s="655"/>
      <c r="EY18" s="655"/>
      <c r="EZ18" s="655"/>
      <c r="FA18" s="655"/>
      <c r="FB18" s="655"/>
      <c r="FC18" s="655"/>
      <c r="FD18" s="655"/>
      <c r="FE18" s="655"/>
      <c r="FF18" s="655"/>
      <c r="FG18" s="655"/>
      <c r="FH18" s="655"/>
      <c r="FI18" s="655"/>
      <c r="FJ18" s="655"/>
      <c r="FK18" s="655"/>
      <c r="FL18" s="655"/>
      <c r="FM18" s="655"/>
      <c r="FN18" s="655"/>
      <c r="FO18" s="655"/>
      <c r="FP18" s="655"/>
      <c r="FQ18" s="655"/>
      <c r="FR18" s="655"/>
      <c r="FS18" s="655"/>
      <c r="FT18" s="655"/>
      <c r="FU18" s="655"/>
      <c r="FV18" s="655"/>
      <c r="FW18" s="655"/>
      <c r="FX18" s="655"/>
      <c r="FY18" s="655"/>
      <c r="FZ18" s="655"/>
      <c r="GA18" s="655"/>
      <c r="GB18" s="655"/>
      <c r="GC18" s="655"/>
      <c r="GD18" s="655"/>
      <c r="GE18" s="655"/>
      <c r="GF18" s="655"/>
      <c r="GG18" s="655"/>
      <c r="GH18" s="655"/>
      <c r="GI18" s="655"/>
      <c r="GJ18" s="655"/>
      <c r="GK18" s="655"/>
      <c r="GL18" s="655"/>
      <c r="GM18" s="655"/>
      <c r="GN18" s="655"/>
      <c r="GO18" s="655"/>
      <c r="GP18" s="655"/>
      <c r="GQ18" s="655"/>
      <c r="GR18" s="655"/>
      <c r="GS18" s="655"/>
      <c r="GT18" s="655"/>
      <c r="GU18" s="655"/>
      <c r="GV18" s="655"/>
      <c r="GW18" s="655"/>
      <c r="GX18" s="655"/>
      <c r="GY18" s="655"/>
      <c r="GZ18" s="655"/>
      <c r="HA18" s="655"/>
      <c r="HB18" s="655"/>
      <c r="HC18" s="655"/>
      <c r="HD18" s="655"/>
      <c r="HE18" s="655"/>
      <c r="HF18" s="655"/>
      <c r="HG18" s="655"/>
      <c r="HH18" s="655"/>
      <c r="HI18" s="655"/>
      <c r="HJ18" s="655"/>
      <c r="HK18" s="655"/>
      <c r="HL18" s="655"/>
      <c r="HM18" s="655"/>
      <c r="HN18" s="655"/>
      <c r="HO18" s="655"/>
      <c r="HP18" s="655"/>
      <c r="HQ18" s="655"/>
      <c r="HR18" s="655"/>
      <c r="HS18" s="655"/>
      <c r="HT18" s="655"/>
      <c r="HU18" s="655"/>
      <c r="HV18" s="655"/>
      <c r="HW18" s="655"/>
      <c r="HX18" s="655"/>
      <c r="HY18" s="655"/>
      <c r="HZ18" s="655"/>
      <c r="IA18" s="655"/>
      <c r="IB18" s="655"/>
      <c r="IC18" s="655"/>
      <c r="ID18" s="655"/>
      <c r="IE18" s="655"/>
      <c r="IF18" s="655"/>
      <c r="IG18" s="655"/>
      <c r="IH18" s="655"/>
      <c r="II18" s="655"/>
      <c r="IJ18" s="655"/>
      <c r="IK18" s="655"/>
      <c r="IL18" s="655"/>
      <c r="IM18" s="655"/>
      <c r="IN18" s="655"/>
      <c r="IO18" s="655"/>
      <c r="IP18" s="655"/>
      <c r="IQ18" s="655"/>
      <c r="IR18" s="655"/>
      <c r="IS18" s="655"/>
      <c r="IT18" s="655"/>
      <c r="IU18" s="655"/>
      <c r="IV18" s="655"/>
    </row>
    <row r="19" spans="1:256" ht="16.5" customHeight="1">
      <c r="A19" s="668" t="s">
        <v>444</v>
      </c>
      <c r="B19" s="669">
        <f>SUM(B8:B18)</f>
        <v>639545318</v>
      </c>
      <c r="C19" s="669">
        <f>SUM(C8:C15)</f>
        <v>1135056</v>
      </c>
      <c r="D19" s="669">
        <f>SUM(D8:D15)</f>
        <v>100670564</v>
      </c>
      <c r="E19" s="669">
        <f>SUM(E8:E15)</f>
        <v>134765808</v>
      </c>
      <c r="F19" s="669">
        <f>SUM(F8:F15)</f>
        <v>23599246</v>
      </c>
      <c r="G19" s="669">
        <f>SUM(G8:G15)</f>
        <v>109536598</v>
      </c>
      <c r="H19" s="669">
        <f>SUM(H8:H18)</f>
        <v>1009252590</v>
      </c>
      <c r="I19" s="668" t="s">
        <v>444</v>
      </c>
      <c r="J19" s="669">
        <f aca="true" t="shared" si="2" ref="J19:O19">SUM(J8:J18)</f>
        <v>631122269</v>
      </c>
      <c r="K19" s="669">
        <f t="shared" si="2"/>
        <v>1135056</v>
      </c>
      <c r="L19" s="669">
        <f>SUM(L8:L18)</f>
        <v>100670564</v>
      </c>
      <c r="M19" s="669">
        <f>SUM(M8:M18)</f>
        <v>134765808</v>
      </c>
      <c r="N19" s="669">
        <f t="shared" si="2"/>
        <v>23599246</v>
      </c>
      <c r="O19" s="669">
        <f t="shared" si="2"/>
        <v>109536598</v>
      </c>
      <c r="P19" s="669">
        <f>SUM(P8+P11+P12+P13+P15+P18)+P9+P10+P25</f>
        <v>1009252590</v>
      </c>
      <c r="Q19" s="655"/>
      <c r="R19" s="655"/>
      <c r="S19" s="655"/>
      <c r="T19" s="655"/>
      <c r="U19" s="655"/>
      <c r="V19" s="655"/>
      <c r="W19" s="655"/>
      <c r="X19" s="655"/>
      <c r="Y19" s="655"/>
      <c r="Z19" s="655"/>
      <c r="AA19" s="655"/>
      <c r="AB19" s="655"/>
      <c r="AC19" s="655"/>
      <c r="AD19" s="655"/>
      <c r="AE19" s="655"/>
      <c r="AF19" s="655"/>
      <c r="AG19" s="655"/>
      <c r="AH19" s="655"/>
      <c r="AI19" s="655"/>
      <c r="AJ19" s="655"/>
      <c r="AK19" s="655"/>
      <c r="AL19" s="655"/>
      <c r="AM19" s="655"/>
      <c r="AN19" s="655"/>
      <c r="AO19" s="655"/>
      <c r="AP19" s="655"/>
      <c r="AQ19" s="655"/>
      <c r="AR19" s="655"/>
      <c r="AS19" s="655"/>
      <c r="AT19" s="655"/>
      <c r="AU19" s="655"/>
      <c r="AV19" s="655"/>
      <c r="AW19" s="655"/>
      <c r="AX19" s="655"/>
      <c r="AY19" s="655"/>
      <c r="AZ19" s="655"/>
      <c r="BA19" s="655"/>
      <c r="BB19" s="655"/>
      <c r="BC19" s="655"/>
      <c r="BD19" s="655"/>
      <c r="BE19" s="655"/>
      <c r="BF19" s="655"/>
      <c r="BG19" s="655"/>
      <c r="BH19" s="655"/>
      <c r="BI19" s="655"/>
      <c r="BJ19" s="655"/>
      <c r="BK19" s="655"/>
      <c r="BL19" s="655"/>
      <c r="BM19" s="655"/>
      <c r="BN19" s="655"/>
      <c r="BO19" s="655"/>
      <c r="BP19" s="655"/>
      <c r="BQ19" s="655"/>
      <c r="BR19" s="655"/>
      <c r="BS19" s="655"/>
      <c r="BT19" s="655"/>
      <c r="BU19" s="655"/>
      <c r="BV19" s="655"/>
      <c r="BW19" s="655"/>
      <c r="BX19" s="655"/>
      <c r="BY19" s="655"/>
      <c r="BZ19" s="655"/>
      <c r="CA19" s="655"/>
      <c r="CB19" s="655"/>
      <c r="CC19" s="655"/>
      <c r="CD19" s="655"/>
      <c r="CE19" s="655"/>
      <c r="CF19" s="655"/>
      <c r="CG19" s="655"/>
      <c r="CH19" s="655"/>
      <c r="CI19" s="655"/>
      <c r="CJ19" s="655"/>
      <c r="CK19" s="655"/>
      <c r="CL19" s="655"/>
      <c r="CM19" s="655"/>
      <c r="CN19" s="655"/>
      <c r="CO19" s="655"/>
      <c r="CP19" s="655"/>
      <c r="CQ19" s="655"/>
      <c r="CR19" s="655"/>
      <c r="CS19" s="655"/>
      <c r="CT19" s="655"/>
      <c r="CU19" s="655"/>
      <c r="CV19" s="655"/>
      <c r="CW19" s="655"/>
      <c r="CX19" s="655"/>
      <c r="CY19" s="655"/>
      <c r="CZ19" s="655"/>
      <c r="DA19" s="655"/>
      <c r="DB19" s="655"/>
      <c r="DC19" s="655"/>
      <c r="DD19" s="655"/>
      <c r="DE19" s="655"/>
      <c r="DF19" s="655"/>
      <c r="DG19" s="655"/>
      <c r="DH19" s="655"/>
      <c r="DI19" s="655"/>
      <c r="DJ19" s="655"/>
      <c r="DK19" s="655"/>
      <c r="DL19" s="655"/>
      <c r="DM19" s="655"/>
      <c r="DN19" s="655"/>
      <c r="DO19" s="655"/>
      <c r="DP19" s="655"/>
      <c r="DQ19" s="655"/>
      <c r="DR19" s="655"/>
      <c r="DS19" s="655"/>
      <c r="DT19" s="655"/>
      <c r="DU19" s="655"/>
      <c r="DV19" s="655"/>
      <c r="DW19" s="655"/>
      <c r="DX19" s="655"/>
      <c r="DY19" s="655"/>
      <c r="DZ19" s="655"/>
      <c r="EA19" s="655"/>
      <c r="EB19" s="655"/>
      <c r="EC19" s="655"/>
      <c r="ED19" s="655"/>
      <c r="EE19" s="655"/>
      <c r="EF19" s="655"/>
      <c r="EG19" s="655"/>
      <c r="EH19" s="655"/>
      <c r="EI19" s="655"/>
      <c r="EJ19" s="655"/>
      <c r="EK19" s="655"/>
      <c r="EL19" s="655"/>
      <c r="EM19" s="655"/>
      <c r="EN19" s="655"/>
      <c r="EO19" s="655"/>
      <c r="EP19" s="655"/>
      <c r="EQ19" s="655"/>
      <c r="ER19" s="655"/>
      <c r="ES19" s="655"/>
      <c r="ET19" s="655"/>
      <c r="EU19" s="655"/>
      <c r="EV19" s="655"/>
      <c r="EW19" s="655"/>
      <c r="EX19" s="655"/>
      <c r="EY19" s="655"/>
      <c r="EZ19" s="655"/>
      <c r="FA19" s="655"/>
      <c r="FB19" s="655"/>
      <c r="FC19" s="655"/>
      <c r="FD19" s="655"/>
      <c r="FE19" s="655"/>
      <c r="FF19" s="655"/>
      <c r="FG19" s="655"/>
      <c r="FH19" s="655"/>
      <c r="FI19" s="655"/>
      <c r="FJ19" s="655"/>
      <c r="FK19" s="655"/>
      <c r="FL19" s="655"/>
      <c r="FM19" s="655"/>
      <c r="FN19" s="655"/>
      <c r="FO19" s="655"/>
      <c r="FP19" s="655"/>
      <c r="FQ19" s="655"/>
      <c r="FR19" s="655"/>
      <c r="FS19" s="655"/>
      <c r="FT19" s="655"/>
      <c r="FU19" s="655"/>
      <c r="FV19" s="655"/>
      <c r="FW19" s="655"/>
      <c r="FX19" s="655"/>
      <c r="FY19" s="655"/>
      <c r="FZ19" s="655"/>
      <c r="GA19" s="655"/>
      <c r="GB19" s="655"/>
      <c r="GC19" s="655"/>
      <c r="GD19" s="655"/>
      <c r="GE19" s="655"/>
      <c r="GF19" s="655"/>
      <c r="GG19" s="655"/>
      <c r="GH19" s="655"/>
      <c r="GI19" s="655"/>
      <c r="GJ19" s="655"/>
      <c r="GK19" s="655"/>
      <c r="GL19" s="655"/>
      <c r="GM19" s="655"/>
      <c r="GN19" s="655"/>
      <c r="GO19" s="655"/>
      <c r="GP19" s="655"/>
      <c r="GQ19" s="655"/>
      <c r="GR19" s="655"/>
      <c r="GS19" s="655"/>
      <c r="GT19" s="655"/>
      <c r="GU19" s="655"/>
      <c r="GV19" s="655"/>
      <c r="GW19" s="655"/>
      <c r="GX19" s="655"/>
      <c r="GY19" s="655"/>
      <c r="GZ19" s="655"/>
      <c r="HA19" s="655"/>
      <c r="HB19" s="655"/>
      <c r="HC19" s="655"/>
      <c r="HD19" s="655"/>
      <c r="HE19" s="655"/>
      <c r="HF19" s="655"/>
      <c r="HG19" s="655"/>
      <c r="HH19" s="655"/>
      <c r="HI19" s="655"/>
      <c r="HJ19" s="655"/>
      <c r="HK19" s="655"/>
      <c r="HL19" s="655"/>
      <c r="HM19" s="655"/>
      <c r="HN19" s="655"/>
      <c r="HO19" s="655"/>
      <c r="HP19" s="655"/>
      <c r="HQ19" s="655"/>
      <c r="HR19" s="655"/>
      <c r="HS19" s="655"/>
      <c r="HT19" s="655"/>
      <c r="HU19" s="655"/>
      <c r="HV19" s="655"/>
      <c r="HW19" s="655"/>
      <c r="HX19" s="655"/>
      <c r="HY19" s="655"/>
      <c r="HZ19" s="655"/>
      <c r="IA19" s="655"/>
      <c r="IB19" s="655"/>
      <c r="IC19" s="655"/>
      <c r="ID19" s="655"/>
      <c r="IE19" s="655"/>
      <c r="IF19" s="655"/>
      <c r="IG19" s="655"/>
      <c r="IH19" s="655"/>
      <c r="II19" s="655"/>
      <c r="IJ19" s="655"/>
      <c r="IK19" s="655"/>
      <c r="IL19" s="655"/>
      <c r="IM19" s="655"/>
      <c r="IN19" s="655"/>
      <c r="IO19" s="655"/>
      <c r="IP19" s="655"/>
      <c r="IQ19" s="655"/>
      <c r="IR19" s="655"/>
      <c r="IS19" s="655"/>
      <c r="IT19" s="655"/>
      <c r="IU19" s="655"/>
      <c r="IV19" s="655"/>
    </row>
    <row r="20" spans="1:256" ht="16.5" customHeight="1">
      <c r="A20" s="1936"/>
      <c r="B20" s="1936"/>
      <c r="C20" s="1936"/>
      <c r="D20" s="1936"/>
      <c r="E20" s="1936"/>
      <c r="F20" s="1936"/>
      <c r="G20" s="1936"/>
      <c r="H20" s="1936"/>
      <c r="I20" s="1936"/>
      <c r="J20" s="1936"/>
      <c r="K20" s="1936"/>
      <c r="L20" s="1936"/>
      <c r="M20" s="1936"/>
      <c r="N20" s="1936"/>
      <c r="O20" s="1936"/>
      <c r="P20" s="1936"/>
      <c r="Q20" s="655"/>
      <c r="R20" s="655"/>
      <c r="S20" s="655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  <c r="AD20" s="655"/>
      <c r="AE20" s="655"/>
      <c r="AF20" s="655"/>
      <c r="AG20" s="655"/>
      <c r="AH20" s="655"/>
      <c r="AI20" s="655"/>
      <c r="AJ20" s="655"/>
      <c r="AK20" s="655"/>
      <c r="AL20" s="655"/>
      <c r="AM20" s="655"/>
      <c r="AN20" s="655"/>
      <c r="AO20" s="655"/>
      <c r="AP20" s="655"/>
      <c r="AQ20" s="655"/>
      <c r="AR20" s="655"/>
      <c r="AS20" s="655"/>
      <c r="AT20" s="655"/>
      <c r="AU20" s="655"/>
      <c r="AV20" s="655"/>
      <c r="AW20" s="655"/>
      <c r="AX20" s="655"/>
      <c r="AY20" s="655"/>
      <c r="AZ20" s="655"/>
      <c r="BA20" s="655"/>
      <c r="BB20" s="655"/>
      <c r="BC20" s="655"/>
      <c r="BD20" s="655"/>
      <c r="BE20" s="655"/>
      <c r="BF20" s="655"/>
      <c r="BG20" s="655"/>
      <c r="BH20" s="655"/>
      <c r="BI20" s="655"/>
      <c r="BJ20" s="655"/>
      <c r="BK20" s="655"/>
      <c r="BL20" s="655"/>
      <c r="BM20" s="655"/>
      <c r="BN20" s="655"/>
      <c r="BO20" s="655"/>
      <c r="BP20" s="655"/>
      <c r="BQ20" s="655"/>
      <c r="BR20" s="655"/>
      <c r="BS20" s="655"/>
      <c r="BT20" s="655"/>
      <c r="BU20" s="655"/>
      <c r="BV20" s="655"/>
      <c r="BW20" s="655"/>
      <c r="BX20" s="655"/>
      <c r="BY20" s="655"/>
      <c r="BZ20" s="655"/>
      <c r="CA20" s="655"/>
      <c r="CB20" s="655"/>
      <c r="CC20" s="655"/>
      <c r="CD20" s="655"/>
      <c r="CE20" s="655"/>
      <c r="CF20" s="655"/>
      <c r="CG20" s="655"/>
      <c r="CH20" s="655"/>
      <c r="CI20" s="655"/>
      <c r="CJ20" s="655"/>
      <c r="CK20" s="655"/>
      <c r="CL20" s="655"/>
      <c r="CM20" s="655"/>
      <c r="CN20" s="655"/>
      <c r="CO20" s="655"/>
      <c r="CP20" s="655"/>
      <c r="CQ20" s="655"/>
      <c r="CR20" s="655"/>
      <c r="CS20" s="655"/>
      <c r="CT20" s="655"/>
      <c r="CU20" s="655"/>
      <c r="CV20" s="655"/>
      <c r="CW20" s="655"/>
      <c r="CX20" s="655"/>
      <c r="CY20" s="655"/>
      <c r="CZ20" s="655"/>
      <c r="DA20" s="655"/>
      <c r="DB20" s="655"/>
      <c r="DC20" s="655"/>
      <c r="DD20" s="655"/>
      <c r="DE20" s="655"/>
      <c r="DF20" s="655"/>
      <c r="DG20" s="655"/>
      <c r="DH20" s="655"/>
      <c r="DI20" s="655"/>
      <c r="DJ20" s="655"/>
      <c r="DK20" s="655"/>
      <c r="DL20" s="655"/>
      <c r="DM20" s="655"/>
      <c r="DN20" s="655"/>
      <c r="DO20" s="655"/>
      <c r="DP20" s="655"/>
      <c r="DQ20" s="655"/>
      <c r="DR20" s="655"/>
      <c r="DS20" s="655"/>
      <c r="DT20" s="655"/>
      <c r="DU20" s="655"/>
      <c r="DV20" s="655"/>
      <c r="DW20" s="655"/>
      <c r="DX20" s="655"/>
      <c r="DY20" s="655"/>
      <c r="DZ20" s="655"/>
      <c r="EA20" s="655"/>
      <c r="EB20" s="655"/>
      <c r="EC20" s="655"/>
      <c r="ED20" s="655"/>
      <c r="EE20" s="655"/>
      <c r="EF20" s="655"/>
      <c r="EG20" s="655"/>
      <c r="EH20" s="655"/>
      <c r="EI20" s="655"/>
      <c r="EJ20" s="655"/>
      <c r="EK20" s="655"/>
      <c r="EL20" s="655"/>
      <c r="EM20" s="655"/>
      <c r="EN20" s="655"/>
      <c r="EO20" s="655"/>
      <c r="EP20" s="655"/>
      <c r="EQ20" s="655"/>
      <c r="ER20" s="655"/>
      <c r="ES20" s="655"/>
      <c r="ET20" s="655"/>
      <c r="EU20" s="655"/>
      <c r="EV20" s="655"/>
      <c r="EW20" s="655"/>
      <c r="EX20" s="655"/>
      <c r="EY20" s="655"/>
      <c r="EZ20" s="655"/>
      <c r="FA20" s="655"/>
      <c r="FB20" s="655"/>
      <c r="FC20" s="655"/>
      <c r="FD20" s="655"/>
      <c r="FE20" s="655"/>
      <c r="FF20" s="655"/>
      <c r="FG20" s="655"/>
      <c r="FH20" s="655"/>
      <c r="FI20" s="655"/>
      <c r="FJ20" s="655"/>
      <c r="FK20" s="655"/>
      <c r="FL20" s="655"/>
      <c r="FM20" s="655"/>
      <c r="FN20" s="655"/>
      <c r="FO20" s="655"/>
      <c r="FP20" s="655"/>
      <c r="FQ20" s="655"/>
      <c r="FR20" s="655"/>
      <c r="FS20" s="655"/>
      <c r="FT20" s="655"/>
      <c r="FU20" s="655"/>
      <c r="FV20" s="655"/>
      <c r="FW20" s="655"/>
      <c r="FX20" s="655"/>
      <c r="FY20" s="655"/>
      <c r="FZ20" s="655"/>
      <c r="GA20" s="655"/>
      <c r="GB20" s="655"/>
      <c r="GC20" s="655"/>
      <c r="GD20" s="655"/>
      <c r="GE20" s="655"/>
      <c r="GF20" s="655"/>
      <c r="GG20" s="655"/>
      <c r="GH20" s="655"/>
      <c r="GI20" s="655"/>
      <c r="GJ20" s="655"/>
      <c r="GK20" s="655"/>
      <c r="GL20" s="655"/>
      <c r="GM20" s="655"/>
      <c r="GN20" s="655"/>
      <c r="GO20" s="655"/>
      <c r="GP20" s="655"/>
      <c r="GQ20" s="655"/>
      <c r="GR20" s="655"/>
      <c r="GS20" s="655"/>
      <c r="GT20" s="655"/>
      <c r="GU20" s="655"/>
      <c r="GV20" s="655"/>
      <c r="GW20" s="655"/>
      <c r="GX20" s="655"/>
      <c r="GY20" s="655"/>
      <c r="GZ20" s="655"/>
      <c r="HA20" s="655"/>
      <c r="HB20" s="655"/>
      <c r="HC20" s="655"/>
      <c r="HD20" s="655"/>
      <c r="HE20" s="655"/>
      <c r="HF20" s="655"/>
      <c r="HG20" s="655"/>
      <c r="HH20" s="655"/>
      <c r="HI20" s="655"/>
      <c r="HJ20" s="655"/>
      <c r="HK20" s="655"/>
      <c r="HL20" s="655"/>
      <c r="HM20" s="655"/>
      <c r="HN20" s="655"/>
      <c r="HO20" s="655"/>
      <c r="HP20" s="655"/>
      <c r="HQ20" s="655"/>
      <c r="HR20" s="655"/>
      <c r="HS20" s="655"/>
      <c r="HT20" s="655"/>
      <c r="HU20" s="655"/>
      <c r="HV20" s="655"/>
      <c r="HW20" s="655"/>
      <c r="HX20" s="655"/>
      <c r="HY20" s="655"/>
      <c r="HZ20" s="655"/>
      <c r="IA20" s="655"/>
      <c r="IB20" s="655"/>
      <c r="IC20" s="655"/>
      <c r="ID20" s="655"/>
      <c r="IE20" s="655"/>
      <c r="IF20" s="655"/>
      <c r="IG20" s="655"/>
      <c r="IH20" s="655"/>
      <c r="II20" s="655"/>
      <c r="IJ20" s="655"/>
      <c r="IK20" s="655"/>
      <c r="IL20" s="655"/>
      <c r="IM20" s="655"/>
      <c r="IN20" s="655"/>
      <c r="IO20" s="655"/>
      <c r="IP20" s="655"/>
      <c r="IQ20" s="655"/>
      <c r="IR20" s="655"/>
      <c r="IS20" s="655"/>
      <c r="IT20" s="655"/>
      <c r="IU20" s="655"/>
      <c r="IV20" s="655"/>
    </row>
    <row r="21" spans="1:256" ht="16.5" customHeight="1">
      <c r="A21" s="657" t="s">
        <v>15</v>
      </c>
      <c r="B21" s="670"/>
      <c r="C21" s="670"/>
      <c r="D21" s="670"/>
      <c r="E21" s="670"/>
      <c r="F21" s="670"/>
      <c r="G21" s="670"/>
      <c r="H21" s="670"/>
      <c r="I21" s="657" t="s">
        <v>13</v>
      </c>
      <c r="J21" s="670"/>
      <c r="K21" s="670"/>
      <c r="L21" s="670"/>
      <c r="M21" s="670"/>
      <c r="N21" s="670"/>
      <c r="O21" s="670"/>
      <c r="P21" s="670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655"/>
      <c r="AV21" s="655"/>
      <c r="AW21" s="655"/>
      <c r="AX21" s="655"/>
      <c r="AY21" s="655"/>
      <c r="AZ21" s="655"/>
      <c r="BA21" s="655"/>
      <c r="BB21" s="655"/>
      <c r="BC21" s="655"/>
      <c r="BD21" s="655"/>
      <c r="BE21" s="655"/>
      <c r="BF21" s="655"/>
      <c r="BG21" s="655"/>
      <c r="BH21" s="655"/>
      <c r="BI21" s="655"/>
      <c r="BJ21" s="655"/>
      <c r="BK21" s="655"/>
      <c r="BL21" s="655"/>
      <c r="BM21" s="655"/>
      <c r="BN21" s="655"/>
      <c r="BO21" s="655"/>
      <c r="BP21" s="655"/>
      <c r="BQ21" s="655"/>
      <c r="BR21" s="655"/>
      <c r="BS21" s="655"/>
      <c r="BT21" s="655"/>
      <c r="BU21" s="655"/>
      <c r="BV21" s="655"/>
      <c r="BW21" s="655"/>
      <c r="BX21" s="655"/>
      <c r="BY21" s="655"/>
      <c r="BZ21" s="655"/>
      <c r="CA21" s="655"/>
      <c r="CB21" s="655"/>
      <c r="CC21" s="655"/>
      <c r="CD21" s="655"/>
      <c r="CE21" s="655"/>
      <c r="CF21" s="655"/>
      <c r="CG21" s="655"/>
      <c r="CH21" s="655"/>
      <c r="CI21" s="655"/>
      <c r="CJ21" s="655"/>
      <c r="CK21" s="655"/>
      <c r="CL21" s="655"/>
      <c r="CM21" s="655"/>
      <c r="CN21" s="655"/>
      <c r="CO21" s="655"/>
      <c r="CP21" s="655"/>
      <c r="CQ21" s="655"/>
      <c r="CR21" s="655"/>
      <c r="CS21" s="655"/>
      <c r="CT21" s="655"/>
      <c r="CU21" s="655"/>
      <c r="CV21" s="655"/>
      <c r="CW21" s="655"/>
      <c r="CX21" s="655"/>
      <c r="CY21" s="655"/>
      <c r="CZ21" s="655"/>
      <c r="DA21" s="655"/>
      <c r="DB21" s="655"/>
      <c r="DC21" s="655"/>
      <c r="DD21" s="655"/>
      <c r="DE21" s="655"/>
      <c r="DF21" s="655"/>
      <c r="DG21" s="655"/>
      <c r="DH21" s="655"/>
      <c r="DI21" s="655"/>
      <c r="DJ21" s="655"/>
      <c r="DK21" s="655"/>
      <c r="DL21" s="655"/>
      <c r="DM21" s="655"/>
      <c r="DN21" s="655"/>
      <c r="DO21" s="655"/>
      <c r="DP21" s="655"/>
      <c r="DQ21" s="655"/>
      <c r="DR21" s="655"/>
      <c r="DS21" s="655"/>
      <c r="DT21" s="655"/>
      <c r="DU21" s="655"/>
      <c r="DV21" s="655"/>
      <c r="DW21" s="655"/>
      <c r="DX21" s="655"/>
      <c r="DY21" s="655"/>
      <c r="DZ21" s="655"/>
      <c r="EA21" s="655"/>
      <c r="EB21" s="655"/>
      <c r="EC21" s="655"/>
      <c r="ED21" s="655"/>
      <c r="EE21" s="655"/>
      <c r="EF21" s="655"/>
      <c r="EG21" s="655"/>
      <c r="EH21" s="655"/>
      <c r="EI21" s="655"/>
      <c r="EJ21" s="655"/>
      <c r="EK21" s="655"/>
      <c r="EL21" s="655"/>
      <c r="EM21" s="655"/>
      <c r="EN21" s="655"/>
      <c r="EO21" s="655"/>
      <c r="EP21" s="655"/>
      <c r="EQ21" s="655"/>
      <c r="ER21" s="655"/>
      <c r="ES21" s="655"/>
      <c r="ET21" s="655"/>
      <c r="EU21" s="655"/>
      <c r="EV21" s="655"/>
      <c r="EW21" s="655"/>
      <c r="EX21" s="655"/>
      <c r="EY21" s="655"/>
      <c r="EZ21" s="655"/>
      <c r="FA21" s="655"/>
      <c r="FB21" s="655"/>
      <c r="FC21" s="655"/>
      <c r="FD21" s="655"/>
      <c r="FE21" s="655"/>
      <c r="FF21" s="655"/>
      <c r="FG21" s="655"/>
      <c r="FH21" s="655"/>
      <c r="FI21" s="655"/>
      <c r="FJ21" s="655"/>
      <c r="FK21" s="655"/>
      <c r="FL21" s="655"/>
      <c r="FM21" s="655"/>
      <c r="FN21" s="655"/>
      <c r="FO21" s="655"/>
      <c r="FP21" s="655"/>
      <c r="FQ21" s="655"/>
      <c r="FR21" s="655"/>
      <c r="FS21" s="655"/>
      <c r="FT21" s="655"/>
      <c r="FU21" s="655"/>
      <c r="FV21" s="655"/>
      <c r="FW21" s="655"/>
      <c r="FX21" s="655"/>
      <c r="FY21" s="655"/>
      <c r="FZ21" s="655"/>
      <c r="GA21" s="655"/>
      <c r="GB21" s="655"/>
      <c r="GC21" s="655"/>
      <c r="GD21" s="655"/>
      <c r="GE21" s="655"/>
      <c r="GF21" s="655"/>
      <c r="GG21" s="655"/>
      <c r="GH21" s="655"/>
      <c r="GI21" s="655"/>
      <c r="GJ21" s="655"/>
      <c r="GK21" s="655"/>
      <c r="GL21" s="655"/>
      <c r="GM21" s="655"/>
      <c r="GN21" s="655"/>
      <c r="GO21" s="655"/>
      <c r="GP21" s="655"/>
      <c r="GQ21" s="655"/>
      <c r="GR21" s="655"/>
      <c r="GS21" s="655"/>
      <c r="GT21" s="655"/>
      <c r="GU21" s="655"/>
      <c r="GV21" s="655"/>
      <c r="GW21" s="655"/>
      <c r="GX21" s="655"/>
      <c r="GY21" s="655"/>
      <c r="GZ21" s="655"/>
      <c r="HA21" s="655"/>
      <c r="HB21" s="655"/>
      <c r="HC21" s="655"/>
      <c r="HD21" s="655"/>
      <c r="HE21" s="655"/>
      <c r="HF21" s="655"/>
      <c r="HG21" s="655"/>
      <c r="HH21" s="655"/>
      <c r="HI21" s="655"/>
      <c r="HJ21" s="655"/>
      <c r="HK21" s="655"/>
      <c r="HL21" s="655"/>
      <c r="HM21" s="655"/>
      <c r="HN21" s="655"/>
      <c r="HO21" s="655"/>
      <c r="HP21" s="655"/>
      <c r="HQ21" s="655"/>
      <c r="HR21" s="655"/>
      <c r="HS21" s="655"/>
      <c r="HT21" s="655"/>
      <c r="HU21" s="655"/>
      <c r="HV21" s="655"/>
      <c r="HW21" s="655"/>
      <c r="HX21" s="655"/>
      <c r="HY21" s="655"/>
      <c r="HZ21" s="655"/>
      <c r="IA21" s="655"/>
      <c r="IB21" s="655"/>
      <c r="IC21" s="655"/>
      <c r="ID21" s="655"/>
      <c r="IE21" s="655"/>
      <c r="IF21" s="655"/>
      <c r="IG21" s="655"/>
      <c r="IH21" s="655"/>
      <c r="II21" s="655"/>
      <c r="IJ21" s="655"/>
      <c r="IK21" s="655"/>
      <c r="IL21" s="655"/>
      <c r="IM21" s="655"/>
      <c r="IN21" s="655"/>
      <c r="IO21" s="655"/>
      <c r="IP21" s="655"/>
      <c r="IQ21" s="655"/>
      <c r="IR21" s="655"/>
      <c r="IS21" s="655"/>
      <c r="IT21" s="655"/>
      <c r="IU21" s="655"/>
      <c r="IV21" s="655"/>
    </row>
    <row r="22" spans="1:256" ht="29.25" customHeight="1">
      <c r="A22" s="660" t="s">
        <v>267</v>
      </c>
      <c r="B22" s="661">
        <v>311291596</v>
      </c>
      <c r="C22" s="661">
        <v>2973531</v>
      </c>
      <c r="D22" s="661">
        <v>540979</v>
      </c>
      <c r="E22" s="661">
        <v>333759</v>
      </c>
      <c r="F22" s="661">
        <v>244781</v>
      </c>
      <c r="G22" s="661">
        <v>7303530</v>
      </c>
      <c r="H22" s="661">
        <f aca="true" t="shared" si="3" ref="H22:H27">SUM(B22:G22)</f>
        <v>322688176</v>
      </c>
      <c r="I22" s="660" t="s">
        <v>167</v>
      </c>
      <c r="J22" s="661">
        <v>240655030</v>
      </c>
      <c r="K22" s="661">
        <v>2973531</v>
      </c>
      <c r="L22" s="661"/>
      <c r="M22" s="661"/>
      <c r="N22" s="661"/>
      <c r="O22" s="661"/>
      <c r="P22" s="671">
        <f aca="true" t="shared" si="4" ref="P22:P27">SUM(J22:O22)</f>
        <v>243628561</v>
      </c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  <c r="AF22" s="655"/>
      <c r="AG22" s="655"/>
      <c r="AH22" s="655"/>
      <c r="AI22" s="655"/>
      <c r="AJ22" s="655"/>
      <c r="AK22" s="655"/>
      <c r="AL22" s="655"/>
      <c r="AM22" s="655"/>
      <c r="AN22" s="655"/>
      <c r="AO22" s="655"/>
      <c r="AP22" s="655"/>
      <c r="AQ22" s="655"/>
      <c r="AR22" s="655"/>
      <c r="AS22" s="655"/>
      <c r="AT22" s="655"/>
      <c r="AU22" s="655"/>
      <c r="AV22" s="655"/>
      <c r="AW22" s="655"/>
      <c r="AX22" s="655"/>
      <c r="AY22" s="655"/>
      <c r="AZ22" s="655"/>
      <c r="BA22" s="655"/>
      <c r="BB22" s="655"/>
      <c r="BC22" s="655"/>
      <c r="BD22" s="655"/>
      <c r="BE22" s="655"/>
      <c r="BF22" s="655"/>
      <c r="BG22" s="655"/>
      <c r="BH22" s="655"/>
      <c r="BI22" s="655"/>
      <c r="BJ22" s="655"/>
      <c r="BK22" s="655"/>
      <c r="BL22" s="655"/>
      <c r="BM22" s="655"/>
      <c r="BN22" s="655"/>
      <c r="BO22" s="655"/>
      <c r="BP22" s="655"/>
      <c r="BQ22" s="655"/>
      <c r="BR22" s="655"/>
      <c r="BS22" s="655"/>
      <c r="BT22" s="655"/>
      <c r="BU22" s="655"/>
      <c r="BV22" s="655"/>
      <c r="BW22" s="655"/>
      <c r="BX22" s="655"/>
      <c r="BY22" s="655"/>
      <c r="BZ22" s="655"/>
      <c r="CA22" s="655"/>
      <c r="CB22" s="655"/>
      <c r="CC22" s="655"/>
      <c r="CD22" s="655"/>
      <c r="CE22" s="655"/>
      <c r="CF22" s="655"/>
      <c r="CG22" s="655"/>
      <c r="CH22" s="655"/>
      <c r="CI22" s="655"/>
      <c r="CJ22" s="655"/>
      <c r="CK22" s="655"/>
      <c r="CL22" s="655"/>
      <c r="CM22" s="655"/>
      <c r="CN22" s="655"/>
      <c r="CO22" s="655"/>
      <c r="CP22" s="655"/>
      <c r="CQ22" s="655"/>
      <c r="CR22" s="655"/>
      <c r="CS22" s="655"/>
      <c r="CT22" s="655"/>
      <c r="CU22" s="655"/>
      <c r="CV22" s="655"/>
      <c r="CW22" s="655"/>
      <c r="CX22" s="655"/>
      <c r="CY22" s="655"/>
      <c r="CZ22" s="655"/>
      <c r="DA22" s="655"/>
      <c r="DB22" s="655"/>
      <c r="DC22" s="655"/>
      <c r="DD22" s="655"/>
      <c r="DE22" s="655"/>
      <c r="DF22" s="655"/>
      <c r="DG22" s="655"/>
      <c r="DH22" s="655"/>
      <c r="DI22" s="655"/>
      <c r="DJ22" s="655"/>
      <c r="DK22" s="655"/>
      <c r="DL22" s="655"/>
      <c r="DM22" s="655"/>
      <c r="DN22" s="655"/>
      <c r="DO22" s="655"/>
      <c r="DP22" s="655"/>
      <c r="DQ22" s="655"/>
      <c r="DR22" s="655"/>
      <c r="DS22" s="655"/>
      <c r="DT22" s="655"/>
      <c r="DU22" s="655"/>
      <c r="DV22" s="655"/>
      <c r="DW22" s="655"/>
      <c r="DX22" s="655"/>
      <c r="DY22" s="655"/>
      <c r="DZ22" s="655"/>
      <c r="EA22" s="655"/>
      <c r="EB22" s="655"/>
      <c r="EC22" s="655"/>
      <c r="ED22" s="655"/>
      <c r="EE22" s="655"/>
      <c r="EF22" s="655"/>
      <c r="EG22" s="655"/>
      <c r="EH22" s="655"/>
      <c r="EI22" s="655"/>
      <c r="EJ22" s="655"/>
      <c r="EK22" s="655"/>
      <c r="EL22" s="655"/>
      <c r="EM22" s="655"/>
      <c r="EN22" s="655"/>
      <c r="EO22" s="655"/>
      <c r="EP22" s="655"/>
      <c r="EQ22" s="655"/>
      <c r="ER22" s="655"/>
      <c r="ES22" s="655"/>
      <c r="ET22" s="655"/>
      <c r="EU22" s="655"/>
      <c r="EV22" s="655"/>
      <c r="EW22" s="655"/>
      <c r="EX22" s="655"/>
      <c r="EY22" s="655"/>
      <c r="EZ22" s="655"/>
      <c r="FA22" s="655"/>
      <c r="FB22" s="655"/>
      <c r="FC22" s="655"/>
      <c r="FD22" s="655"/>
      <c r="FE22" s="655"/>
      <c r="FF22" s="655"/>
      <c r="FG22" s="655"/>
      <c r="FH22" s="655"/>
      <c r="FI22" s="655"/>
      <c r="FJ22" s="655"/>
      <c r="FK22" s="655"/>
      <c r="FL22" s="655"/>
      <c r="FM22" s="655"/>
      <c r="FN22" s="655"/>
      <c r="FO22" s="655"/>
      <c r="FP22" s="655"/>
      <c r="FQ22" s="655"/>
      <c r="FR22" s="655"/>
      <c r="FS22" s="655"/>
      <c r="FT22" s="655"/>
      <c r="FU22" s="655"/>
      <c r="FV22" s="655"/>
      <c r="FW22" s="655"/>
      <c r="FX22" s="655"/>
      <c r="FY22" s="655"/>
      <c r="FZ22" s="655"/>
      <c r="GA22" s="655"/>
      <c r="GB22" s="655"/>
      <c r="GC22" s="655"/>
      <c r="GD22" s="655"/>
      <c r="GE22" s="655"/>
      <c r="GF22" s="655"/>
      <c r="GG22" s="655"/>
      <c r="GH22" s="655"/>
      <c r="GI22" s="655"/>
      <c r="GJ22" s="655"/>
      <c r="GK22" s="655"/>
      <c r="GL22" s="655"/>
      <c r="GM22" s="655"/>
      <c r="GN22" s="655"/>
      <c r="GO22" s="655"/>
      <c r="GP22" s="655"/>
      <c r="GQ22" s="655"/>
      <c r="GR22" s="655"/>
      <c r="GS22" s="655"/>
      <c r="GT22" s="655"/>
      <c r="GU22" s="655"/>
      <c r="GV22" s="655"/>
      <c r="GW22" s="655"/>
      <c r="GX22" s="655"/>
      <c r="GY22" s="655"/>
      <c r="GZ22" s="655"/>
      <c r="HA22" s="655"/>
      <c r="HB22" s="655"/>
      <c r="HC22" s="655"/>
      <c r="HD22" s="655"/>
      <c r="HE22" s="655"/>
      <c r="HF22" s="655"/>
      <c r="HG22" s="655"/>
      <c r="HH22" s="655"/>
      <c r="HI22" s="655"/>
      <c r="HJ22" s="655"/>
      <c r="HK22" s="655"/>
      <c r="HL22" s="655"/>
      <c r="HM22" s="655"/>
      <c r="HN22" s="655"/>
      <c r="HO22" s="655"/>
      <c r="HP22" s="655"/>
      <c r="HQ22" s="655"/>
      <c r="HR22" s="655"/>
      <c r="HS22" s="655"/>
      <c r="HT22" s="655"/>
      <c r="HU22" s="655"/>
      <c r="HV22" s="655"/>
      <c r="HW22" s="655"/>
      <c r="HX22" s="655"/>
      <c r="HY22" s="655"/>
      <c r="HZ22" s="655"/>
      <c r="IA22" s="655"/>
      <c r="IB22" s="655"/>
      <c r="IC22" s="655"/>
      <c r="ID22" s="655"/>
      <c r="IE22" s="655"/>
      <c r="IF22" s="655"/>
      <c r="IG22" s="655"/>
      <c r="IH22" s="655"/>
      <c r="II22" s="655"/>
      <c r="IJ22" s="655"/>
      <c r="IK22" s="655"/>
      <c r="IL22" s="655"/>
      <c r="IM22" s="655"/>
      <c r="IN22" s="655"/>
      <c r="IO22" s="655"/>
      <c r="IP22" s="655"/>
      <c r="IQ22" s="655"/>
      <c r="IR22" s="655"/>
      <c r="IS22" s="655"/>
      <c r="IT22" s="655"/>
      <c r="IU22" s="655"/>
      <c r="IV22" s="655"/>
    </row>
    <row r="23" spans="1:256" ht="16.5" customHeight="1">
      <c r="A23" s="660" t="s">
        <v>427</v>
      </c>
      <c r="B23" s="661">
        <v>15603565</v>
      </c>
      <c r="C23" s="661" t="s">
        <v>1155</v>
      </c>
      <c r="D23" s="662"/>
      <c r="E23" s="662"/>
      <c r="F23" s="662"/>
      <c r="G23" s="661"/>
      <c r="H23" s="661">
        <f t="shared" si="3"/>
        <v>15603565</v>
      </c>
      <c r="I23" s="660" t="s">
        <v>13</v>
      </c>
      <c r="J23" s="661">
        <v>31357376</v>
      </c>
      <c r="K23" s="661"/>
      <c r="L23" s="661"/>
      <c r="M23" s="661"/>
      <c r="N23" s="661"/>
      <c r="O23" s="661"/>
      <c r="P23" s="671">
        <f t="shared" si="4"/>
        <v>31357376</v>
      </c>
      <c r="Q23" s="655"/>
      <c r="R23" s="655"/>
      <c r="S23" s="655"/>
      <c r="T23" s="655"/>
      <c r="U23" s="655"/>
      <c r="V23" s="655"/>
      <c r="W23" s="655"/>
      <c r="X23" s="655"/>
      <c r="Y23" s="655"/>
      <c r="Z23" s="655"/>
      <c r="AA23" s="655"/>
      <c r="AB23" s="655"/>
      <c r="AC23" s="655"/>
      <c r="AD23" s="655"/>
      <c r="AE23" s="655"/>
      <c r="AF23" s="655"/>
      <c r="AG23" s="655"/>
      <c r="AH23" s="655"/>
      <c r="AI23" s="655"/>
      <c r="AJ23" s="655"/>
      <c r="AK23" s="655"/>
      <c r="AL23" s="655"/>
      <c r="AM23" s="655"/>
      <c r="AN23" s="655"/>
      <c r="AO23" s="655"/>
      <c r="AP23" s="655"/>
      <c r="AQ23" s="655"/>
      <c r="AR23" s="655"/>
      <c r="AS23" s="655"/>
      <c r="AT23" s="655"/>
      <c r="AU23" s="655"/>
      <c r="AV23" s="655"/>
      <c r="AW23" s="655"/>
      <c r="AX23" s="655"/>
      <c r="AY23" s="655"/>
      <c r="AZ23" s="655"/>
      <c r="BA23" s="655"/>
      <c r="BB23" s="655"/>
      <c r="BC23" s="655"/>
      <c r="BD23" s="655"/>
      <c r="BE23" s="655"/>
      <c r="BF23" s="655"/>
      <c r="BG23" s="655"/>
      <c r="BH23" s="655"/>
      <c r="BI23" s="655"/>
      <c r="BJ23" s="655"/>
      <c r="BK23" s="655"/>
      <c r="BL23" s="655"/>
      <c r="BM23" s="655"/>
      <c r="BN23" s="655"/>
      <c r="BO23" s="655"/>
      <c r="BP23" s="655"/>
      <c r="BQ23" s="655"/>
      <c r="BR23" s="655"/>
      <c r="BS23" s="655"/>
      <c r="BT23" s="655"/>
      <c r="BU23" s="655"/>
      <c r="BV23" s="655"/>
      <c r="BW23" s="655"/>
      <c r="BX23" s="655"/>
      <c r="BY23" s="655"/>
      <c r="BZ23" s="655"/>
      <c r="CA23" s="655"/>
      <c r="CB23" s="655"/>
      <c r="CC23" s="655"/>
      <c r="CD23" s="655"/>
      <c r="CE23" s="655"/>
      <c r="CF23" s="655"/>
      <c r="CG23" s="655"/>
      <c r="CH23" s="655"/>
      <c r="CI23" s="655"/>
      <c r="CJ23" s="655"/>
      <c r="CK23" s="655"/>
      <c r="CL23" s="655"/>
      <c r="CM23" s="655"/>
      <c r="CN23" s="655"/>
      <c r="CO23" s="655"/>
      <c r="CP23" s="655"/>
      <c r="CQ23" s="655"/>
      <c r="CR23" s="655"/>
      <c r="CS23" s="655"/>
      <c r="CT23" s="655"/>
      <c r="CU23" s="655"/>
      <c r="CV23" s="655"/>
      <c r="CW23" s="655"/>
      <c r="CX23" s="655"/>
      <c r="CY23" s="655"/>
      <c r="CZ23" s="655"/>
      <c r="DA23" s="655"/>
      <c r="DB23" s="655"/>
      <c r="DC23" s="655"/>
      <c r="DD23" s="655"/>
      <c r="DE23" s="655"/>
      <c r="DF23" s="655"/>
      <c r="DG23" s="655"/>
      <c r="DH23" s="655"/>
      <c r="DI23" s="655"/>
      <c r="DJ23" s="655"/>
      <c r="DK23" s="655"/>
      <c r="DL23" s="655"/>
      <c r="DM23" s="655"/>
      <c r="DN23" s="655"/>
      <c r="DO23" s="655"/>
      <c r="DP23" s="655"/>
      <c r="DQ23" s="655"/>
      <c r="DR23" s="655"/>
      <c r="DS23" s="655"/>
      <c r="DT23" s="655"/>
      <c r="DU23" s="655"/>
      <c r="DV23" s="655"/>
      <c r="DW23" s="655"/>
      <c r="DX23" s="655"/>
      <c r="DY23" s="655"/>
      <c r="DZ23" s="655"/>
      <c r="EA23" s="655"/>
      <c r="EB23" s="655"/>
      <c r="EC23" s="655"/>
      <c r="ED23" s="655"/>
      <c r="EE23" s="655"/>
      <c r="EF23" s="655"/>
      <c r="EG23" s="655"/>
      <c r="EH23" s="655"/>
      <c r="EI23" s="655"/>
      <c r="EJ23" s="655"/>
      <c r="EK23" s="655"/>
      <c r="EL23" s="655"/>
      <c r="EM23" s="655"/>
      <c r="EN23" s="655"/>
      <c r="EO23" s="655"/>
      <c r="EP23" s="655"/>
      <c r="EQ23" s="655"/>
      <c r="ER23" s="655"/>
      <c r="ES23" s="655"/>
      <c r="ET23" s="655"/>
      <c r="EU23" s="655"/>
      <c r="EV23" s="655"/>
      <c r="EW23" s="655"/>
      <c r="EX23" s="655"/>
      <c r="EY23" s="655"/>
      <c r="EZ23" s="655"/>
      <c r="FA23" s="655"/>
      <c r="FB23" s="655"/>
      <c r="FC23" s="655"/>
      <c r="FD23" s="655"/>
      <c r="FE23" s="655"/>
      <c r="FF23" s="655"/>
      <c r="FG23" s="655"/>
      <c r="FH23" s="655"/>
      <c r="FI23" s="655"/>
      <c r="FJ23" s="655"/>
      <c r="FK23" s="655"/>
      <c r="FL23" s="655"/>
      <c r="FM23" s="655"/>
      <c r="FN23" s="655"/>
      <c r="FO23" s="655"/>
      <c r="FP23" s="655"/>
      <c r="FQ23" s="655"/>
      <c r="FR23" s="655"/>
      <c r="FS23" s="655"/>
      <c r="FT23" s="655"/>
      <c r="FU23" s="655"/>
      <c r="FV23" s="655"/>
      <c r="FW23" s="655"/>
      <c r="FX23" s="655"/>
      <c r="FY23" s="655"/>
      <c r="FZ23" s="655"/>
      <c r="GA23" s="655"/>
      <c r="GB23" s="655"/>
      <c r="GC23" s="655"/>
      <c r="GD23" s="655"/>
      <c r="GE23" s="655"/>
      <c r="GF23" s="655"/>
      <c r="GG23" s="655"/>
      <c r="GH23" s="655"/>
      <c r="GI23" s="655"/>
      <c r="GJ23" s="655"/>
      <c r="GK23" s="655"/>
      <c r="GL23" s="655"/>
      <c r="GM23" s="655"/>
      <c r="GN23" s="655"/>
      <c r="GO23" s="655"/>
      <c r="GP23" s="655"/>
      <c r="GQ23" s="655"/>
      <c r="GR23" s="655"/>
      <c r="GS23" s="655"/>
      <c r="GT23" s="655"/>
      <c r="GU23" s="655"/>
      <c r="GV23" s="655"/>
      <c r="GW23" s="655"/>
      <c r="GX23" s="655"/>
      <c r="GY23" s="655"/>
      <c r="GZ23" s="655"/>
      <c r="HA23" s="655"/>
      <c r="HB23" s="655"/>
      <c r="HC23" s="655"/>
      <c r="HD23" s="655"/>
      <c r="HE23" s="655"/>
      <c r="HF23" s="655"/>
      <c r="HG23" s="655"/>
      <c r="HH23" s="655"/>
      <c r="HI23" s="655"/>
      <c r="HJ23" s="655"/>
      <c r="HK23" s="655"/>
      <c r="HL23" s="655"/>
      <c r="HM23" s="655"/>
      <c r="HN23" s="655"/>
      <c r="HO23" s="655"/>
      <c r="HP23" s="655"/>
      <c r="HQ23" s="655"/>
      <c r="HR23" s="655"/>
      <c r="HS23" s="655"/>
      <c r="HT23" s="655"/>
      <c r="HU23" s="655"/>
      <c r="HV23" s="655"/>
      <c r="HW23" s="655"/>
      <c r="HX23" s="655"/>
      <c r="HY23" s="655"/>
      <c r="HZ23" s="655"/>
      <c r="IA23" s="655"/>
      <c r="IB23" s="655"/>
      <c r="IC23" s="655"/>
      <c r="ID23" s="655"/>
      <c r="IE23" s="655"/>
      <c r="IF23" s="655"/>
      <c r="IG23" s="655"/>
      <c r="IH23" s="655"/>
      <c r="II23" s="655"/>
      <c r="IJ23" s="655"/>
      <c r="IK23" s="655"/>
      <c r="IL23" s="655"/>
      <c r="IM23" s="655"/>
      <c r="IN23" s="655"/>
      <c r="IO23" s="655"/>
      <c r="IP23" s="655"/>
      <c r="IQ23" s="655"/>
      <c r="IR23" s="655"/>
      <c r="IS23" s="655"/>
      <c r="IT23" s="655"/>
      <c r="IU23" s="655"/>
      <c r="IV23" s="655"/>
    </row>
    <row r="24" spans="1:256" ht="31.5" customHeight="1">
      <c r="A24" s="660" t="s">
        <v>902</v>
      </c>
      <c r="B24" s="661">
        <v>1684766</v>
      </c>
      <c r="C24" s="661"/>
      <c r="D24" s="661"/>
      <c r="E24" s="661"/>
      <c r="F24" s="661"/>
      <c r="G24" s="661"/>
      <c r="H24" s="661">
        <f t="shared" si="3"/>
        <v>1684766</v>
      </c>
      <c r="I24" s="660" t="s">
        <v>225</v>
      </c>
      <c r="J24" s="661"/>
      <c r="K24" s="661"/>
      <c r="L24" s="661"/>
      <c r="M24" s="661"/>
      <c r="N24" s="661"/>
      <c r="O24" s="661"/>
      <c r="P24" s="671">
        <f t="shared" si="4"/>
        <v>0</v>
      </c>
      <c r="Q24" s="655"/>
      <c r="R24" s="655"/>
      <c r="S24" s="655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  <c r="AD24" s="655"/>
      <c r="AE24" s="655"/>
      <c r="AF24" s="655"/>
      <c r="AG24" s="655"/>
      <c r="AH24" s="655"/>
      <c r="AI24" s="655"/>
      <c r="AJ24" s="655"/>
      <c r="AK24" s="655"/>
      <c r="AL24" s="655"/>
      <c r="AM24" s="655"/>
      <c r="AN24" s="655"/>
      <c r="AO24" s="655"/>
      <c r="AP24" s="655"/>
      <c r="AQ24" s="655"/>
      <c r="AR24" s="655"/>
      <c r="AS24" s="655"/>
      <c r="AT24" s="655"/>
      <c r="AU24" s="655"/>
      <c r="AV24" s="655"/>
      <c r="AW24" s="655"/>
      <c r="AX24" s="655"/>
      <c r="AY24" s="655"/>
      <c r="AZ24" s="655"/>
      <c r="BA24" s="655"/>
      <c r="BB24" s="655"/>
      <c r="BC24" s="655"/>
      <c r="BD24" s="655"/>
      <c r="BE24" s="655"/>
      <c r="BF24" s="655"/>
      <c r="BG24" s="655"/>
      <c r="BH24" s="655"/>
      <c r="BI24" s="655"/>
      <c r="BJ24" s="655"/>
      <c r="BK24" s="655"/>
      <c r="BL24" s="655"/>
      <c r="BM24" s="655"/>
      <c r="BN24" s="655"/>
      <c r="BO24" s="655"/>
      <c r="BP24" s="655"/>
      <c r="BQ24" s="655"/>
      <c r="BR24" s="655"/>
      <c r="BS24" s="655"/>
      <c r="BT24" s="655"/>
      <c r="BU24" s="655"/>
      <c r="BV24" s="655"/>
      <c r="BW24" s="655"/>
      <c r="BX24" s="655"/>
      <c r="BY24" s="655"/>
      <c r="BZ24" s="655"/>
      <c r="CA24" s="655"/>
      <c r="CB24" s="655"/>
      <c r="CC24" s="655"/>
      <c r="CD24" s="655"/>
      <c r="CE24" s="655"/>
      <c r="CF24" s="655"/>
      <c r="CG24" s="655"/>
      <c r="CH24" s="655"/>
      <c r="CI24" s="655"/>
      <c r="CJ24" s="655"/>
      <c r="CK24" s="655"/>
      <c r="CL24" s="655"/>
      <c r="CM24" s="655"/>
      <c r="CN24" s="655"/>
      <c r="CO24" s="655"/>
      <c r="CP24" s="655"/>
      <c r="CQ24" s="655"/>
      <c r="CR24" s="655"/>
      <c r="CS24" s="655"/>
      <c r="CT24" s="655"/>
      <c r="CU24" s="655"/>
      <c r="CV24" s="655"/>
      <c r="CW24" s="655"/>
      <c r="CX24" s="655"/>
      <c r="CY24" s="655"/>
      <c r="CZ24" s="655"/>
      <c r="DA24" s="655"/>
      <c r="DB24" s="655"/>
      <c r="DC24" s="655"/>
      <c r="DD24" s="655"/>
      <c r="DE24" s="655"/>
      <c r="DF24" s="655"/>
      <c r="DG24" s="655"/>
      <c r="DH24" s="655"/>
      <c r="DI24" s="655"/>
      <c r="DJ24" s="655"/>
      <c r="DK24" s="655"/>
      <c r="DL24" s="655"/>
      <c r="DM24" s="655"/>
      <c r="DN24" s="655"/>
      <c r="DO24" s="655"/>
      <c r="DP24" s="655"/>
      <c r="DQ24" s="655"/>
      <c r="DR24" s="655"/>
      <c r="DS24" s="655"/>
      <c r="DT24" s="655"/>
      <c r="DU24" s="655"/>
      <c r="DV24" s="655"/>
      <c r="DW24" s="655"/>
      <c r="DX24" s="655"/>
      <c r="DY24" s="655"/>
      <c r="DZ24" s="655"/>
      <c r="EA24" s="655"/>
      <c r="EB24" s="655"/>
      <c r="EC24" s="655"/>
      <c r="ED24" s="655"/>
      <c r="EE24" s="655"/>
      <c r="EF24" s="655"/>
      <c r="EG24" s="655"/>
      <c r="EH24" s="655"/>
      <c r="EI24" s="655"/>
      <c r="EJ24" s="655"/>
      <c r="EK24" s="655"/>
      <c r="EL24" s="655"/>
      <c r="EM24" s="655"/>
      <c r="EN24" s="655"/>
      <c r="EO24" s="655"/>
      <c r="EP24" s="655"/>
      <c r="EQ24" s="655"/>
      <c r="ER24" s="655"/>
      <c r="ES24" s="655"/>
      <c r="ET24" s="655"/>
      <c r="EU24" s="655"/>
      <c r="EV24" s="655"/>
      <c r="EW24" s="655"/>
      <c r="EX24" s="655"/>
      <c r="EY24" s="655"/>
      <c r="EZ24" s="655"/>
      <c r="FA24" s="655"/>
      <c r="FB24" s="655"/>
      <c r="FC24" s="655"/>
      <c r="FD24" s="655"/>
      <c r="FE24" s="655"/>
      <c r="FF24" s="655"/>
      <c r="FG24" s="655"/>
      <c r="FH24" s="655"/>
      <c r="FI24" s="655"/>
      <c r="FJ24" s="655"/>
      <c r="FK24" s="655"/>
      <c r="FL24" s="655"/>
      <c r="FM24" s="655"/>
      <c r="FN24" s="655"/>
      <c r="FO24" s="655"/>
      <c r="FP24" s="655"/>
      <c r="FQ24" s="655"/>
      <c r="FR24" s="655"/>
      <c r="FS24" s="655"/>
      <c r="FT24" s="655"/>
      <c r="FU24" s="655"/>
      <c r="FV24" s="655"/>
      <c r="FW24" s="655"/>
      <c r="FX24" s="655"/>
      <c r="FY24" s="655"/>
      <c r="FZ24" s="655"/>
      <c r="GA24" s="655"/>
      <c r="GB24" s="655"/>
      <c r="GC24" s="655"/>
      <c r="GD24" s="655"/>
      <c r="GE24" s="655"/>
      <c r="GF24" s="655"/>
      <c r="GG24" s="655"/>
      <c r="GH24" s="655"/>
      <c r="GI24" s="655"/>
      <c r="GJ24" s="655"/>
      <c r="GK24" s="655"/>
      <c r="GL24" s="655"/>
      <c r="GM24" s="655"/>
      <c r="GN24" s="655"/>
      <c r="GO24" s="655"/>
      <c r="GP24" s="655"/>
      <c r="GQ24" s="655"/>
      <c r="GR24" s="655"/>
      <c r="GS24" s="655"/>
      <c r="GT24" s="655"/>
      <c r="GU24" s="655"/>
      <c r="GV24" s="655"/>
      <c r="GW24" s="655"/>
      <c r="GX24" s="655"/>
      <c r="GY24" s="655"/>
      <c r="GZ24" s="655"/>
      <c r="HA24" s="655"/>
      <c r="HB24" s="655"/>
      <c r="HC24" s="655"/>
      <c r="HD24" s="655"/>
      <c r="HE24" s="655"/>
      <c r="HF24" s="655"/>
      <c r="HG24" s="655"/>
      <c r="HH24" s="655"/>
      <c r="HI24" s="655"/>
      <c r="HJ24" s="655"/>
      <c r="HK24" s="655"/>
      <c r="HL24" s="655"/>
      <c r="HM24" s="655"/>
      <c r="HN24" s="655"/>
      <c r="HO24" s="655"/>
      <c r="HP24" s="655"/>
      <c r="HQ24" s="655"/>
      <c r="HR24" s="655"/>
      <c r="HS24" s="655"/>
      <c r="HT24" s="655"/>
      <c r="HU24" s="655"/>
      <c r="HV24" s="655"/>
      <c r="HW24" s="655"/>
      <c r="HX24" s="655"/>
      <c r="HY24" s="655"/>
      <c r="HZ24" s="655"/>
      <c r="IA24" s="655"/>
      <c r="IB24" s="655"/>
      <c r="IC24" s="655"/>
      <c r="ID24" s="655"/>
      <c r="IE24" s="655"/>
      <c r="IF24" s="655"/>
      <c r="IG24" s="655"/>
      <c r="IH24" s="655"/>
      <c r="II24" s="655"/>
      <c r="IJ24" s="655"/>
      <c r="IK24" s="655"/>
      <c r="IL24" s="655"/>
      <c r="IM24" s="655"/>
      <c r="IN24" s="655"/>
      <c r="IO24" s="655"/>
      <c r="IP24" s="655"/>
      <c r="IQ24" s="655"/>
      <c r="IR24" s="655"/>
      <c r="IS24" s="655"/>
      <c r="IT24" s="655"/>
      <c r="IU24" s="655"/>
      <c r="IV24" s="655"/>
    </row>
    <row r="25" spans="1:256" ht="16.5" customHeight="1">
      <c r="A25" s="660" t="s">
        <v>16</v>
      </c>
      <c r="B25" s="661">
        <v>312265666</v>
      </c>
      <c r="C25" s="661"/>
      <c r="D25" s="661"/>
      <c r="E25" s="661"/>
      <c r="F25" s="661"/>
      <c r="G25" s="661"/>
      <c r="H25" s="661">
        <f t="shared" si="3"/>
        <v>312265666</v>
      </c>
      <c r="I25" s="660" t="s">
        <v>452</v>
      </c>
      <c r="J25" s="661"/>
      <c r="K25" s="661"/>
      <c r="L25" s="661">
        <v>540979</v>
      </c>
      <c r="M25" s="662">
        <v>333759</v>
      </c>
      <c r="N25" s="661">
        <v>244781</v>
      </c>
      <c r="O25" s="661">
        <v>7303530</v>
      </c>
      <c r="P25" s="671">
        <f t="shared" si="4"/>
        <v>8423049</v>
      </c>
      <c r="Q25" s="655"/>
      <c r="R25" s="655"/>
      <c r="S25" s="655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655"/>
      <c r="AL25" s="655"/>
      <c r="AM25" s="655"/>
      <c r="AN25" s="655"/>
      <c r="AO25" s="655"/>
      <c r="AP25" s="655"/>
      <c r="AQ25" s="655"/>
      <c r="AR25" s="655"/>
      <c r="AS25" s="655"/>
      <c r="AT25" s="655"/>
      <c r="AU25" s="655"/>
      <c r="AV25" s="655"/>
      <c r="AW25" s="655"/>
      <c r="AX25" s="655"/>
      <c r="AY25" s="655"/>
      <c r="AZ25" s="655"/>
      <c r="BA25" s="655"/>
      <c r="BB25" s="655"/>
      <c r="BC25" s="655"/>
      <c r="BD25" s="655"/>
      <c r="BE25" s="655"/>
      <c r="BF25" s="655"/>
      <c r="BG25" s="655"/>
      <c r="BH25" s="655"/>
      <c r="BI25" s="655"/>
      <c r="BJ25" s="655"/>
      <c r="BK25" s="655"/>
      <c r="BL25" s="655"/>
      <c r="BM25" s="655"/>
      <c r="BN25" s="655"/>
      <c r="BO25" s="655"/>
      <c r="BP25" s="655"/>
      <c r="BQ25" s="655"/>
      <c r="BR25" s="655"/>
      <c r="BS25" s="655"/>
      <c r="BT25" s="655"/>
      <c r="BU25" s="655"/>
      <c r="BV25" s="655"/>
      <c r="BW25" s="655"/>
      <c r="BX25" s="655"/>
      <c r="BY25" s="655"/>
      <c r="BZ25" s="655"/>
      <c r="CA25" s="655"/>
      <c r="CB25" s="655"/>
      <c r="CC25" s="655"/>
      <c r="CD25" s="655"/>
      <c r="CE25" s="655"/>
      <c r="CF25" s="655"/>
      <c r="CG25" s="655"/>
      <c r="CH25" s="655"/>
      <c r="CI25" s="655"/>
      <c r="CJ25" s="655"/>
      <c r="CK25" s="655"/>
      <c r="CL25" s="655"/>
      <c r="CM25" s="655"/>
      <c r="CN25" s="655"/>
      <c r="CO25" s="655"/>
      <c r="CP25" s="655"/>
      <c r="CQ25" s="655"/>
      <c r="CR25" s="655"/>
      <c r="CS25" s="655"/>
      <c r="CT25" s="655"/>
      <c r="CU25" s="655"/>
      <c r="CV25" s="655"/>
      <c r="CW25" s="655"/>
      <c r="CX25" s="655"/>
      <c r="CY25" s="655"/>
      <c r="CZ25" s="655"/>
      <c r="DA25" s="655"/>
      <c r="DB25" s="655"/>
      <c r="DC25" s="655"/>
      <c r="DD25" s="655"/>
      <c r="DE25" s="655"/>
      <c r="DF25" s="655"/>
      <c r="DG25" s="655"/>
      <c r="DH25" s="655"/>
      <c r="DI25" s="655"/>
      <c r="DJ25" s="655"/>
      <c r="DK25" s="655"/>
      <c r="DL25" s="655"/>
      <c r="DM25" s="655"/>
      <c r="DN25" s="655"/>
      <c r="DO25" s="655"/>
      <c r="DP25" s="655"/>
      <c r="DQ25" s="655"/>
      <c r="DR25" s="655"/>
      <c r="DS25" s="655"/>
      <c r="DT25" s="655"/>
      <c r="DU25" s="655"/>
      <c r="DV25" s="655"/>
      <c r="DW25" s="655"/>
      <c r="DX25" s="655"/>
      <c r="DY25" s="655"/>
      <c r="DZ25" s="655"/>
      <c r="EA25" s="655"/>
      <c r="EB25" s="655"/>
      <c r="EC25" s="655"/>
      <c r="ED25" s="655"/>
      <c r="EE25" s="655"/>
      <c r="EF25" s="655"/>
      <c r="EG25" s="655"/>
      <c r="EH25" s="655"/>
      <c r="EI25" s="655"/>
      <c r="EJ25" s="655"/>
      <c r="EK25" s="655"/>
      <c r="EL25" s="655"/>
      <c r="EM25" s="655"/>
      <c r="EN25" s="655"/>
      <c r="EO25" s="655"/>
      <c r="EP25" s="655"/>
      <c r="EQ25" s="655"/>
      <c r="ER25" s="655"/>
      <c r="ES25" s="655"/>
      <c r="ET25" s="655"/>
      <c r="EU25" s="655"/>
      <c r="EV25" s="655"/>
      <c r="EW25" s="655"/>
      <c r="EX25" s="655"/>
      <c r="EY25" s="655"/>
      <c r="EZ25" s="655"/>
      <c r="FA25" s="655"/>
      <c r="FB25" s="655"/>
      <c r="FC25" s="655"/>
      <c r="FD25" s="655"/>
      <c r="FE25" s="655"/>
      <c r="FF25" s="655"/>
      <c r="FG25" s="655"/>
      <c r="FH25" s="655"/>
      <c r="FI25" s="655"/>
      <c r="FJ25" s="655"/>
      <c r="FK25" s="655"/>
      <c r="FL25" s="655"/>
      <c r="FM25" s="655"/>
      <c r="FN25" s="655"/>
      <c r="FO25" s="655"/>
      <c r="FP25" s="655"/>
      <c r="FQ25" s="655"/>
      <c r="FR25" s="655"/>
      <c r="FS25" s="655"/>
      <c r="FT25" s="655"/>
      <c r="FU25" s="655"/>
      <c r="FV25" s="655"/>
      <c r="FW25" s="655"/>
      <c r="FX25" s="655"/>
      <c r="FY25" s="655"/>
      <c r="FZ25" s="655"/>
      <c r="GA25" s="655"/>
      <c r="GB25" s="655"/>
      <c r="GC25" s="655"/>
      <c r="GD25" s="655"/>
      <c r="GE25" s="655"/>
      <c r="GF25" s="655"/>
      <c r="GG25" s="655"/>
      <c r="GH25" s="655"/>
      <c r="GI25" s="655"/>
      <c r="GJ25" s="655"/>
      <c r="GK25" s="655"/>
      <c r="GL25" s="655"/>
      <c r="GM25" s="655"/>
      <c r="GN25" s="655"/>
      <c r="GO25" s="655"/>
      <c r="GP25" s="655"/>
      <c r="GQ25" s="655"/>
      <c r="GR25" s="655"/>
      <c r="GS25" s="655"/>
      <c r="GT25" s="655"/>
      <c r="GU25" s="655"/>
      <c r="GV25" s="655"/>
      <c r="GW25" s="655"/>
      <c r="GX25" s="655"/>
      <c r="GY25" s="655"/>
      <c r="GZ25" s="655"/>
      <c r="HA25" s="655"/>
      <c r="HB25" s="655"/>
      <c r="HC25" s="655"/>
      <c r="HD25" s="655"/>
      <c r="HE25" s="655"/>
      <c r="HF25" s="655"/>
      <c r="HG25" s="655"/>
      <c r="HH25" s="655"/>
      <c r="HI25" s="655"/>
      <c r="HJ25" s="655"/>
      <c r="HK25" s="655"/>
      <c r="HL25" s="655"/>
      <c r="HM25" s="655"/>
      <c r="HN25" s="655"/>
      <c r="HO25" s="655"/>
      <c r="HP25" s="655"/>
      <c r="HQ25" s="655"/>
      <c r="HR25" s="655"/>
      <c r="HS25" s="655"/>
      <c r="HT25" s="655"/>
      <c r="HU25" s="655"/>
      <c r="HV25" s="655"/>
      <c r="HW25" s="655"/>
      <c r="HX25" s="655"/>
      <c r="HY25" s="655"/>
      <c r="HZ25" s="655"/>
      <c r="IA25" s="655"/>
      <c r="IB25" s="655"/>
      <c r="IC25" s="655"/>
      <c r="ID25" s="655"/>
      <c r="IE25" s="655"/>
      <c r="IF25" s="655"/>
      <c r="IG25" s="655"/>
      <c r="IH25" s="655"/>
      <c r="II25" s="655"/>
      <c r="IJ25" s="655"/>
      <c r="IK25" s="655"/>
      <c r="IL25" s="655"/>
      <c r="IM25" s="655"/>
      <c r="IN25" s="655"/>
      <c r="IO25" s="655"/>
      <c r="IP25" s="655"/>
      <c r="IQ25" s="655"/>
      <c r="IR25" s="655"/>
      <c r="IS25" s="655"/>
      <c r="IT25" s="655"/>
      <c r="IU25" s="655"/>
      <c r="IV25" s="655"/>
    </row>
    <row r="26" spans="1:256" ht="16.5" customHeight="1">
      <c r="A26" s="660"/>
      <c r="B26" s="661"/>
      <c r="C26" s="661"/>
      <c r="D26" s="661"/>
      <c r="E26" s="661"/>
      <c r="F26" s="661"/>
      <c r="G26" s="661"/>
      <c r="H26" s="661">
        <f t="shared" si="3"/>
        <v>0</v>
      </c>
      <c r="I26" s="660" t="s">
        <v>453</v>
      </c>
      <c r="J26" s="661"/>
      <c r="K26" s="672"/>
      <c r="L26" s="672"/>
      <c r="M26" s="672"/>
      <c r="N26" s="672"/>
      <c r="O26" s="672"/>
      <c r="P26" s="671">
        <f t="shared" si="4"/>
        <v>0</v>
      </c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655"/>
      <c r="AM26" s="655"/>
      <c r="AN26" s="655"/>
      <c r="AO26" s="655"/>
      <c r="AP26" s="655"/>
      <c r="AQ26" s="655"/>
      <c r="AR26" s="655"/>
      <c r="AS26" s="655"/>
      <c r="AT26" s="655"/>
      <c r="AU26" s="655"/>
      <c r="AV26" s="655"/>
      <c r="AW26" s="655"/>
      <c r="AX26" s="655"/>
      <c r="AY26" s="655"/>
      <c r="AZ26" s="655"/>
      <c r="BA26" s="655"/>
      <c r="BB26" s="655"/>
      <c r="BC26" s="655"/>
      <c r="BD26" s="655"/>
      <c r="BE26" s="655"/>
      <c r="BF26" s="655"/>
      <c r="BG26" s="655"/>
      <c r="BH26" s="655"/>
      <c r="BI26" s="655"/>
      <c r="BJ26" s="655"/>
      <c r="BK26" s="655"/>
      <c r="BL26" s="655"/>
      <c r="BM26" s="655"/>
      <c r="BN26" s="655"/>
      <c r="BO26" s="655"/>
      <c r="BP26" s="655"/>
      <c r="BQ26" s="655"/>
      <c r="BR26" s="655"/>
      <c r="BS26" s="655"/>
      <c r="BT26" s="655"/>
      <c r="BU26" s="655"/>
      <c r="BV26" s="655"/>
      <c r="BW26" s="655"/>
      <c r="BX26" s="655"/>
      <c r="BY26" s="655"/>
      <c r="BZ26" s="655"/>
      <c r="CA26" s="655"/>
      <c r="CB26" s="655"/>
      <c r="CC26" s="655"/>
      <c r="CD26" s="655"/>
      <c r="CE26" s="655"/>
      <c r="CF26" s="655"/>
      <c r="CG26" s="655"/>
      <c r="CH26" s="655"/>
      <c r="CI26" s="655"/>
      <c r="CJ26" s="655"/>
      <c r="CK26" s="655"/>
      <c r="CL26" s="655"/>
      <c r="CM26" s="655"/>
      <c r="CN26" s="655"/>
      <c r="CO26" s="655"/>
      <c r="CP26" s="655"/>
      <c r="CQ26" s="655"/>
      <c r="CR26" s="655"/>
      <c r="CS26" s="655"/>
      <c r="CT26" s="655"/>
      <c r="CU26" s="655"/>
      <c r="CV26" s="655"/>
      <c r="CW26" s="655"/>
      <c r="CX26" s="655"/>
      <c r="CY26" s="655"/>
      <c r="CZ26" s="655"/>
      <c r="DA26" s="655"/>
      <c r="DB26" s="655"/>
      <c r="DC26" s="655"/>
      <c r="DD26" s="655"/>
      <c r="DE26" s="655"/>
      <c r="DF26" s="655"/>
      <c r="DG26" s="655"/>
      <c r="DH26" s="655"/>
      <c r="DI26" s="655"/>
      <c r="DJ26" s="655"/>
      <c r="DK26" s="655"/>
      <c r="DL26" s="655"/>
      <c r="DM26" s="655"/>
      <c r="DN26" s="655"/>
      <c r="DO26" s="655"/>
      <c r="DP26" s="655"/>
      <c r="DQ26" s="655"/>
      <c r="DR26" s="655"/>
      <c r="DS26" s="655"/>
      <c r="DT26" s="655"/>
      <c r="DU26" s="655"/>
      <c r="DV26" s="655"/>
      <c r="DW26" s="655"/>
      <c r="DX26" s="655"/>
      <c r="DY26" s="655"/>
      <c r="DZ26" s="655"/>
      <c r="EA26" s="655"/>
      <c r="EB26" s="655"/>
      <c r="EC26" s="655"/>
      <c r="ED26" s="655"/>
      <c r="EE26" s="655"/>
      <c r="EF26" s="655"/>
      <c r="EG26" s="655"/>
      <c r="EH26" s="655"/>
      <c r="EI26" s="655"/>
      <c r="EJ26" s="655"/>
      <c r="EK26" s="655"/>
      <c r="EL26" s="655"/>
      <c r="EM26" s="655"/>
      <c r="EN26" s="655"/>
      <c r="EO26" s="655"/>
      <c r="EP26" s="655"/>
      <c r="EQ26" s="655"/>
      <c r="ER26" s="655"/>
      <c r="ES26" s="655"/>
      <c r="ET26" s="655"/>
      <c r="EU26" s="655"/>
      <c r="EV26" s="655"/>
      <c r="EW26" s="655"/>
      <c r="EX26" s="655"/>
      <c r="EY26" s="655"/>
      <c r="EZ26" s="655"/>
      <c r="FA26" s="655"/>
      <c r="FB26" s="655"/>
      <c r="FC26" s="655"/>
      <c r="FD26" s="655"/>
      <c r="FE26" s="655"/>
      <c r="FF26" s="655"/>
      <c r="FG26" s="655"/>
      <c r="FH26" s="655"/>
      <c r="FI26" s="655"/>
      <c r="FJ26" s="655"/>
      <c r="FK26" s="655"/>
      <c r="FL26" s="655"/>
      <c r="FM26" s="655"/>
      <c r="FN26" s="655"/>
      <c r="FO26" s="655"/>
      <c r="FP26" s="655"/>
      <c r="FQ26" s="655"/>
      <c r="FR26" s="655"/>
      <c r="FS26" s="655"/>
      <c r="FT26" s="655"/>
      <c r="FU26" s="655"/>
      <c r="FV26" s="655"/>
      <c r="FW26" s="655"/>
      <c r="FX26" s="655"/>
      <c r="FY26" s="655"/>
      <c r="FZ26" s="655"/>
      <c r="GA26" s="655"/>
      <c r="GB26" s="655"/>
      <c r="GC26" s="655"/>
      <c r="GD26" s="655"/>
      <c r="GE26" s="655"/>
      <c r="GF26" s="655"/>
      <c r="GG26" s="655"/>
      <c r="GH26" s="655"/>
      <c r="GI26" s="655"/>
      <c r="GJ26" s="655"/>
      <c r="GK26" s="655"/>
      <c r="GL26" s="655"/>
      <c r="GM26" s="655"/>
      <c r="GN26" s="655"/>
      <c r="GO26" s="655"/>
      <c r="GP26" s="655"/>
      <c r="GQ26" s="655"/>
      <c r="GR26" s="655"/>
      <c r="GS26" s="655"/>
      <c r="GT26" s="655"/>
      <c r="GU26" s="655"/>
      <c r="GV26" s="655"/>
      <c r="GW26" s="655"/>
      <c r="GX26" s="655"/>
      <c r="GY26" s="655"/>
      <c r="GZ26" s="655"/>
      <c r="HA26" s="655"/>
      <c r="HB26" s="655"/>
      <c r="HC26" s="655"/>
      <c r="HD26" s="655"/>
      <c r="HE26" s="655"/>
      <c r="HF26" s="655"/>
      <c r="HG26" s="655"/>
      <c r="HH26" s="655"/>
      <c r="HI26" s="655"/>
      <c r="HJ26" s="655"/>
      <c r="HK26" s="655"/>
      <c r="HL26" s="655"/>
      <c r="HM26" s="655"/>
      <c r="HN26" s="655"/>
      <c r="HO26" s="655"/>
      <c r="HP26" s="655"/>
      <c r="HQ26" s="655"/>
      <c r="HR26" s="655"/>
      <c r="HS26" s="655"/>
      <c r="HT26" s="655"/>
      <c r="HU26" s="655"/>
      <c r="HV26" s="655"/>
      <c r="HW26" s="655"/>
      <c r="HX26" s="655"/>
      <c r="HY26" s="655"/>
      <c r="HZ26" s="655"/>
      <c r="IA26" s="655"/>
      <c r="IB26" s="655"/>
      <c r="IC26" s="655"/>
      <c r="ID26" s="655"/>
      <c r="IE26" s="655"/>
      <c r="IF26" s="655"/>
      <c r="IG26" s="655"/>
      <c r="IH26" s="655"/>
      <c r="II26" s="655"/>
      <c r="IJ26" s="655"/>
      <c r="IK26" s="655"/>
      <c r="IL26" s="655"/>
      <c r="IM26" s="655"/>
      <c r="IN26" s="655"/>
      <c r="IO26" s="655"/>
      <c r="IP26" s="655"/>
      <c r="IQ26" s="655"/>
      <c r="IR26" s="655"/>
      <c r="IS26" s="655"/>
      <c r="IT26" s="655"/>
      <c r="IU26" s="655"/>
      <c r="IV26" s="655"/>
    </row>
    <row r="27" spans="1:256" ht="16.5" customHeight="1">
      <c r="A27" s="660"/>
      <c r="B27" s="661"/>
      <c r="C27" s="661"/>
      <c r="D27" s="661"/>
      <c r="E27" s="661"/>
      <c r="F27" s="661"/>
      <c r="G27" s="661"/>
      <c r="H27" s="661">
        <f t="shared" si="3"/>
        <v>0</v>
      </c>
      <c r="I27" s="660" t="s">
        <v>446</v>
      </c>
      <c r="J27" s="1658">
        <v>377256236</v>
      </c>
      <c r="K27" s="661"/>
      <c r="L27" s="661"/>
      <c r="M27" s="661"/>
      <c r="N27" s="661"/>
      <c r="O27" s="661"/>
      <c r="P27" s="671">
        <f t="shared" si="4"/>
        <v>377256236</v>
      </c>
      <c r="Q27" s="655"/>
      <c r="R27" s="655"/>
      <c r="S27" s="655"/>
      <c r="T27" s="655"/>
      <c r="U27" s="655"/>
      <c r="V27" s="655"/>
      <c r="W27" s="655"/>
      <c r="X27" s="655"/>
      <c r="Y27" s="655"/>
      <c r="Z27" s="655"/>
      <c r="AA27" s="655"/>
      <c r="AB27" s="655"/>
      <c r="AC27" s="655"/>
      <c r="AD27" s="655"/>
      <c r="AE27" s="655"/>
      <c r="AF27" s="655"/>
      <c r="AG27" s="655"/>
      <c r="AH27" s="655"/>
      <c r="AI27" s="655"/>
      <c r="AJ27" s="655"/>
      <c r="AK27" s="655"/>
      <c r="AL27" s="655"/>
      <c r="AM27" s="655"/>
      <c r="AN27" s="655"/>
      <c r="AO27" s="655"/>
      <c r="AP27" s="655"/>
      <c r="AQ27" s="655"/>
      <c r="AR27" s="655"/>
      <c r="AS27" s="655"/>
      <c r="AT27" s="655"/>
      <c r="AU27" s="655"/>
      <c r="AV27" s="655"/>
      <c r="AW27" s="655"/>
      <c r="AX27" s="655"/>
      <c r="AY27" s="655"/>
      <c r="AZ27" s="655"/>
      <c r="BA27" s="655"/>
      <c r="BB27" s="655"/>
      <c r="BC27" s="655"/>
      <c r="BD27" s="655"/>
      <c r="BE27" s="655"/>
      <c r="BF27" s="655"/>
      <c r="BG27" s="655"/>
      <c r="BH27" s="655"/>
      <c r="BI27" s="655"/>
      <c r="BJ27" s="655"/>
      <c r="BK27" s="655"/>
      <c r="BL27" s="655"/>
      <c r="BM27" s="655"/>
      <c r="BN27" s="655"/>
      <c r="BO27" s="655"/>
      <c r="BP27" s="655"/>
      <c r="BQ27" s="655"/>
      <c r="BR27" s="655"/>
      <c r="BS27" s="655"/>
      <c r="BT27" s="655"/>
      <c r="BU27" s="655"/>
      <c r="BV27" s="655"/>
      <c r="BW27" s="655"/>
      <c r="BX27" s="655"/>
      <c r="BY27" s="655"/>
      <c r="BZ27" s="655"/>
      <c r="CA27" s="655"/>
      <c r="CB27" s="655"/>
      <c r="CC27" s="655"/>
      <c r="CD27" s="655"/>
      <c r="CE27" s="655"/>
      <c r="CF27" s="655"/>
      <c r="CG27" s="655"/>
      <c r="CH27" s="655"/>
      <c r="CI27" s="655"/>
      <c r="CJ27" s="655"/>
      <c r="CK27" s="655"/>
      <c r="CL27" s="655"/>
      <c r="CM27" s="655"/>
      <c r="CN27" s="655"/>
      <c r="CO27" s="655"/>
      <c r="CP27" s="655"/>
      <c r="CQ27" s="655"/>
      <c r="CR27" s="655"/>
      <c r="CS27" s="655"/>
      <c r="CT27" s="655"/>
      <c r="CU27" s="655"/>
      <c r="CV27" s="655"/>
      <c r="CW27" s="655"/>
      <c r="CX27" s="655"/>
      <c r="CY27" s="655"/>
      <c r="CZ27" s="655"/>
      <c r="DA27" s="655"/>
      <c r="DB27" s="655"/>
      <c r="DC27" s="655"/>
      <c r="DD27" s="655"/>
      <c r="DE27" s="655"/>
      <c r="DF27" s="655"/>
      <c r="DG27" s="655"/>
      <c r="DH27" s="655"/>
      <c r="DI27" s="655"/>
      <c r="DJ27" s="655"/>
      <c r="DK27" s="655"/>
      <c r="DL27" s="655"/>
      <c r="DM27" s="655"/>
      <c r="DN27" s="655"/>
      <c r="DO27" s="655"/>
      <c r="DP27" s="655"/>
      <c r="DQ27" s="655"/>
      <c r="DR27" s="655"/>
      <c r="DS27" s="655"/>
      <c r="DT27" s="655"/>
      <c r="DU27" s="655"/>
      <c r="DV27" s="655"/>
      <c r="DW27" s="655"/>
      <c r="DX27" s="655"/>
      <c r="DY27" s="655"/>
      <c r="DZ27" s="655"/>
      <c r="EA27" s="655"/>
      <c r="EB27" s="655"/>
      <c r="EC27" s="655"/>
      <c r="ED27" s="655"/>
      <c r="EE27" s="655"/>
      <c r="EF27" s="655"/>
      <c r="EG27" s="655"/>
      <c r="EH27" s="655"/>
      <c r="EI27" s="655"/>
      <c r="EJ27" s="655"/>
      <c r="EK27" s="655"/>
      <c r="EL27" s="655"/>
      <c r="EM27" s="655"/>
      <c r="EN27" s="655"/>
      <c r="EO27" s="655"/>
      <c r="EP27" s="655"/>
      <c r="EQ27" s="655"/>
      <c r="ER27" s="655"/>
      <c r="ES27" s="655"/>
      <c r="ET27" s="655"/>
      <c r="EU27" s="655"/>
      <c r="EV27" s="655"/>
      <c r="EW27" s="655"/>
      <c r="EX27" s="655"/>
      <c r="EY27" s="655"/>
      <c r="EZ27" s="655"/>
      <c r="FA27" s="655"/>
      <c r="FB27" s="655"/>
      <c r="FC27" s="655"/>
      <c r="FD27" s="655"/>
      <c r="FE27" s="655"/>
      <c r="FF27" s="655"/>
      <c r="FG27" s="655"/>
      <c r="FH27" s="655"/>
      <c r="FI27" s="655"/>
      <c r="FJ27" s="655"/>
      <c r="FK27" s="655"/>
      <c r="FL27" s="655"/>
      <c r="FM27" s="655"/>
      <c r="FN27" s="655"/>
      <c r="FO27" s="655"/>
      <c r="FP27" s="655"/>
      <c r="FQ27" s="655"/>
      <c r="FR27" s="655"/>
      <c r="FS27" s="655"/>
      <c r="FT27" s="655"/>
      <c r="FU27" s="655"/>
      <c r="FV27" s="655"/>
      <c r="FW27" s="655"/>
      <c r="FX27" s="655"/>
      <c r="FY27" s="655"/>
      <c r="FZ27" s="655"/>
      <c r="GA27" s="655"/>
      <c r="GB27" s="655"/>
      <c r="GC27" s="655"/>
      <c r="GD27" s="655"/>
      <c r="GE27" s="655"/>
      <c r="GF27" s="655"/>
      <c r="GG27" s="655"/>
      <c r="GH27" s="655"/>
      <c r="GI27" s="655"/>
      <c r="GJ27" s="655"/>
      <c r="GK27" s="655"/>
      <c r="GL27" s="655"/>
      <c r="GM27" s="655"/>
      <c r="GN27" s="655"/>
      <c r="GO27" s="655"/>
      <c r="GP27" s="655"/>
      <c r="GQ27" s="655"/>
      <c r="GR27" s="655"/>
      <c r="GS27" s="655"/>
      <c r="GT27" s="655"/>
      <c r="GU27" s="655"/>
      <c r="GV27" s="655"/>
      <c r="GW27" s="655"/>
      <c r="GX27" s="655"/>
      <c r="GY27" s="655"/>
      <c r="GZ27" s="655"/>
      <c r="HA27" s="655"/>
      <c r="HB27" s="655"/>
      <c r="HC27" s="655"/>
      <c r="HD27" s="655"/>
      <c r="HE27" s="655"/>
      <c r="HF27" s="655"/>
      <c r="HG27" s="655"/>
      <c r="HH27" s="655"/>
      <c r="HI27" s="655"/>
      <c r="HJ27" s="655"/>
      <c r="HK27" s="655"/>
      <c r="HL27" s="655"/>
      <c r="HM27" s="655"/>
      <c r="HN27" s="655"/>
      <c r="HO27" s="655"/>
      <c r="HP27" s="655"/>
      <c r="HQ27" s="655"/>
      <c r="HR27" s="655"/>
      <c r="HS27" s="655"/>
      <c r="HT27" s="655"/>
      <c r="HU27" s="655"/>
      <c r="HV27" s="655"/>
      <c r="HW27" s="655"/>
      <c r="HX27" s="655"/>
      <c r="HY27" s="655"/>
      <c r="HZ27" s="655"/>
      <c r="IA27" s="655"/>
      <c r="IB27" s="655"/>
      <c r="IC27" s="655"/>
      <c r="ID27" s="655"/>
      <c r="IE27" s="655"/>
      <c r="IF27" s="655"/>
      <c r="IG27" s="655"/>
      <c r="IH27" s="655"/>
      <c r="II27" s="655"/>
      <c r="IJ27" s="655"/>
      <c r="IK27" s="655"/>
      <c r="IL27" s="655"/>
      <c r="IM27" s="655"/>
      <c r="IN27" s="655"/>
      <c r="IO27" s="655"/>
      <c r="IP27" s="655"/>
      <c r="IQ27" s="655"/>
      <c r="IR27" s="655"/>
      <c r="IS27" s="655"/>
      <c r="IT27" s="655"/>
      <c r="IU27" s="655"/>
      <c r="IV27" s="655"/>
    </row>
    <row r="28" spans="1:256" ht="16.5" customHeight="1">
      <c r="A28" s="668" t="s">
        <v>444</v>
      </c>
      <c r="B28" s="669">
        <f aca="true" t="shared" si="5" ref="B28:G28">SUM(B22:B27)</f>
        <v>640845593</v>
      </c>
      <c r="C28" s="669">
        <f t="shared" si="5"/>
        <v>2973531</v>
      </c>
      <c r="D28" s="669">
        <f t="shared" si="5"/>
        <v>540979</v>
      </c>
      <c r="E28" s="669">
        <f t="shared" si="5"/>
        <v>333759</v>
      </c>
      <c r="F28" s="669">
        <f t="shared" si="5"/>
        <v>244781</v>
      </c>
      <c r="G28" s="669">
        <f t="shared" si="5"/>
        <v>7303530</v>
      </c>
      <c r="H28" s="669">
        <f>SUM(H22:H27)</f>
        <v>652242173</v>
      </c>
      <c r="I28" s="668" t="s">
        <v>444</v>
      </c>
      <c r="J28" s="669">
        <f aca="true" t="shared" si="6" ref="J28:O28">SUM(J22:J27)</f>
        <v>649268642</v>
      </c>
      <c r="K28" s="669">
        <f t="shared" si="6"/>
        <v>2973531</v>
      </c>
      <c r="L28" s="669">
        <f t="shared" si="6"/>
        <v>540979</v>
      </c>
      <c r="M28" s="669">
        <f t="shared" si="6"/>
        <v>333759</v>
      </c>
      <c r="N28" s="669">
        <f t="shared" si="6"/>
        <v>244781</v>
      </c>
      <c r="O28" s="669">
        <f t="shared" si="6"/>
        <v>7303530</v>
      </c>
      <c r="P28" s="669">
        <f>SUM(P23+P27)+P24+P22</f>
        <v>652242173</v>
      </c>
      <c r="Q28" s="655"/>
      <c r="R28" s="655"/>
      <c r="S28" s="655"/>
      <c r="T28" s="655"/>
      <c r="U28" s="655"/>
      <c r="V28" s="655"/>
      <c r="W28" s="655"/>
      <c r="X28" s="655"/>
      <c r="Y28" s="655"/>
      <c r="Z28" s="655"/>
      <c r="AA28" s="655"/>
      <c r="AB28" s="655"/>
      <c r="AC28" s="655"/>
      <c r="AD28" s="655"/>
      <c r="AE28" s="655"/>
      <c r="AF28" s="655"/>
      <c r="AG28" s="655"/>
      <c r="AH28" s="655"/>
      <c r="AI28" s="655"/>
      <c r="AJ28" s="655"/>
      <c r="AK28" s="655"/>
      <c r="AL28" s="655"/>
      <c r="AM28" s="655"/>
      <c r="AN28" s="655"/>
      <c r="AO28" s="655"/>
      <c r="AP28" s="655"/>
      <c r="AQ28" s="655"/>
      <c r="AR28" s="655"/>
      <c r="AS28" s="655"/>
      <c r="AT28" s="655"/>
      <c r="AU28" s="655"/>
      <c r="AV28" s="655"/>
      <c r="AW28" s="655"/>
      <c r="AX28" s="655"/>
      <c r="AY28" s="655"/>
      <c r="AZ28" s="655"/>
      <c r="BA28" s="655"/>
      <c r="BB28" s="655"/>
      <c r="BC28" s="655"/>
      <c r="BD28" s="655"/>
      <c r="BE28" s="655"/>
      <c r="BF28" s="655"/>
      <c r="BG28" s="655"/>
      <c r="BH28" s="655"/>
      <c r="BI28" s="655"/>
      <c r="BJ28" s="655"/>
      <c r="BK28" s="655"/>
      <c r="BL28" s="655"/>
      <c r="BM28" s="655"/>
      <c r="BN28" s="655"/>
      <c r="BO28" s="655"/>
      <c r="BP28" s="655"/>
      <c r="BQ28" s="655"/>
      <c r="BR28" s="655"/>
      <c r="BS28" s="655"/>
      <c r="BT28" s="655"/>
      <c r="BU28" s="655"/>
      <c r="BV28" s="655"/>
      <c r="BW28" s="655"/>
      <c r="BX28" s="655"/>
      <c r="BY28" s="655"/>
      <c r="BZ28" s="655"/>
      <c r="CA28" s="655"/>
      <c r="CB28" s="655"/>
      <c r="CC28" s="655"/>
      <c r="CD28" s="655"/>
      <c r="CE28" s="655"/>
      <c r="CF28" s="655"/>
      <c r="CG28" s="655"/>
      <c r="CH28" s="655"/>
      <c r="CI28" s="655"/>
      <c r="CJ28" s="655"/>
      <c r="CK28" s="655"/>
      <c r="CL28" s="655"/>
      <c r="CM28" s="655"/>
      <c r="CN28" s="655"/>
      <c r="CO28" s="655"/>
      <c r="CP28" s="655"/>
      <c r="CQ28" s="655"/>
      <c r="CR28" s="655"/>
      <c r="CS28" s="655"/>
      <c r="CT28" s="655"/>
      <c r="CU28" s="655"/>
      <c r="CV28" s="655"/>
      <c r="CW28" s="655"/>
      <c r="CX28" s="655"/>
      <c r="CY28" s="655"/>
      <c r="CZ28" s="655"/>
      <c r="DA28" s="655"/>
      <c r="DB28" s="655"/>
      <c r="DC28" s="655"/>
      <c r="DD28" s="655"/>
      <c r="DE28" s="655"/>
      <c r="DF28" s="655"/>
      <c r="DG28" s="655"/>
      <c r="DH28" s="655"/>
      <c r="DI28" s="655"/>
      <c r="DJ28" s="655"/>
      <c r="DK28" s="655"/>
      <c r="DL28" s="655"/>
      <c r="DM28" s="655"/>
      <c r="DN28" s="655"/>
      <c r="DO28" s="655"/>
      <c r="DP28" s="655"/>
      <c r="DQ28" s="655"/>
      <c r="DR28" s="655"/>
      <c r="DS28" s="655"/>
      <c r="DT28" s="655"/>
      <c r="DU28" s="655"/>
      <c r="DV28" s="655"/>
      <c r="DW28" s="655"/>
      <c r="DX28" s="655"/>
      <c r="DY28" s="655"/>
      <c r="DZ28" s="655"/>
      <c r="EA28" s="655"/>
      <c r="EB28" s="655"/>
      <c r="EC28" s="655"/>
      <c r="ED28" s="655"/>
      <c r="EE28" s="655"/>
      <c r="EF28" s="655"/>
      <c r="EG28" s="655"/>
      <c r="EH28" s="655"/>
      <c r="EI28" s="655"/>
      <c r="EJ28" s="655"/>
      <c r="EK28" s="655"/>
      <c r="EL28" s="655"/>
      <c r="EM28" s="655"/>
      <c r="EN28" s="655"/>
      <c r="EO28" s="655"/>
      <c r="EP28" s="655"/>
      <c r="EQ28" s="655"/>
      <c r="ER28" s="655"/>
      <c r="ES28" s="655"/>
      <c r="ET28" s="655"/>
      <c r="EU28" s="655"/>
      <c r="EV28" s="655"/>
      <c r="EW28" s="655"/>
      <c r="EX28" s="655"/>
      <c r="EY28" s="655"/>
      <c r="EZ28" s="655"/>
      <c r="FA28" s="655"/>
      <c r="FB28" s="655"/>
      <c r="FC28" s="655"/>
      <c r="FD28" s="655"/>
      <c r="FE28" s="655"/>
      <c r="FF28" s="655"/>
      <c r="FG28" s="655"/>
      <c r="FH28" s="655"/>
      <c r="FI28" s="655"/>
      <c r="FJ28" s="655"/>
      <c r="FK28" s="655"/>
      <c r="FL28" s="655"/>
      <c r="FM28" s="655"/>
      <c r="FN28" s="655"/>
      <c r="FO28" s="655"/>
      <c r="FP28" s="655"/>
      <c r="FQ28" s="655"/>
      <c r="FR28" s="655"/>
      <c r="FS28" s="655"/>
      <c r="FT28" s="655"/>
      <c r="FU28" s="655"/>
      <c r="FV28" s="655"/>
      <c r="FW28" s="655"/>
      <c r="FX28" s="655"/>
      <c r="FY28" s="655"/>
      <c r="FZ28" s="655"/>
      <c r="GA28" s="655"/>
      <c r="GB28" s="655"/>
      <c r="GC28" s="655"/>
      <c r="GD28" s="655"/>
      <c r="GE28" s="655"/>
      <c r="GF28" s="655"/>
      <c r="GG28" s="655"/>
      <c r="GH28" s="655"/>
      <c r="GI28" s="655"/>
      <c r="GJ28" s="655"/>
      <c r="GK28" s="655"/>
      <c r="GL28" s="655"/>
      <c r="GM28" s="655"/>
      <c r="GN28" s="655"/>
      <c r="GO28" s="655"/>
      <c r="GP28" s="655"/>
      <c r="GQ28" s="655"/>
      <c r="GR28" s="655"/>
      <c r="GS28" s="655"/>
      <c r="GT28" s="655"/>
      <c r="GU28" s="655"/>
      <c r="GV28" s="655"/>
      <c r="GW28" s="655"/>
      <c r="GX28" s="655"/>
      <c r="GY28" s="655"/>
      <c r="GZ28" s="655"/>
      <c r="HA28" s="655"/>
      <c r="HB28" s="655"/>
      <c r="HC28" s="655"/>
      <c r="HD28" s="655"/>
      <c r="HE28" s="655"/>
      <c r="HF28" s="655"/>
      <c r="HG28" s="655"/>
      <c r="HH28" s="655"/>
      <c r="HI28" s="655"/>
      <c r="HJ28" s="655"/>
      <c r="HK28" s="655"/>
      <c r="HL28" s="655"/>
      <c r="HM28" s="655"/>
      <c r="HN28" s="655"/>
      <c r="HO28" s="655"/>
      <c r="HP28" s="655"/>
      <c r="HQ28" s="655"/>
      <c r="HR28" s="655"/>
      <c r="HS28" s="655"/>
      <c r="HT28" s="655"/>
      <c r="HU28" s="655"/>
      <c r="HV28" s="655"/>
      <c r="HW28" s="655"/>
      <c r="HX28" s="655"/>
      <c r="HY28" s="655"/>
      <c r="HZ28" s="655"/>
      <c r="IA28" s="655"/>
      <c r="IB28" s="655"/>
      <c r="IC28" s="655"/>
      <c r="ID28" s="655"/>
      <c r="IE28" s="655"/>
      <c r="IF28" s="655"/>
      <c r="IG28" s="655"/>
      <c r="IH28" s="655"/>
      <c r="II28" s="655"/>
      <c r="IJ28" s="655"/>
      <c r="IK28" s="655"/>
      <c r="IL28" s="655"/>
      <c r="IM28" s="655"/>
      <c r="IN28" s="655"/>
      <c r="IO28" s="655"/>
      <c r="IP28" s="655"/>
      <c r="IQ28" s="655"/>
      <c r="IR28" s="655"/>
      <c r="IS28" s="655"/>
      <c r="IT28" s="655"/>
      <c r="IU28" s="655"/>
      <c r="IV28" s="655"/>
    </row>
    <row r="29" spans="1:256" ht="16.5" customHeight="1">
      <c r="A29" s="657" t="s">
        <v>454</v>
      </c>
      <c r="B29" s="673">
        <f aca="true" t="shared" si="7" ref="B29:H29">SUM(B19+B28)</f>
        <v>1280390911</v>
      </c>
      <c r="C29" s="673">
        <f t="shared" si="7"/>
        <v>4108587</v>
      </c>
      <c r="D29" s="673">
        <f t="shared" si="7"/>
        <v>101211543</v>
      </c>
      <c r="E29" s="673">
        <f t="shared" si="7"/>
        <v>135099567</v>
      </c>
      <c r="F29" s="673">
        <f t="shared" si="7"/>
        <v>23844027</v>
      </c>
      <c r="G29" s="673">
        <f t="shared" si="7"/>
        <v>116840128</v>
      </c>
      <c r="H29" s="673">
        <f t="shared" si="7"/>
        <v>1661494763</v>
      </c>
      <c r="I29" s="657" t="s">
        <v>455</v>
      </c>
      <c r="J29" s="673">
        <f aca="true" t="shared" si="8" ref="J29:O29">SUM(J19+J28)</f>
        <v>1280390911</v>
      </c>
      <c r="K29" s="673">
        <f t="shared" si="8"/>
        <v>4108587</v>
      </c>
      <c r="L29" s="673">
        <f t="shared" si="8"/>
        <v>101211543</v>
      </c>
      <c r="M29" s="673">
        <f t="shared" si="8"/>
        <v>135099567</v>
      </c>
      <c r="N29" s="673">
        <f t="shared" si="8"/>
        <v>23844027</v>
      </c>
      <c r="O29" s="673">
        <f t="shared" si="8"/>
        <v>116840128</v>
      </c>
      <c r="P29" s="673">
        <f>SUM(J29:O29)</f>
        <v>1661494763</v>
      </c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655"/>
      <c r="AI29" s="655"/>
      <c r="AJ29" s="655"/>
      <c r="AK29" s="655"/>
      <c r="AL29" s="655"/>
      <c r="AM29" s="655"/>
      <c r="AN29" s="655"/>
      <c r="AO29" s="655"/>
      <c r="AP29" s="655"/>
      <c r="AQ29" s="655"/>
      <c r="AR29" s="655"/>
      <c r="AS29" s="655"/>
      <c r="AT29" s="655"/>
      <c r="AU29" s="655"/>
      <c r="AV29" s="655"/>
      <c r="AW29" s="655"/>
      <c r="AX29" s="655"/>
      <c r="AY29" s="655"/>
      <c r="AZ29" s="655"/>
      <c r="BA29" s="655"/>
      <c r="BB29" s="655"/>
      <c r="BC29" s="655"/>
      <c r="BD29" s="655"/>
      <c r="BE29" s="655"/>
      <c r="BF29" s="655"/>
      <c r="BG29" s="655"/>
      <c r="BH29" s="655"/>
      <c r="BI29" s="655"/>
      <c r="BJ29" s="655"/>
      <c r="BK29" s="655"/>
      <c r="BL29" s="655"/>
      <c r="BM29" s="655"/>
      <c r="BN29" s="655"/>
      <c r="BO29" s="655"/>
      <c r="BP29" s="655"/>
      <c r="BQ29" s="655"/>
      <c r="BR29" s="655"/>
      <c r="BS29" s="655"/>
      <c r="BT29" s="655"/>
      <c r="BU29" s="655"/>
      <c r="BV29" s="655"/>
      <c r="BW29" s="655"/>
      <c r="BX29" s="655"/>
      <c r="BY29" s="655"/>
      <c r="BZ29" s="655"/>
      <c r="CA29" s="655"/>
      <c r="CB29" s="655"/>
      <c r="CC29" s="655"/>
      <c r="CD29" s="655"/>
      <c r="CE29" s="655"/>
      <c r="CF29" s="655"/>
      <c r="CG29" s="655"/>
      <c r="CH29" s="655"/>
      <c r="CI29" s="655"/>
      <c r="CJ29" s="655"/>
      <c r="CK29" s="655"/>
      <c r="CL29" s="655"/>
      <c r="CM29" s="655"/>
      <c r="CN29" s="655"/>
      <c r="CO29" s="655"/>
      <c r="CP29" s="655"/>
      <c r="CQ29" s="655"/>
      <c r="CR29" s="655"/>
      <c r="CS29" s="655"/>
      <c r="CT29" s="655"/>
      <c r="CU29" s="655"/>
      <c r="CV29" s="655"/>
      <c r="CW29" s="655"/>
      <c r="CX29" s="655"/>
      <c r="CY29" s="655"/>
      <c r="CZ29" s="655"/>
      <c r="DA29" s="655"/>
      <c r="DB29" s="655"/>
      <c r="DC29" s="655"/>
      <c r="DD29" s="655"/>
      <c r="DE29" s="655"/>
      <c r="DF29" s="655"/>
      <c r="DG29" s="655"/>
      <c r="DH29" s="655"/>
      <c r="DI29" s="655"/>
      <c r="DJ29" s="655"/>
      <c r="DK29" s="655"/>
      <c r="DL29" s="655"/>
      <c r="DM29" s="655"/>
      <c r="DN29" s="655"/>
      <c r="DO29" s="655"/>
      <c r="DP29" s="655"/>
      <c r="DQ29" s="655"/>
      <c r="DR29" s="655"/>
      <c r="DS29" s="655"/>
      <c r="DT29" s="655"/>
      <c r="DU29" s="655"/>
      <c r="DV29" s="655"/>
      <c r="DW29" s="655"/>
      <c r="DX29" s="655"/>
      <c r="DY29" s="655"/>
      <c r="DZ29" s="655"/>
      <c r="EA29" s="655"/>
      <c r="EB29" s="655"/>
      <c r="EC29" s="655"/>
      <c r="ED29" s="655"/>
      <c r="EE29" s="655"/>
      <c r="EF29" s="655"/>
      <c r="EG29" s="655"/>
      <c r="EH29" s="655"/>
      <c r="EI29" s="655"/>
      <c r="EJ29" s="655"/>
      <c r="EK29" s="655"/>
      <c r="EL29" s="655"/>
      <c r="EM29" s="655"/>
      <c r="EN29" s="655"/>
      <c r="EO29" s="655"/>
      <c r="EP29" s="655"/>
      <c r="EQ29" s="655"/>
      <c r="ER29" s="655"/>
      <c r="ES29" s="655"/>
      <c r="ET29" s="655"/>
      <c r="EU29" s="655"/>
      <c r="EV29" s="655"/>
      <c r="EW29" s="655"/>
      <c r="EX29" s="655"/>
      <c r="EY29" s="655"/>
      <c r="EZ29" s="655"/>
      <c r="FA29" s="655"/>
      <c r="FB29" s="655"/>
      <c r="FC29" s="655"/>
      <c r="FD29" s="655"/>
      <c r="FE29" s="655"/>
      <c r="FF29" s="655"/>
      <c r="FG29" s="655"/>
      <c r="FH29" s="655"/>
      <c r="FI29" s="655"/>
      <c r="FJ29" s="655"/>
      <c r="FK29" s="655"/>
      <c r="FL29" s="655"/>
      <c r="FM29" s="655"/>
      <c r="FN29" s="655"/>
      <c r="FO29" s="655"/>
      <c r="FP29" s="655"/>
      <c r="FQ29" s="655"/>
      <c r="FR29" s="655"/>
      <c r="FS29" s="655"/>
      <c r="FT29" s="655"/>
      <c r="FU29" s="655"/>
      <c r="FV29" s="655"/>
      <c r="FW29" s="655"/>
      <c r="FX29" s="655"/>
      <c r="FY29" s="655"/>
      <c r="FZ29" s="655"/>
      <c r="GA29" s="655"/>
      <c r="GB29" s="655"/>
      <c r="GC29" s="655"/>
      <c r="GD29" s="655"/>
      <c r="GE29" s="655"/>
      <c r="GF29" s="655"/>
      <c r="GG29" s="655"/>
      <c r="GH29" s="655"/>
      <c r="GI29" s="655"/>
      <c r="GJ29" s="655"/>
      <c r="GK29" s="655"/>
      <c r="GL29" s="655"/>
      <c r="GM29" s="655"/>
      <c r="GN29" s="655"/>
      <c r="GO29" s="655"/>
      <c r="GP29" s="655"/>
      <c r="GQ29" s="655"/>
      <c r="GR29" s="655"/>
      <c r="GS29" s="655"/>
      <c r="GT29" s="655"/>
      <c r="GU29" s="655"/>
      <c r="GV29" s="655"/>
      <c r="GW29" s="655"/>
      <c r="GX29" s="655"/>
      <c r="GY29" s="655"/>
      <c r="GZ29" s="655"/>
      <c r="HA29" s="655"/>
      <c r="HB29" s="655"/>
      <c r="HC29" s="655"/>
      <c r="HD29" s="655"/>
      <c r="HE29" s="655"/>
      <c r="HF29" s="655"/>
      <c r="HG29" s="655"/>
      <c r="HH29" s="655"/>
      <c r="HI29" s="655"/>
      <c r="HJ29" s="655"/>
      <c r="HK29" s="655"/>
      <c r="HL29" s="655"/>
      <c r="HM29" s="655"/>
      <c r="HN29" s="655"/>
      <c r="HO29" s="655"/>
      <c r="HP29" s="655"/>
      <c r="HQ29" s="655"/>
      <c r="HR29" s="655"/>
      <c r="HS29" s="655"/>
      <c r="HT29" s="655"/>
      <c r="HU29" s="655"/>
      <c r="HV29" s="655"/>
      <c r="HW29" s="655"/>
      <c r="HX29" s="655"/>
      <c r="HY29" s="655"/>
      <c r="HZ29" s="655"/>
      <c r="IA29" s="655"/>
      <c r="IB29" s="655"/>
      <c r="IC29" s="655"/>
      <c r="ID29" s="655"/>
      <c r="IE29" s="655"/>
      <c r="IF29" s="655"/>
      <c r="IG29" s="655"/>
      <c r="IH29" s="655"/>
      <c r="II29" s="655"/>
      <c r="IJ29" s="655"/>
      <c r="IK29" s="655"/>
      <c r="IL29" s="655"/>
      <c r="IM29" s="655"/>
      <c r="IN29" s="655"/>
      <c r="IO29" s="655"/>
      <c r="IP29" s="655"/>
      <c r="IQ29" s="655"/>
      <c r="IR29" s="655"/>
      <c r="IS29" s="655"/>
      <c r="IT29" s="655"/>
      <c r="IU29" s="655"/>
      <c r="IV29" s="655"/>
    </row>
    <row r="30" ht="18" customHeight="1"/>
    <row r="31" ht="20.25" customHeight="1"/>
    <row r="32" ht="20.25" customHeight="1"/>
    <row r="33" ht="20.25" customHeight="1"/>
    <row r="34" ht="20.25" customHeight="1"/>
  </sheetData>
  <sheetProtection selectLockedCells="1" selectUnlockedCells="1"/>
  <mergeCells count="9">
    <mergeCell ref="A20:H20"/>
    <mergeCell ref="I20:P20"/>
    <mergeCell ref="A1:D1"/>
    <mergeCell ref="I1:P1"/>
    <mergeCell ref="A2:P2"/>
    <mergeCell ref="A4:P4"/>
    <mergeCell ref="G6:H6"/>
    <mergeCell ref="N6:P6"/>
    <mergeCell ref="G3:I3"/>
  </mergeCells>
  <printOptions/>
  <pageMargins left="0.25" right="0.25" top="0.75" bottom="0.75" header="0.3" footer="0.3"/>
  <pageSetup fitToHeight="1" fitToWidth="1" horizontalDpi="600" verticalDpi="600" orientation="landscape" paperSize="9" scale="5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"/>
  <sheetViews>
    <sheetView showGridLines="0" view="pageBreakPreview" zoomScale="110" zoomScaleSheetLayoutView="110" zoomScalePageLayoutView="0" workbookViewId="0" topLeftCell="A1">
      <selection activeCell="A2" sqref="A2:F2"/>
    </sheetView>
  </sheetViews>
  <sheetFormatPr defaultColWidth="11.7109375" defaultRowHeight="12.75" customHeight="1"/>
  <cols>
    <col min="1" max="1" width="6.421875" style="5" customWidth="1"/>
    <col min="2" max="2" width="23.7109375" style="5" customWidth="1"/>
    <col min="3" max="3" width="22.00390625" style="5" customWidth="1"/>
    <col min="4" max="5" width="10.7109375" style="5" customWidth="1"/>
    <col min="6" max="6" width="7.421875" style="87" customWidth="1"/>
    <col min="7" max="16384" width="11.7109375" style="5" customWidth="1"/>
  </cols>
  <sheetData>
    <row r="1" spans="1:6" s="88" customFormat="1" ht="18" customHeight="1">
      <c r="A1" s="1943" t="s">
        <v>808</v>
      </c>
      <c r="B1" s="1943"/>
      <c r="C1" s="1943"/>
      <c r="D1" s="1943"/>
      <c r="E1" s="1943"/>
      <c r="F1" s="1943"/>
    </row>
    <row r="2" spans="1:6" ht="12.75" customHeight="1">
      <c r="A2" s="1944" t="s">
        <v>1295</v>
      </c>
      <c r="B2" s="1944"/>
      <c r="C2" s="1944"/>
      <c r="D2" s="1944"/>
      <c r="E2" s="1944"/>
      <c r="F2" s="1944"/>
    </row>
    <row r="3" spans="1:5" ht="6.75" customHeight="1">
      <c r="A3" s="144"/>
      <c r="B3" s="144"/>
      <c r="C3" s="144"/>
      <c r="D3" s="144"/>
      <c r="E3" s="144"/>
    </row>
    <row r="4" spans="1:256" ht="29.25" customHeight="1">
      <c r="A4"/>
      <c r="B4" s="1889" t="s">
        <v>1109</v>
      </c>
      <c r="C4" s="1889"/>
      <c r="D4" s="1889"/>
      <c r="E4" s="1889"/>
      <c r="F4" s="188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844"/>
      <c r="C5" s="844"/>
      <c r="D5" s="844"/>
      <c r="E5" s="844"/>
      <c r="F5" s="84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844"/>
      <c r="C6" s="844"/>
      <c r="D6" s="844"/>
      <c r="E6" s="844"/>
      <c r="F6" s="84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0.25" customHeight="1">
      <c r="A8" s="1945" t="s">
        <v>33</v>
      </c>
      <c r="B8" s="841" t="s">
        <v>24</v>
      </c>
      <c r="C8" s="845" t="s">
        <v>809</v>
      </c>
      <c r="D8" s="846" t="s">
        <v>810</v>
      </c>
      <c r="E8" s="846" t="s">
        <v>811</v>
      </c>
      <c r="F8" s="846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945"/>
      <c r="B9" s="841" t="s">
        <v>158</v>
      </c>
      <c r="C9" s="845" t="s">
        <v>159</v>
      </c>
      <c r="D9" s="846" t="s">
        <v>160</v>
      </c>
      <c r="E9" s="846" t="s">
        <v>161</v>
      </c>
      <c r="F9" s="846" t="s">
        <v>456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847" t="s">
        <v>38</v>
      </c>
      <c r="B10" s="848" t="s">
        <v>255</v>
      </c>
      <c r="C10" s="849">
        <v>0</v>
      </c>
      <c r="D10" s="849">
        <v>1</v>
      </c>
      <c r="E10" s="849"/>
      <c r="F10" s="849">
        <f>SUM(C10:E10)</f>
        <v>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847" t="s">
        <v>40</v>
      </c>
      <c r="B11" s="850" t="s">
        <v>812</v>
      </c>
      <c r="C11" s="1503">
        <v>4</v>
      </c>
      <c r="D11" s="849"/>
      <c r="E11" s="849">
        <v>8</v>
      </c>
      <c r="F11" s="849">
        <f>SUM(C11:E11)</f>
        <v>12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847" t="s">
        <v>53</v>
      </c>
      <c r="B12" s="851" t="s">
        <v>236</v>
      </c>
      <c r="C12" s="852">
        <f>SUM(C10:C11)</f>
        <v>4</v>
      </c>
      <c r="D12" s="852">
        <f>SUM(D10:D11)</f>
        <v>1</v>
      </c>
      <c r="E12" s="852">
        <f>SUM(E10:E11)</f>
        <v>8</v>
      </c>
      <c r="F12" s="852">
        <f>SUM(F10:F11)</f>
        <v>13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847" t="s">
        <v>55</v>
      </c>
      <c r="B13" s="850" t="s">
        <v>305</v>
      </c>
      <c r="C13" s="849">
        <v>14</v>
      </c>
      <c r="D13" s="849"/>
      <c r="E13" s="849"/>
      <c r="F13" s="849">
        <f>SUM(C13:E13)</f>
        <v>14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847" t="s">
        <v>57</v>
      </c>
      <c r="B14" s="850" t="s">
        <v>813</v>
      </c>
      <c r="C14" s="849">
        <v>20</v>
      </c>
      <c r="D14" s="849"/>
      <c r="E14" s="849"/>
      <c r="F14" s="849">
        <f>SUM(C14:E14)</f>
        <v>20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847" t="s">
        <v>86</v>
      </c>
      <c r="B15" s="850" t="s">
        <v>239</v>
      </c>
      <c r="C15" s="849">
        <v>27</v>
      </c>
      <c r="D15" s="849"/>
      <c r="E15" s="849"/>
      <c r="F15" s="849">
        <f>SUM(C15:E15)</f>
        <v>27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847" t="s">
        <v>59</v>
      </c>
      <c r="B16" s="850" t="s">
        <v>1015</v>
      </c>
      <c r="C16" s="849">
        <v>5</v>
      </c>
      <c r="D16" s="849">
        <v>0</v>
      </c>
      <c r="E16" s="849"/>
      <c r="F16" s="849">
        <f>SUM(C16:E16)</f>
        <v>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847" t="s">
        <v>61</v>
      </c>
      <c r="B17" s="851" t="s">
        <v>444</v>
      </c>
      <c r="C17" s="852">
        <f>SUM(C12:C16)</f>
        <v>70</v>
      </c>
      <c r="D17" s="852">
        <f>SUM(D12:D16)</f>
        <v>1</v>
      </c>
      <c r="E17" s="852">
        <f>SUM(E12:E16)</f>
        <v>8</v>
      </c>
      <c r="F17" s="852">
        <f>SUM(F12:F16)</f>
        <v>79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847" t="s">
        <v>63</v>
      </c>
      <c r="B18" s="850" t="s">
        <v>814</v>
      </c>
      <c r="C18" s="852">
        <v>1</v>
      </c>
      <c r="D18" s="852"/>
      <c r="E18" s="852"/>
      <c r="F18" s="852">
        <f>SUM(C18:E18)</f>
        <v>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847" t="s">
        <v>65</v>
      </c>
      <c r="B19" s="853" t="s">
        <v>815</v>
      </c>
      <c r="C19" s="148">
        <f>SUM(C17:C18)</f>
        <v>71</v>
      </c>
      <c r="D19" s="148">
        <f>SUM(D17:D18)</f>
        <v>1</v>
      </c>
      <c r="E19" s="148">
        <f>SUM(E17:E18)</f>
        <v>8</v>
      </c>
      <c r="F19" s="148">
        <f>SUM(F17:F18)</f>
        <v>80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 selectLockedCells="1" selectUnlockedCells="1"/>
  <mergeCells count="4">
    <mergeCell ref="A1:F1"/>
    <mergeCell ref="A2:F2"/>
    <mergeCell ref="B4:F4"/>
    <mergeCell ref="A8:A9"/>
  </mergeCells>
  <printOptions/>
  <pageMargins left="1.299212598425197" right="0.2362204724409449" top="0.3937007874015748" bottom="0.15748031496062992" header="0.5118110236220472" footer="0.5118110236220472"/>
  <pageSetup firstPageNumber="1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40"/>
  <sheetViews>
    <sheetView showGridLines="0"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N2"/>
    </sheetView>
  </sheetViews>
  <sheetFormatPr defaultColWidth="11.7109375" defaultRowHeight="12.75" customHeight="1"/>
  <cols>
    <col min="1" max="1" width="21.7109375" style="5" customWidth="1"/>
    <col min="2" max="2" width="11.7109375" style="5" customWidth="1"/>
    <col min="3" max="3" width="11.28125" style="5" customWidth="1"/>
    <col min="4" max="4" width="11.57421875" style="5" customWidth="1"/>
    <col min="5" max="5" width="11.28125" style="5" bestFit="1" customWidth="1"/>
    <col min="6" max="6" width="11.28125" style="87" bestFit="1" customWidth="1"/>
    <col min="7" max="9" width="12.140625" style="5" bestFit="1" customWidth="1"/>
    <col min="10" max="10" width="11.28125" style="5" bestFit="1" customWidth="1"/>
    <col min="11" max="11" width="12.421875" style="5" bestFit="1" customWidth="1"/>
    <col min="12" max="12" width="13.7109375" style="5" customWidth="1"/>
    <col min="13" max="13" width="11.28125" style="5" bestFit="1" customWidth="1"/>
    <col min="14" max="14" width="14.140625" style="5" customWidth="1"/>
    <col min="15" max="25" width="10.7109375" style="5" customWidth="1"/>
    <col min="26" max="16384" width="11.7109375" style="5" customWidth="1"/>
  </cols>
  <sheetData>
    <row r="1" spans="5:14" s="88" customFormat="1" ht="18" customHeight="1">
      <c r="E1" s="1822" t="s">
        <v>1295</v>
      </c>
      <c r="F1" s="1822"/>
      <c r="G1" s="1822"/>
      <c r="H1" s="1822"/>
      <c r="I1" s="1946" t="s">
        <v>457</v>
      </c>
      <c r="J1" s="1946"/>
      <c r="K1" s="1946"/>
      <c r="L1" s="1946"/>
      <c r="M1" s="1946"/>
      <c r="N1" s="1946"/>
    </row>
    <row r="2" spans="1:14" ht="12.75" customHeight="1">
      <c r="A2" s="1891" t="s">
        <v>1296</v>
      </c>
      <c r="B2" s="1891"/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</row>
    <row r="3" spans="1:14" ht="15">
      <c r="A3" s="144"/>
      <c r="B3" s="144"/>
      <c r="C3" s="144"/>
      <c r="D3" s="144"/>
      <c r="E3" s="144"/>
      <c r="N3" s="129" t="s">
        <v>1305</v>
      </c>
    </row>
    <row r="4" spans="1:256" ht="12.75" customHeight="1">
      <c r="A4" s="1947" t="s">
        <v>1153</v>
      </c>
      <c r="B4" s="1947"/>
      <c r="C4" s="1947"/>
      <c r="D4" s="1947"/>
      <c r="E4" s="1947"/>
      <c r="F4" s="1947"/>
      <c r="G4" s="1947"/>
      <c r="H4" s="1947"/>
      <c r="I4" s="1947"/>
      <c r="J4" s="1947"/>
      <c r="K4" s="1947"/>
      <c r="L4" s="1947"/>
      <c r="M4" s="1947"/>
      <c r="N4" s="194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947"/>
      <c r="B5" s="1947"/>
      <c r="C5" s="1947"/>
      <c r="D5" s="1947"/>
      <c r="E5" s="1947"/>
      <c r="F5" s="1947"/>
      <c r="G5" s="1947"/>
      <c r="H5" s="1947"/>
      <c r="I5" s="1947"/>
      <c r="J5" s="1947"/>
      <c r="K5" s="1947"/>
      <c r="L5" s="1947"/>
      <c r="M5" s="1947"/>
      <c r="N5" s="19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/>
      <c r="M6" s="1948" t="s">
        <v>155</v>
      </c>
      <c r="N6" s="194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393" t="s">
        <v>24</v>
      </c>
      <c r="B7" s="394" t="s">
        <v>458</v>
      </c>
      <c r="C7" s="394" t="s">
        <v>459</v>
      </c>
      <c r="D7" s="394" t="s">
        <v>460</v>
      </c>
      <c r="E7" s="394" t="s">
        <v>461</v>
      </c>
      <c r="F7" s="394" t="s">
        <v>462</v>
      </c>
      <c r="G7" s="394" t="s">
        <v>463</v>
      </c>
      <c r="H7" s="394" t="s">
        <v>464</v>
      </c>
      <c r="I7" s="394" t="s">
        <v>465</v>
      </c>
      <c r="J7" s="394" t="s">
        <v>466</v>
      </c>
      <c r="K7" s="394" t="s">
        <v>467</v>
      </c>
      <c r="L7" s="394" t="s">
        <v>468</v>
      </c>
      <c r="M7" s="394" t="s">
        <v>469</v>
      </c>
      <c r="N7" s="395" t="s">
        <v>470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96" t="s">
        <v>157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397">
        <f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8.5" customHeight="1">
      <c r="A9" s="398" t="s">
        <v>162</v>
      </c>
      <c r="B9" s="150">
        <v>17191522</v>
      </c>
      <c r="C9" s="150">
        <v>17191522</v>
      </c>
      <c r="D9" s="150">
        <v>32447822</v>
      </c>
      <c r="E9" s="150">
        <v>17191522</v>
      </c>
      <c r="F9" s="150">
        <v>17191522</v>
      </c>
      <c r="G9" s="150">
        <v>17191522</v>
      </c>
      <c r="H9" s="150">
        <v>20491761</v>
      </c>
      <c r="I9" s="150">
        <v>17191521</v>
      </c>
      <c r="J9" s="150">
        <v>17674121</v>
      </c>
      <c r="K9" s="150">
        <v>17674121</v>
      </c>
      <c r="L9" s="150">
        <v>32970044</v>
      </c>
      <c r="M9" s="150">
        <v>17191521</v>
      </c>
      <c r="N9" s="397">
        <f>SUM(B9:M9)</f>
        <v>241598521</v>
      </c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8.25" customHeight="1">
      <c r="A10" s="398" t="s">
        <v>618</v>
      </c>
      <c r="B10" s="150">
        <v>125000</v>
      </c>
      <c r="C10" s="150">
        <v>125000</v>
      </c>
      <c r="D10" s="150">
        <v>35340</v>
      </c>
      <c r="E10" s="150">
        <v>0</v>
      </c>
      <c r="F10" s="150">
        <v>0</v>
      </c>
      <c r="G10" s="150">
        <v>0</v>
      </c>
      <c r="H10" s="150">
        <v>1262404</v>
      </c>
      <c r="I10" s="150">
        <v>2109544</v>
      </c>
      <c r="J10" s="150">
        <v>0</v>
      </c>
      <c r="K10" s="150">
        <v>0</v>
      </c>
      <c r="L10" s="150">
        <v>869804</v>
      </c>
      <c r="M10" s="150">
        <v>0</v>
      </c>
      <c r="N10" s="397">
        <f>SUM(B10:M10)</f>
        <v>4527092</v>
      </c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398" t="s">
        <v>167</v>
      </c>
      <c r="B11" s="150"/>
      <c r="C11" s="150"/>
      <c r="D11" s="150">
        <v>204583492</v>
      </c>
      <c r="E11" s="150"/>
      <c r="F11" s="150"/>
      <c r="G11" s="150"/>
      <c r="H11" s="150">
        <v>21045076</v>
      </c>
      <c r="I11" s="150"/>
      <c r="J11" s="150"/>
      <c r="K11" s="150"/>
      <c r="L11" s="150">
        <v>17999993</v>
      </c>
      <c r="M11" s="150"/>
      <c r="N11" s="397">
        <f>SUM(B11:M11)</f>
        <v>243628561</v>
      </c>
      <c r="O11" s="151"/>
      <c r="Q11" s="15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398" t="s">
        <v>174</v>
      </c>
      <c r="B12" s="150">
        <v>15662500</v>
      </c>
      <c r="C12" s="150">
        <v>15662500</v>
      </c>
      <c r="D12" s="150">
        <v>15662500</v>
      </c>
      <c r="E12" s="150">
        <v>15662500</v>
      </c>
      <c r="F12" s="150">
        <v>11787433</v>
      </c>
      <c r="G12" s="150">
        <v>11787433</v>
      </c>
      <c r="H12" s="150">
        <v>11887433</v>
      </c>
      <c r="I12" s="150">
        <v>11887433</v>
      </c>
      <c r="J12" s="150">
        <v>11787433</v>
      </c>
      <c r="K12" s="150">
        <v>11783174</v>
      </c>
      <c r="L12" s="150">
        <v>11840637</v>
      </c>
      <c r="M12" s="150">
        <v>11787432</v>
      </c>
      <c r="N12" s="397">
        <f>SUM(B12:M12)</f>
        <v>157198408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98" t="s">
        <v>78</v>
      </c>
      <c r="B13" s="150">
        <v>4298292</v>
      </c>
      <c r="C13" s="150">
        <v>4298292</v>
      </c>
      <c r="D13" s="150">
        <v>4298292</v>
      </c>
      <c r="E13" s="150">
        <v>4298292</v>
      </c>
      <c r="F13" s="150">
        <v>3447944</v>
      </c>
      <c r="G13" s="150">
        <v>3447944</v>
      </c>
      <c r="H13" s="150">
        <v>1956148</v>
      </c>
      <c r="I13" s="150">
        <v>2088011</v>
      </c>
      <c r="J13" s="150">
        <v>3447944</v>
      </c>
      <c r="K13" s="150">
        <v>3447944</v>
      </c>
      <c r="L13" s="150">
        <v>23051598</v>
      </c>
      <c r="M13" s="150">
        <v>3447938</v>
      </c>
      <c r="N13" s="397">
        <f aca="true" t="shared" si="0" ref="N13:N19">SUM(B13:M13)</f>
        <v>61528639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398" t="s">
        <v>13</v>
      </c>
      <c r="B14" s="150"/>
      <c r="C14" s="150"/>
      <c r="D14" s="150"/>
      <c r="E14" s="150">
        <v>2968160</v>
      </c>
      <c r="F14" s="150">
        <v>14000000</v>
      </c>
      <c r="G14" s="150">
        <v>5925000</v>
      </c>
      <c r="H14" s="150"/>
      <c r="I14" s="150"/>
      <c r="J14" s="150"/>
      <c r="K14" s="150"/>
      <c r="L14" s="150">
        <v>8464216</v>
      </c>
      <c r="M14" s="150"/>
      <c r="N14" s="397">
        <f t="shared" si="0"/>
        <v>31357376</v>
      </c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>
      <c r="A15" s="398" t="s">
        <v>185</v>
      </c>
      <c r="B15" s="150">
        <v>6500</v>
      </c>
      <c r="C15" s="150">
        <v>6500</v>
      </c>
      <c r="D15" s="150">
        <v>6500</v>
      </c>
      <c r="E15" s="150">
        <v>6500</v>
      </c>
      <c r="F15" s="150">
        <v>6500</v>
      </c>
      <c r="G15" s="150">
        <v>1568520</v>
      </c>
      <c r="H15" s="150">
        <v>6500</v>
      </c>
      <c r="I15" s="150">
        <v>106500</v>
      </c>
      <c r="J15" s="150">
        <v>6500</v>
      </c>
      <c r="K15" s="150">
        <v>6500</v>
      </c>
      <c r="L15" s="150">
        <v>210798</v>
      </c>
      <c r="M15" s="150">
        <v>6500</v>
      </c>
      <c r="N15" s="397">
        <f t="shared" si="0"/>
        <v>1944318</v>
      </c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398" t="s">
        <v>225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397">
        <f t="shared" si="0"/>
        <v>0</v>
      </c>
      <c r="O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398" t="s">
        <v>619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397">
        <f t="shared" si="0"/>
        <v>0</v>
      </c>
      <c r="O17" s="15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398" t="s">
        <v>220</v>
      </c>
      <c r="B18" s="150">
        <v>96347455</v>
      </c>
      <c r="C18" s="150">
        <v>0</v>
      </c>
      <c r="D18" s="150">
        <v>31954181</v>
      </c>
      <c r="E18" s="150">
        <v>42767212</v>
      </c>
      <c r="F18" s="150">
        <v>42767212</v>
      </c>
      <c r="G18" s="150">
        <v>42767212</v>
      </c>
      <c r="H18" s="150">
        <v>42767212</v>
      </c>
      <c r="I18" s="150">
        <v>42767211</v>
      </c>
      <c r="J18" s="150">
        <v>42767211</v>
      </c>
      <c r="K18" s="150">
        <v>42767211</v>
      </c>
      <c r="L18" s="150">
        <v>105725181</v>
      </c>
      <c r="M18" s="150">
        <v>42766210</v>
      </c>
      <c r="N18" s="397">
        <f t="shared" si="0"/>
        <v>576163508</v>
      </c>
      <c r="O18" s="15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398" t="s">
        <v>223</v>
      </c>
      <c r="B19" s="150">
        <v>8251931</v>
      </c>
      <c r="C19" s="150"/>
      <c r="D19" s="150">
        <v>90038</v>
      </c>
      <c r="E19" s="150"/>
      <c r="F19" s="150"/>
      <c r="G19" s="150"/>
      <c r="H19" s="150"/>
      <c r="I19" s="150">
        <v>0</v>
      </c>
      <c r="J19" s="150">
        <v>43041</v>
      </c>
      <c r="K19" s="150"/>
      <c r="L19" s="150">
        <v>3008026</v>
      </c>
      <c r="M19" s="150"/>
      <c r="N19" s="397">
        <f t="shared" si="0"/>
        <v>11393036</v>
      </c>
      <c r="O19" s="15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399" t="s">
        <v>471</v>
      </c>
      <c r="B20" s="12">
        <f>SUM(B8:B19)</f>
        <v>141883200</v>
      </c>
      <c r="C20" s="12">
        <f aca="true" t="shared" si="1" ref="C20:M20">SUM(C8:C19)</f>
        <v>37283814</v>
      </c>
      <c r="D20" s="12">
        <f t="shared" si="1"/>
        <v>289078165</v>
      </c>
      <c r="E20" s="12">
        <f t="shared" si="1"/>
        <v>82894186</v>
      </c>
      <c r="F20" s="12">
        <f t="shared" si="1"/>
        <v>89200611</v>
      </c>
      <c r="G20" s="12">
        <f t="shared" si="1"/>
        <v>82687631</v>
      </c>
      <c r="H20" s="12">
        <f t="shared" si="1"/>
        <v>99416534</v>
      </c>
      <c r="I20" s="12">
        <f t="shared" si="1"/>
        <v>76150220</v>
      </c>
      <c r="J20" s="12">
        <f t="shared" si="1"/>
        <v>75726250</v>
      </c>
      <c r="K20" s="12">
        <f t="shared" si="1"/>
        <v>75678950</v>
      </c>
      <c r="L20" s="12">
        <f t="shared" si="1"/>
        <v>204140297</v>
      </c>
      <c r="M20" s="12">
        <f t="shared" si="1"/>
        <v>75199601</v>
      </c>
      <c r="N20" s="12">
        <f>SUM(N8:N19)</f>
        <v>1329339459</v>
      </c>
      <c r="O20" s="1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396" t="s">
        <v>119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01"/>
      <c r="O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398" t="s">
        <v>620</v>
      </c>
      <c r="B22" s="17">
        <v>21347518</v>
      </c>
      <c r="C22" s="17">
        <v>21347518</v>
      </c>
      <c r="D22" s="17">
        <v>21347518</v>
      </c>
      <c r="E22" s="17">
        <v>21347518</v>
      </c>
      <c r="F22" s="17">
        <v>21347518</v>
      </c>
      <c r="G22" s="17">
        <v>23523518</v>
      </c>
      <c r="H22" s="17">
        <v>21830118</v>
      </c>
      <c r="I22" s="17">
        <v>22297129</v>
      </c>
      <c r="J22" s="17">
        <v>21310288</v>
      </c>
      <c r="K22" s="17">
        <v>21347518</v>
      </c>
      <c r="L22" s="17">
        <v>21347518</v>
      </c>
      <c r="M22" s="17">
        <v>25265417</v>
      </c>
      <c r="N22" s="401">
        <f>SUM(B22:M22)</f>
        <v>263659096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>
      <c r="A23" s="398" t="s">
        <v>123</v>
      </c>
      <c r="B23" s="17">
        <v>3751341</v>
      </c>
      <c r="C23" s="150">
        <v>3751341</v>
      </c>
      <c r="D23" s="150">
        <v>3751341</v>
      </c>
      <c r="E23" s="150">
        <v>3751341</v>
      </c>
      <c r="F23" s="150">
        <v>3751341</v>
      </c>
      <c r="G23" s="150">
        <v>4112946</v>
      </c>
      <c r="H23" s="150">
        <v>3751341</v>
      </c>
      <c r="I23" s="150">
        <v>3751341</v>
      </c>
      <c r="J23" s="150">
        <v>3967563</v>
      </c>
      <c r="K23" s="150">
        <v>3751341</v>
      </c>
      <c r="L23" s="150">
        <v>3751341</v>
      </c>
      <c r="M23" s="150">
        <v>3975147</v>
      </c>
      <c r="N23" s="401">
        <f>SUM(B23:M23)</f>
        <v>45817725</v>
      </c>
      <c r="O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398" t="s">
        <v>125</v>
      </c>
      <c r="B24" s="17">
        <v>12959269</v>
      </c>
      <c r="C24" s="150">
        <v>6875622</v>
      </c>
      <c r="D24" s="150">
        <v>16528141</v>
      </c>
      <c r="E24" s="150">
        <v>11944494</v>
      </c>
      <c r="F24" s="150">
        <v>11944494</v>
      </c>
      <c r="G24" s="150">
        <v>15938350</v>
      </c>
      <c r="H24" s="150">
        <v>11944494</v>
      </c>
      <c r="I24" s="150">
        <v>11944494</v>
      </c>
      <c r="J24" s="150">
        <v>12291143</v>
      </c>
      <c r="K24" s="150">
        <v>14950039</v>
      </c>
      <c r="L24" s="150">
        <v>97324693</v>
      </c>
      <c r="M24" s="150">
        <v>11944494</v>
      </c>
      <c r="N24" s="401">
        <f>SUM(B24:M24)</f>
        <v>236589727</v>
      </c>
      <c r="O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398" t="s">
        <v>449</v>
      </c>
      <c r="B25" s="17">
        <v>287750</v>
      </c>
      <c r="C25" s="150">
        <v>287750</v>
      </c>
      <c r="D25" s="150">
        <v>637750</v>
      </c>
      <c r="E25" s="150">
        <v>287750</v>
      </c>
      <c r="F25" s="150">
        <v>287750</v>
      </c>
      <c r="G25" s="150"/>
      <c r="H25" s="150">
        <v>225500</v>
      </c>
      <c r="I25" s="150">
        <v>287750</v>
      </c>
      <c r="J25" s="150">
        <v>287750</v>
      </c>
      <c r="K25" s="150">
        <v>287750</v>
      </c>
      <c r="L25" s="150">
        <v>287750</v>
      </c>
      <c r="M25" s="150">
        <v>1814750</v>
      </c>
      <c r="N25" s="401">
        <f>SUM(B25:M25)</f>
        <v>4980000</v>
      </c>
      <c r="O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>
      <c r="A26" s="398" t="s">
        <v>150</v>
      </c>
      <c r="B26" s="17"/>
      <c r="C26" s="17"/>
      <c r="D26" s="17">
        <v>242757729</v>
      </c>
      <c r="E26" s="17">
        <v>42041500</v>
      </c>
      <c r="F26" s="17">
        <v>45530875</v>
      </c>
      <c r="G26" s="17"/>
      <c r="H26" s="17"/>
      <c r="I26" s="17"/>
      <c r="J26" s="17"/>
      <c r="K26" s="17">
        <v>12215723</v>
      </c>
      <c r="L26" s="17">
        <v>33704636</v>
      </c>
      <c r="M26" s="17"/>
      <c r="N26" s="401">
        <f aca="true" t="shared" si="2" ref="N26:N32">SUM(B26:M26)</f>
        <v>376250463</v>
      </c>
      <c r="O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8.25" customHeight="1">
      <c r="A27" s="398" t="s">
        <v>202</v>
      </c>
      <c r="B27" s="17">
        <v>3521583</v>
      </c>
      <c r="C27" s="150">
        <v>3521583</v>
      </c>
      <c r="D27" s="150">
        <v>3521583</v>
      </c>
      <c r="E27" s="150">
        <v>3521583</v>
      </c>
      <c r="F27" s="150">
        <v>3521583</v>
      </c>
      <c r="G27" s="150">
        <v>7297838</v>
      </c>
      <c r="H27" s="150">
        <v>3521583</v>
      </c>
      <c r="I27" s="150">
        <v>3521583</v>
      </c>
      <c r="J27" s="150">
        <v>3521583</v>
      </c>
      <c r="K27" s="150">
        <v>6671600</v>
      </c>
      <c r="L27" s="150">
        <v>3521583</v>
      </c>
      <c r="M27" s="150">
        <v>4862590</v>
      </c>
      <c r="N27" s="401">
        <f t="shared" si="2"/>
        <v>50526275</v>
      </c>
      <c r="O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398" t="s">
        <v>132</v>
      </c>
      <c r="B28" s="17">
        <v>91763808</v>
      </c>
      <c r="C28" s="150">
        <v>1500000</v>
      </c>
      <c r="D28" s="150"/>
      <c r="E28" s="150"/>
      <c r="F28" s="150">
        <v>800000</v>
      </c>
      <c r="G28" s="150">
        <v>31414979</v>
      </c>
      <c r="H28" s="150">
        <v>42939933</v>
      </c>
      <c r="I28" s="150">
        <v>34347923</v>
      </c>
      <c r="J28" s="150">
        <v>34347923</v>
      </c>
      <c r="K28" s="150">
        <v>14033631</v>
      </c>
      <c r="L28" s="150">
        <v>44202776</v>
      </c>
      <c r="M28" s="150">
        <v>27337203</v>
      </c>
      <c r="N28" s="401">
        <f>SUM(B28:M28)</f>
        <v>322688176</v>
      </c>
      <c r="O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398" t="s">
        <v>134</v>
      </c>
      <c r="B29" s="17"/>
      <c r="C29" s="150"/>
      <c r="D29" s="150"/>
      <c r="E29" s="150"/>
      <c r="F29" s="150"/>
      <c r="G29" s="150">
        <v>400000</v>
      </c>
      <c r="H29" s="150">
        <v>15203565</v>
      </c>
      <c r="I29" s="150"/>
      <c r="J29" s="150"/>
      <c r="K29" s="150"/>
      <c r="L29" s="150"/>
      <c r="M29" s="150"/>
      <c r="N29" s="401">
        <f t="shared" si="2"/>
        <v>15603565</v>
      </c>
      <c r="O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398" t="s">
        <v>472</v>
      </c>
      <c r="B30" s="150"/>
      <c r="C30" s="150"/>
      <c r="D30" s="150">
        <v>354027</v>
      </c>
      <c r="E30" s="150"/>
      <c r="F30" s="150"/>
      <c r="G30" s="150"/>
      <c r="H30" s="150"/>
      <c r="I30" s="150"/>
      <c r="J30" s="150"/>
      <c r="K30" s="150"/>
      <c r="L30" s="150"/>
      <c r="M30" s="150"/>
      <c r="N30" s="401">
        <f t="shared" si="2"/>
        <v>354027</v>
      </c>
      <c r="O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398" t="s">
        <v>1247</v>
      </c>
      <c r="B31" s="150"/>
      <c r="C31" s="150"/>
      <c r="D31" s="150"/>
      <c r="E31" s="150"/>
      <c r="F31" s="150">
        <v>2017050</v>
      </c>
      <c r="G31" s="150"/>
      <c r="H31" s="150"/>
      <c r="I31" s="150"/>
      <c r="J31" s="150"/>
      <c r="K31" s="150">
        <v>337800</v>
      </c>
      <c r="L31" s="150"/>
      <c r="M31" s="150"/>
      <c r="N31" s="401">
        <f t="shared" si="2"/>
        <v>2354850</v>
      </c>
      <c r="O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398" t="s">
        <v>621</v>
      </c>
      <c r="B32" s="150">
        <v>8251931</v>
      </c>
      <c r="C32" s="150"/>
      <c r="D32" s="150">
        <v>180076</v>
      </c>
      <c r="E32" s="150"/>
      <c r="F32" s="150"/>
      <c r="G32" s="150"/>
      <c r="H32" s="150"/>
      <c r="I32" s="150"/>
      <c r="J32" s="150"/>
      <c r="K32" s="150">
        <v>398782</v>
      </c>
      <c r="L32" s="150"/>
      <c r="M32" s="150"/>
      <c r="N32" s="401">
        <f t="shared" si="2"/>
        <v>8830789</v>
      </c>
      <c r="O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398" t="s">
        <v>203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>
        <v>1684766</v>
      </c>
      <c r="L33" s="150"/>
      <c r="M33" s="150"/>
      <c r="N33" s="401">
        <f>SUM(K33)</f>
        <v>1684766</v>
      </c>
      <c r="O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399" t="s">
        <v>473</v>
      </c>
      <c r="B34" s="12">
        <f>SUM(B22:B32)</f>
        <v>141883200</v>
      </c>
      <c r="C34" s="12">
        <f aca="true" t="shared" si="3" ref="C34:M34">SUM(C22:C32)</f>
        <v>37283814</v>
      </c>
      <c r="D34" s="12">
        <f t="shared" si="3"/>
        <v>289078165</v>
      </c>
      <c r="E34" s="12">
        <f t="shared" si="3"/>
        <v>82894186</v>
      </c>
      <c r="F34" s="12">
        <f t="shared" si="3"/>
        <v>89200611</v>
      </c>
      <c r="G34" s="12">
        <f t="shared" si="3"/>
        <v>82687631</v>
      </c>
      <c r="H34" s="12">
        <f t="shared" si="3"/>
        <v>99416534</v>
      </c>
      <c r="I34" s="12">
        <f t="shared" si="3"/>
        <v>76150220</v>
      </c>
      <c r="J34" s="12">
        <f t="shared" si="3"/>
        <v>75726250</v>
      </c>
      <c r="K34" s="12">
        <f>SUM(K22:K33)</f>
        <v>75678950</v>
      </c>
      <c r="L34" s="12">
        <f t="shared" si="3"/>
        <v>204140297</v>
      </c>
      <c r="M34" s="12">
        <f t="shared" si="3"/>
        <v>75199601</v>
      </c>
      <c r="N34" s="400">
        <f>SUM(N22:N33)</f>
        <v>1329339459</v>
      </c>
      <c r="O34" s="10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398" t="s">
        <v>474</v>
      </c>
      <c r="B35" s="17">
        <f>SUM(B20-B34)</f>
        <v>0</v>
      </c>
      <c r="C35" s="17">
        <f aca="true" t="shared" si="4" ref="C35:M35">SUM(C20-C34)</f>
        <v>0</v>
      </c>
      <c r="D35" s="17">
        <f t="shared" si="4"/>
        <v>0</v>
      </c>
      <c r="E35" s="17">
        <f t="shared" si="4"/>
        <v>0</v>
      </c>
      <c r="F35" s="17">
        <f t="shared" si="4"/>
        <v>0</v>
      </c>
      <c r="G35" s="17">
        <f t="shared" si="4"/>
        <v>0</v>
      </c>
      <c r="H35" s="17">
        <f t="shared" si="4"/>
        <v>0</v>
      </c>
      <c r="I35" s="17">
        <f t="shared" si="4"/>
        <v>0</v>
      </c>
      <c r="J35" s="17">
        <f t="shared" si="4"/>
        <v>0</v>
      </c>
      <c r="K35" s="17">
        <f t="shared" si="4"/>
        <v>0</v>
      </c>
      <c r="L35" s="17">
        <f t="shared" si="4"/>
        <v>0</v>
      </c>
      <c r="M35" s="17">
        <f t="shared" si="4"/>
        <v>0</v>
      </c>
      <c r="N35" s="401">
        <f>SUM(N20-N34)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402" t="s">
        <v>475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4">
        <f>SUM(N34:N35)</f>
        <v>1329339459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/>
      <c r="B37"/>
      <c r="C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40" ht="12.75" customHeight="1">
      <c r="N40" s="5">
        <f>N20-N36</f>
        <v>0</v>
      </c>
    </row>
  </sheetData>
  <sheetProtection selectLockedCells="1" selectUnlockedCells="1"/>
  <mergeCells count="4">
    <mergeCell ref="I1:N1"/>
    <mergeCell ref="A2:N2"/>
    <mergeCell ref="A4:N5"/>
    <mergeCell ref="M6:N6"/>
  </mergeCells>
  <printOptions horizontalCentered="1"/>
  <pageMargins left="0.35433070866141736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6" r:id="rId1"/>
  <rowBreaks count="2" manualBreakCount="2">
    <brk id="20" max="13" man="1"/>
    <brk id="23" max="13" man="1"/>
  </rowBreaks>
  <colBreaks count="1" manualBreakCount="1">
    <brk id="7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110" zoomScaleSheetLayoutView="110" zoomScalePageLayoutView="0" workbookViewId="0" topLeftCell="A1">
      <selection activeCell="C1" sqref="C1:E1"/>
    </sheetView>
  </sheetViews>
  <sheetFormatPr defaultColWidth="9.140625" defaultRowHeight="12.75"/>
  <cols>
    <col min="1" max="1" width="5.00390625" style="867" customWidth="1"/>
    <col min="2" max="2" width="15.57421875" style="0" customWidth="1"/>
    <col min="3" max="3" width="76.140625" style="0" customWidth="1"/>
    <col min="4" max="4" width="9.28125" style="0" customWidth="1"/>
    <col min="5" max="5" width="6.57421875" style="0" customWidth="1"/>
    <col min="6" max="6" width="14.7109375" style="52" customWidth="1"/>
    <col min="7" max="8" width="20.8515625" style="52" customWidth="1"/>
    <col min="9" max="9" width="15.28125" style="52" customWidth="1"/>
    <col min="11" max="11" width="16.28125" style="0" customWidth="1"/>
  </cols>
  <sheetData>
    <row r="1" spans="1:9" s="10" customFormat="1" ht="15.75">
      <c r="A1" s="492"/>
      <c r="C1" s="1955" t="s">
        <v>1295</v>
      </c>
      <c r="D1" s="1955"/>
      <c r="E1" s="1955"/>
      <c r="F1" s="1958" t="s">
        <v>816</v>
      </c>
      <c r="G1" s="1958"/>
      <c r="I1" s="52"/>
    </row>
    <row r="2" spans="1:8" ht="12.75">
      <c r="A2" s="1959"/>
      <c r="B2" s="1959"/>
      <c r="C2" s="1959"/>
      <c r="D2" s="1959"/>
      <c r="E2" s="1959"/>
      <c r="F2" s="1959"/>
      <c r="G2" s="1959"/>
      <c r="H2"/>
    </row>
    <row r="4" spans="1:9" s="10" customFormat="1" ht="15.75" customHeight="1">
      <c r="A4" s="1955" t="s">
        <v>1111</v>
      </c>
      <c r="B4" s="1955"/>
      <c r="C4" s="1955"/>
      <c r="D4" s="1955"/>
      <c r="E4" s="1955"/>
      <c r="F4" s="1955"/>
      <c r="G4" s="1955"/>
      <c r="H4" s="1955"/>
      <c r="I4" s="52"/>
    </row>
    <row r="6" ht="13.5" thickBot="1"/>
    <row r="7" spans="1:9" s="10" customFormat="1" ht="16.5" thickBot="1">
      <c r="A7" s="492"/>
      <c r="C7" s="10" t="s">
        <v>817</v>
      </c>
      <c r="F7" s="52"/>
      <c r="G7" s="854">
        <f>SUM(G28+G38+G49+G51)</f>
        <v>206298258</v>
      </c>
      <c r="H7" s="854">
        <f>SUM(H28+H38+H49+H51)</f>
        <v>221554558</v>
      </c>
      <c r="I7" s="52"/>
    </row>
    <row r="9" spans="1:9" s="492" customFormat="1" ht="38.25">
      <c r="A9" s="855" t="s">
        <v>33</v>
      </c>
      <c r="B9" s="153" t="s">
        <v>818</v>
      </c>
      <c r="C9" s="153" t="s">
        <v>819</v>
      </c>
      <c r="D9" s="855" t="s">
        <v>820</v>
      </c>
      <c r="E9" s="153" t="s">
        <v>821</v>
      </c>
      <c r="F9" s="884" t="s">
        <v>822</v>
      </c>
      <c r="G9" s="143" t="s">
        <v>823</v>
      </c>
      <c r="H9" s="143" t="s">
        <v>1159</v>
      </c>
      <c r="I9" s="154"/>
    </row>
    <row r="10" spans="1:8" ht="12.75">
      <c r="A10" s="856" t="s">
        <v>38</v>
      </c>
      <c r="B10" s="95" t="s">
        <v>824</v>
      </c>
      <c r="C10" s="95" t="s">
        <v>825</v>
      </c>
      <c r="D10" s="95" t="s">
        <v>826</v>
      </c>
      <c r="E10" s="857">
        <v>15.5</v>
      </c>
      <c r="F10" s="1433">
        <v>5450000</v>
      </c>
      <c r="G10" s="1433">
        <v>71173200</v>
      </c>
      <c r="H10" s="1433">
        <v>84529500</v>
      </c>
    </row>
    <row r="11" spans="1:8" ht="12.75">
      <c r="A11" s="153" t="s">
        <v>40</v>
      </c>
      <c r="B11" s="94" t="s">
        <v>1112</v>
      </c>
      <c r="C11" s="94" t="s">
        <v>827</v>
      </c>
      <c r="D11" s="94" t="s">
        <v>828</v>
      </c>
      <c r="E11" s="94"/>
      <c r="F11" s="78"/>
      <c r="G11" s="78">
        <v>61975191</v>
      </c>
      <c r="H11" s="78">
        <v>75331491</v>
      </c>
    </row>
    <row r="12" spans="1:8" ht="12.75">
      <c r="A12" s="856" t="s">
        <v>47</v>
      </c>
      <c r="B12" s="95" t="s">
        <v>829</v>
      </c>
      <c r="C12" s="95" t="s">
        <v>830</v>
      </c>
      <c r="D12" s="95" t="s">
        <v>828</v>
      </c>
      <c r="E12" s="95"/>
      <c r="F12" s="78"/>
      <c r="G12" s="78">
        <v>15391900</v>
      </c>
      <c r="H12" s="78">
        <v>15391900</v>
      </c>
    </row>
    <row r="13" spans="1:8" ht="12.75">
      <c r="A13" s="856" t="s">
        <v>49</v>
      </c>
      <c r="B13" s="95" t="s">
        <v>831</v>
      </c>
      <c r="C13" s="95" t="s">
        <v>832</v>
      </c>
      <c r="D13" s="95" t="s">
        <v>833</v>
      </c>
      <c r="E13" s="95"/>
      <c r="F13" s="78">
        <v>25200</v>
      </c>
      <c r="G13" s="78">
        <v>4528440</v>
      </c>
      <c r="H13" s="78">
        <v>4528440</v>
      </c>
    </row>
    <row r="14" spans="1:8" ht="12.75">
      <c r="A14" s="856" t="s">
        <v>51</v>
      </c>
      <c r="B14" s="95" t="s">
        <v>834</v>
      </c>
      <c r="C14" s="95" t="s">
        <v>835</v>
      </c>
      <c r="D14" s="95" t="s">
        <v>836</v>
      </c>
      <c r="E14" s="95"/>
      <c r="F14" s="78"/>
      <c r="G14" s="78">
        <v>7136000</v>
      </c>
      <c r="H14" s="78">
        <v>7136000</v>
      </c>
    </row>
    <row r="15" spans="1:8" ht="12.75">
      <c r="A15" s="856" t="s">
        <v>53</v>
      </c>
      <c r="B15" s="95" t="s">
        <v>837</v>
      </c>
      <c r="C15" s="95" t="s">
        <v>838</v>
      </c>
      <c r="D15" s="95" t="s">
        <v>839</v>
      </c>
      <c r="E15" s="95"/>
      <c r="F15" s="78"/>
      <c r="G15" s="78">
        <v>100000</v>
      </c>
      <c r="H15" s="78">
        <v>100000</v>
      </c>
    </row>
    <row r="16" spans="1:8" ht="12.75">
      <c r="A16" s="856" t="s">
        <v>55</v>
      </c>
      <c r="B16" s="95" t="s">
        <v>840</v>
      </c>
      <c r="C16" s="95" t="s">
        <v>841</v>
      </c>
      <c r="D16" s="95" t="s">
        <v>836</v>
      </c>
      <c r="E16" s="95"/>
      <c r="F16" s="78"/>
      <c r="G16" s="78">
        <v>3627460</v>
      </c>
      <c r="H16" s="78">
        <v>3627460</v>
      </c>
    </row>
    <row r="17" spans="1:9" s="10" customFormat="1" ht="12.75">
      <c r="A17" s="153" t="s">
        <v>57</v>
      </c>
      <c r="B17" s="94" t="s">
        <v>1113</v>
      </c>
      <c r="C17" s="94" t="s">
        <v>1114</v>
      </c>
      <c r="D17" s="94" t="s">
        <v>828</v>
      </c>
      <c r="E17" s="94"/>
      <c r="F17" s="78"/>
      <c r="G17" s="78">
        <v>0</v>
      </c>
      <c r="H17" s="78">
        <v>0</v>
      </c>
      <c r="I17" s="52"/>
    </row>
    <row r="18" spans="1:9" s="1423" customFormat="1" ht="25.5">
      <c r="A18" s="1419" t="s">
        <v>86</v>
      </c>
      <c r="B18" s="1420" t="s">
        <v>1115</v>
      </c>
      <c r="C18" s="1421" t="s">
        <v>1116</v>
      </c>
      <c r="D18" s="1420" t="s">
        <v>828</v>
      </c>
      <c r="E18" s="1420"/>
      <c r="F18" s="1422">
        <v>25200</v>
      </c>
      <c r="G18" s="1422">
        <v>0</v>
      </c>
      <c r="H18" s="1422">
        <v>0</v>
      </c>
      <c r="I18" s="1424"/>
    </row>
    <row r="19" spans="1:9" s="1423" customFormat="1" ht="12.75">
      <c r="A19" s="1419" t="s">
        <v>59</v>
      </c>
      <c r="B19" s="1420" t="s">
        <v>1117</v>
      </c>
      <c r="C19" s="1420" t="s">
        <v>1118</v>
      </c>
      <c r="D19" s="1420" t="s">
        <v>828</v>
      </c>
      <c r="E19" s="1420"/>
      <c r="F19" s="1422"/>
      <c r="G19" s="1422">
        <v>0</v>
      </c>
      <c r="H19" s="1422">
        <v>0</v>
      </c>
      <c r="I19" s="1424"/>
    </row>
    <row r="20" spans="1:9" s="1423" customFormat="1" ht="12.75">
      <c r="A20" s="1419" t="s">
        <v>61</v>
      </c>
      <c r="B20" s="1420" t="s">
        <v>1119</v>
      </c>
      <c r="C20" s="1420" t="s">
        <v>1121</v>
      </c>
      <c r="D20" s="1420" t="s">
        <v>828</v>
      </c>
      <c r="E20" s="1420"/>
      <c r="F20" s="1422"/>
      <c r="G20" s="1422">
        <v>0</v>
      </c>
      <c r="H20" s="1422">
        <v>0</v>
      </c>
      <c r="I20" s="1424"/>
    </row>
    <row r="21" spans="1:9" s="1423" customFormat="1" ht="12.75">
      <c r="A21" s="1419" t="s">
        <v>63</v>
      </c>
      <c r="B21" s="1420" t="s">
        <v>1120</v>
      </c>
      <c r="C21" s="1420" t="s">
        <v>1122</v>
      </c>
      <c r="D21" s="1420" t="s">
        <v>828</v>
      </c>
      <c r="E21" s="1420"/>
      <c r="F21" s="1422"/>
      <c r="G21" s="1422">
        <v>0</v>
      </c>
      <c r="H21" s="1422">
        <v>0</v>
      </c>
      <c r="I21" s="1424"/>
    </row>
    <row r="22" spans="1:8" ht="12.75">
      <c r="A22" s="856" t="s">
        <v>65</v>
      </c>
      <c r="B22" s="95" t="s">
        <v>842</v>
      </c>
      <c r="C22" s="95" t="s">
        <v>843</v>
      </c>
      <c r="D22" s="95" t="s">
        <v>844</v>
      </c>
      <c r="E22" s="95"/>
      <c r="F22" s="78">
        <v>2700</v>
      </c>
      <c r="G22" s="78">
        <v>9404100</v>
      </c>
      <c r="H22" s="78">
        <v>9404100</v>
      </c>
    </row>
    <row r="23" spans="1:9" s="1423" customFormat="1" ht="12.75">
      <c r="A23" s="1419" t="s">
        <v>92</v>
      </c>
      <c r="B23" s="1420" t="s">
        <v>1123</v>
      </c>
      <c r="C23" s="1420" t="s">
        <v>845</v>
      </c>
      <c r="D23" s="1420" t="s">
        <v>828</v>
      </c>
      <c r="E23" s="1420"/>
      <c r="F23" s="1422">
        <v>2700</v>
      </c>
      <c r="G23" s="1422">
        <v>0</v>
      </c>
      <c r="H23" s="1422">
        <v>0</v>
      </c>
      <c r="I23" s="1424"/>
    </row>
    <row r="24" spans="1:8" ht="25.5">
      <c r="A24" s="856" t="s">
        <v>66</v>
      </c>
      <c r="B24" s="95" t="s">
        <v>846</v>
      </c>
      <c r="C24" s="95" t="s">
        <v>847</v>
      </c>
      <c r="D24" s="96" t="s">
        <v>848</v>
      </c>
      <c r="E24" s="95"/>
      <c r="F24" s="78">
        <v>2550</v>
      </c>
      <c r="G24" s="78">
        <v>293250</v>
      </c>
      <c r="H24" s="78">
        <v>293250</v>
      </c>
    </row>
    <row r="25" spans="1:9" s="1423" customFormat="1" ht="12.75">
      <c r="A25" s="1419" t="s">
        <v>67</v>
      </c>
      <c r="B25" s="1420" t="s">
        <v>1124</v>
      </c>
      <c r="C25" s="1420" t="s">
        <v>849</v>
      </c>
      <c r="D25" s="1420" t="s">
        <v>828</v>
      </c>
      <c r="E25" s="1420"/>
      <c r="F25" s="1422">
        <v>2550</v>
      </c>
      <c r="G25" s="1422">
        <v>0</v>
      </c>
      <c r="H25" s="1422">
        <v>0</v>
      </c>
      <c r="I25" s="1424"/>
    </row>
    <row r="26" spans="1:9" s="10" customFormat="1" ht="12.75">
      <c r="A26" s="153" t="s">
        <v>68</v>
      </c>
      <c r="B26" s="94" t="s">
        <v>1125</v>
      </c>
      <c r="C26" s="94" t="s">
        <v>851</v>
      </c>
      <c r="D26" s="94" t="s">
        <v>828</v>
      </c>
      <c r="E26" s="94"/>
      <c r="F26" s="62"/>
      <c r="G26" s="82">
        <v>34287259</v>
      </c>
      <c r="H26" s="82">
        <v>34287259</v>
      </c>
      <c r="I26" s="1425"/>
    </row>
    <row r="27" spans="1:9" s="10" customFormat="1" ht="13.5" thickBot="1">
      <c r="A27" s="222" t="s">
        <v>70</v>
      </c>
      <c r="B27" s="1426" t="s">
        <v>1126</v>
      </c>
      <c r="C27" s="374" t="s">
        <v>850</v>
      </c>
      <c r="D27" s="374" t="s">
        <v>828</v>
      </c>
      <c r="E27" s="374"/>
      <c r="F27" s="1427"/>
      <c r="G27" s="384">
        <v>61975191</v>
      </c>
      <c r="H27" s="384">
        <v>75331491</v>
      </c>
      <c r="I27" s="1425"/>
    </row>
    <row r="28" spans="1:9" s="10" customFormat="1" ht="32.25" thickBot="1">
      <c r="A28" s="1428" t="s">
        <v>97</v>
      </c>
      <c r="B28" s="1429" t="s">
        <v>852</v>
      </c>
      <c r="C28" s="1430" t="s">
        <v>853</v>
      </c>
      <c r="D28" s="1429" t="s">
        <v>828</v>
      </c>
      <c r="E28" s="1429"/>
      <c r="F28" s="1431"/>
      <c r="G28" s="1432">
        <f>SUM(G27)</f>
        <v>61975191</v>
      </c>
      <c r="H28" s="1432">
        <f>SUM(H27)</f>
        <v>75331491</v>
      </c>
      <c r="I28" s="52"/>
    </row>
    <row r="29" spans="1:9" s="10" customFormat="1" ht="12.75">
      <c r="A29" s="1951" t="s">
        <v>1127</v>
      </c>
      <c r="B29" s="1951"/>
      <c r="C29" s="1951"/>
      <c r="D29" s="1951"/>
      <c r="E29" s="1951"/>
      <c r="F29" s="1951"/>
      <c r="G29" s="1951"/>
      <c r="I29" s="52"/>
    </row>
    <row r="30" spans="1:8" ht="12.75">
      <c r="A30" s="856" t="s">
        <v>99</v>
      </c>
      <c r="B30" s="95" t="s">
        <v>1128</v>
      </c>
      <c r="C30" s="95" t="s">
        <v>1129</v>
      </c>
      <c r="D30" s="95" t="s">
        <v>844</v>
      </c>
      <c r="E30" s="862">
        <v>9.4</v>
      </c>
      <c r="F30" s="78">
        <v>4371500</v>
      </c>
      <c r="G30" s="78">
        <v>41092100</v>
      </c>
      <c r="H30" s="78">
        <v>41092100</v>
      </c>
    </row>
    <row r="31" spans="1:8" ht="25.5">
      <c r="A31" s="856" t="s">
        <v>101</v>
      </c>
      <c r="B31" s="95" t="s">
        <v>1130</v>
      </c>
      <c r="C31" s="96" t="s">
        <v>854</v>
      </c>
      <c r="D31" s="95" t="s">
        <v>844</v>
      </c>
      <c r="E31" s="862">
        <v>7</v>
      </c>
      <c r="F31" s="78">
        <v>2400000</v>
      </c>
      <c r="G31" s="78">
        <v>16800000</v>
      </c>
      <c r="H31" s="78">
        <v>16800000</v>
      </c>
    </row>
    <row r="32" spans="1:8" ht="12.75">
      <c r="A32" s="1949" t="s">
        <v>855</v>
      </c>
      <c r="B32" s="1949"/>
      <c r="C32" s="1949"/>
      <c r="D32" s="1949"/>
      <c r="E32" s="1949"/>
      <c r="F32" s="1949"/>
      <c r="G32" s="1950"/>
      <c r="H32"/>
    </row>
    <row r="33" spans="1:8" ht="12.75">
      <c r="A33" s="856" t="s">
        <v>103</v>
      </c>
      <c r="B33" s="95" t="s">
        <v>1132</v>
      </c>
      <c r="C33" s="95" t="s">
        <v>1131</v>
      </c>
      <c r="D33" s="95" t="s">
        <v>844</v>
      </c>
      <c r="E33" s="17">
        <v>103.3</v>
      </c>
      <c r="F33" s="78">
        <v>97400</v>
      </c>
      <c r="G33" s="78">
        <v>10061420</v>
      </c>
      <c r="H33" s="78">
        <v>10061420</v>
      </c>
    </row>
    <row r="34" spans="1:8" ht="12.75">
      <c r="A34" s="1949" t="s">
        <v>1133</v>
      </c>
      <c r="B34" s="1949"/>
      <c r="C34" s="1949"/>
      <c r="D34" s="1949"/>
      <c r="E34" s="1949"/>
      <c r="F34" s="1949"/>
      <c r="G34" s="1950"/>
      <c r="H34"/>
    </row>
    <row r="35" spans="1:8" ht="38.25">
      <c r="A35" s="856" t="s">
        <v>105</v>
      </c>
      <c r="B35" s="95" t="s">
        <v>890</v>
      </c>
      <c r="C35" s="96" t="s">
        <v>1134</v>
      </c>
      <c r="D35" s="95" t="s">
        <v>844</v>
      </c>
      <c r="E35" s="95">
        <v>3</v>
      </c>
      <c r="F35" s="78">
        <v>396700</v>
      </c>
      <c r="G35" s="78">
        <v>1190100</v>
      </c>
      <c r="H35" s="78">
        <v>1190100</v>
      </c>
    </row>
    <row r="36" spans="1:8" ht="12.75">
      <c r="A36" s="1952" t="s">
        <v>906</v>
      </c>
      <c r="B36" s="1953"/>
      <c r="C36" s="1953"/>
      <c r="D36" s="1953"/>
      <c r="E36" s="1953"/>
      <c r="F36" s="1953"/>
      <c r="G36" s="1954"/>
      <c r="H36"/>
    </row>
    <row r="37" spans="1:8" ht="12.75">
      <c r="A37" s="856" t="s">
        <v>107</v>
      </c>
      <c r="B37" s="95" t="s">
        <v>907</v>
      </c>
      <c r="C37" s="96" t="s">
        <v>908</v>
      </c>
      <c r="D37" s="95" t="s">
        <v>844</v>
      </c>
      <c r="E37" s="95">
        <v>3</v>
      </c>
      <c r="F37" s="78">
        <v>811600</v>
      </c>
      <c r="G37" s="78">
        <v>2434800</v>
      </c>
      <c r="H37" s="78">
        <v>2434800</v>
      </c>
    </row>
    <row r="38" spans="1:8" ht="31.5">
      <c r="A38" s="858" t="s">
        <v>109</v>
      </c>
      <c r="B38" s="859" t="s">
        <v>856</v>
      </c>
      <c r="C38" s="860" t="s">
        <v>857</v>
      </c>
      <c r="D38" s="859" t="s">
        <v>828</v>
      </c>
      <c r="E38" s="859"/>
      <c r="F38" s="883"/>
      <c r="G38" s="861">
        <f>SUM(G30+G31+G33+G35+G37)</f>
        <v>71578420</v>
      </c>
      <c r="H38" s="861">
        <f>SUM(H30+H31+H33+H35+H37)</f>
        <v>71578420</v>
      </c>
    </row>
    <row r="39" spans="1:9" s="155" customFormat="1" ht="12.75">
      <c r="A39" s="863" t="s">
        <v>111</v>
      </c>
      <c r="B39" s="864" t="s">
        <v>1135</v>
      </c>
      <c r="C39" s="865" t="s">
        <v>858</v>
      </c>
      <c r="D39" s="864" t="s">
        <v>828</v>
      </c>
      <c r="E39" s="864"/>
      <c r="F39" s="81"/>
      <c r="G39" s="63">
        <v>3453000</v>
      </c>
      <c r="H39" s="63">
        <v>3453000</v>
      </c>
      <c r="I39" s="866"/>
    </row>
    <row r="40" spans="1:8" ht="12.75">
      <c r="A40" s="1949" t="s">
        <v>859</v>
      </c>
      <c r="B40" s="1949"/>
      <c r="C40" s="1949"/>
      <c r="D40" s="1949"/>
      <c r="E40" s="1949"/>
      <c r="F40" s="1949"/>
      <c r="G40" s="1950"/>
      <c r="H40"/>
    </row>
    <row r="41" spans="1:9" s="415" customFormat="1" ht="25.5" customHeight="1">
      <c r="A41" s="856" t="s">
        <v>113</v>
      </c>
      <c r="B41" s="879" t="s">
        <v>1136</v>
      </c>
      <c r="C41" s="879" t="s">
        <v>860</v>
      </c>
      <c r="D41" s="1956" t="s">
        <v>861</v>
      </c>
      <c r="E41" s="1957"/>
      <c r="F41" s="880">
        <v>3780000</v>
      </c>
      <c r="G41" s="880">
        <v>17000000</v>
      </c>
      <c r="H41" s="880">
        <v>18900000</v>
      </c>
      <c r="I41" s="881"/>
    </row>
    <row r="42" spans="1:8" ht="12.75">
      <c r="A42" s="1960" t="s">
        <v>909</v>
      </c>
      <c r="B42" s="1961"/>
      <c r="C42" s="1961"/>
      <c r="D42" s="1961"/>
      <c r="E42" s="1961"/>
      <c r="F42" s="1961"/>
      <c r="G42" s="1962"/>
      <c r="H42"/>
    </row>
    <row r="43" spans="1:8" ht="25.5">
      <c r="A43" s="1392" t="s">
        <v>115</v>
      </c>
      <c r="B43" s="1393" t="s">
        <v>1137</v>
      </c>
      <c r="C43" s="1394" t="s">
        <v>1138</v>
      </c>
      <c r="D43" s="1393" t="s">
        <v>844</v>
      </c>
      <c r="E43" s="1393">
        <v>1</v>
      </c>
      <c r="F43" s="1395">
        <v>4419000</v>
      </c>
      <c r="G43" s="1395">
        <v>4419000</v>
      </c>
      <c r="H43" s="1395">
        <v>4419000</v>
      </c>
    </row>
    <row r="44" spans="1:11" ht="25.5">
      <c r="A44" s="1391" t="s">
        <v>117</v>
      </c>
      <c r="B44" s="227" t="s">
        <v>1139</v>
      </c>
      <c r="C44" s="104" t="s">
        <v>1140</v>
      </c>
      <c r="D44" s="227" t="s">
        <v>844</v>
      </c>
      <c r="E44" s="227">
        <v>3.7</v>
      </c>
      <c r="F44" s="121">
        <v>2993000</v>
      </c>
      <c r="G44" s="121">
        <v>11074100</v>
      </c>
      <c r="H44" s="121">
        <v>11074100</v>
      </c>
      <c r="K44" s="52"/>
    </row>
    <row r="45" spans="1:11" ht="12.75">
      <c r="A45" s="856" t="s">
        <v>118</v>
      </c>
      <c r="B45" s="95" t="s">
        <v>1141</v>
      </c>
      <c r="C45" s="95" t="s">
        <v>892</v>
      </c>
      <c r="D45" s="95" t="s">
        <v>828</v>
      </c>
      <c r="E45" s="95"/>
      <c r="F45" s="78"/>
      <c r="G45" s="78">
        <v>1691000</v>
      </c>
      <c r="H45" s="78">
        <v>1691000</v>
      </c>
      <c r="K45" s="52"/>
    </row>
    <row r="46" spans="1:8" ht="12.75">
      <c r="A46" s="1949" t="s">
        <v>862</v>
      </c>
      <c r="B46" s="1949"/>
      <c r="C46" s="1949"/>
      <c r="D46" s="1949"/>
      <c r="E46" s="1949"/>
      <c r="F46" s="1949"/>
      <c r="G46" s="1950"/>
      <c r="H46"/>
    </row>
    <row r="47" spans="1:8" ht="12.75">
      <c r="A47" s="856" t="s">
        <v>120</v>
      </c>
      <c r="B47" s="95" t="s">
        <v>1142</v>
      </c>
      <c r="C47" s="95" t="s">
        <v>891</v>
      </c>
      <c r="D47" s="95" t="s">
        <v>844</v>
      </c>
      <c r="E47" s="95">
        <v>9.33</v>
      </c>
      <c r="F47" s="78">
        <v>2200000</v>
      </c>
      <c r="G47" s="78">
        <v>20526000</v>
      </c>
      <c r="H47" s="78">
        <v>20526000</v>
      </c>
    </row>
    <row r="48" spans="1:8" ht="12.75">
      <c r="A48" s="856" t="s">
        <v>122</v>
      </c>
      <c r="B48" s="95" t="s">
        <v>1143</v>
      </c>
      <c r="C48" s="95" t="s">
        <v>863</v>
      </c>
      <c r="D48" s="95" t="s">
        <v>828</v>
      </c>
      <c r="E48" s="95">
        <v>0</v>
      </c>
      <c r="F48" s="78"/>
      <c r="G48" s="78">
        <v>10224314</v>
      </c>
      <c r="H48" s="78">
        <v>10224314</v>
      </c>
    </row>
    <row r="49" spans="1:9" s="760" customFormat="1" ht="31.5">
      <c r="A49" s="858" t="s">
        <v>124</v>
      </c>
      <c r="B49" s="882" t="s">
        <v>173</v>
      </c>
      <c r="C49" s="860" t="s">
        <v>864</v>
      </c>
      <c r="D49" s="859" t="s">
        <v>828</v>
      </c>
      <c r="E49" s="859"/>
      <c r="F49" s="883"/>
      <c r="G49" s="861">
        <f>SUM(G39+G41+G43+G44+G45+G47+G48)</f>
        <v>68387414</v>
      </c>
      <c r="H49" s="861">
        <f>SUM(H39+H41+H43+H44+H45+H47+H48)</f>
        <v>70287414</v>
      </c>
      <c r="I49" s="52"/>
    </row>
    <row r="50" spans="1:8" ht="38.25">
      <c r="A50" s="856" t="s">
        <v>126</v>
      </c>
      <c r="B50" s="95" t="s">
        <v>1144</v>
      </c>
      <c r="C50" s="96" t="s">
        <v>866</v>
      </c>
      <c r="D50" s="95" t="s">
        <v>865</v>
      </c>
      <c r="E50" s="95"/>
      <c r="F50" s="78">
        <v>1210</v>
      </c>
      <c r="G50" s="78">
        <v>4357233</v>
      </c>
      <c r="H50" s="78">
        <v>4357233</v>
      </c>
    </row>
    <row r="51" spans="1:8" ht="15.75">
      <c r="A51" s="858" t="s">
        <v>128</v>
      </c>
      <c r="B51" s="859" t="s">
        <v>182</v>
      </c>
      <c r="C51" s="859" t="s">
        <v>867</v>
      </c>
      <c r="D51" s="859" t="s">
        <v>865</v>
      </c>
      <c r="E51" s="859"/>
      <c r="F51" s="883"/>
      <c r="G51" s="861">
        <f>SUM(G50)</f>
        <v>4357233</v>
      </c>
      <c r="H51" s="861">
        <f>SUM(H50)</f>
        <v>4357233</v>
      </c>
    </row>
  </sheetData>
  <sheetProtection selectLockedCells="1" selectUnlockedCells="1"/>
  <mergeCells count="12">
    <mergeCell ref="A2:G2"/>
    <mergeCell ref="A42:G42"/>
    <mergeCell ref="A46:G46"/>
    <mergeCell ref="A29:G29"/>
    <mergeCell ref="A32:G32"/>
    <mergeCell ref="A34:G34"/>
    <mergeCell ref="A36:G36"/>
    <mergeCell ref="C1:E1"/>
    <mergeCell ref="A4:H4"/>
    <mergeCell ref="A40:G40"/>
    <mergeCell ref="D41:E41"/>
    <mergeCell ref="F1:G1"/>
  </mergeCells>
  <printOptions horizontalCentered="1"/>
  <pageMargins left="0.31496062992125984" right="0.31496062992125984" top="0.7480314960629921" bottom="0.7480314960629921" header="0.5118110236220472" footer="0.5118110236220472"/>
  <pageSetup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7"/>
  <sheetViews>
    <sheetView view="pageBreakPreview" zoomScaleSheetLayoutView="100" zoomScalePageLayoutView="0" workbookViewId="0" topLeftCell="A1">
      <selection activeCell="N4" sqref="N4:O4"/>
    </sheetView>
  </sheetViews>
  <sheetFormatPr defaultColWidth="9.140625" defaultRowHeight="12.75"/>
  <cols>
    <col min="1" max="1" width="7.28125" style="0" customWidth="1"/>
    <col min="2" max="2" width="17.140625" style="0" customWidth="1"/>
    <col min="3" max="3" width="29.57421875" style="0" customWidth="1"/>
    <col min="4" max="4" width="18.7109375" style="0" customWidth="1"/>
    <col min="5" max="5" width="11.00390625" style="0" customWidth="1"/>
  </cols>
  <sheetData>
    <row r="1" spans="1:15" ht="15.75" customHeight="1">
      <c r="A1" s="1969" t="s">
        <v>868</v>
      </c>
      <c r="B1" s="1969"/>
      <c r="C1" s="1969"/>
      <c r="D1" s="1969"/>
      <c r="E1" s="1969"/>
      <c r="F1" s="1969"/>
      <c r="G1" s="1969"/>
      <c r="H1" s="1969"/>
      <c r="I1" s="1969"/>
      <c r="J1" s="1969"/>
      <c r="K1" s="1969"/>
      <c r="L1" s="1969"/>
      <c r="M1" s="1969"/>
      <c r="N1" s="1969"/>
      <c r="O1" s="1969"/>
    </row>
    <row r="2" spans="1:15" ht="15.75" customHeight="1">
      <c r="A2" s="1820"/>
      <c r="B2" s="1820"/>
      <c r="C2" s="1820"/>
      <c r="D2" s="1963" t="s">
        <v>1295</v>
      </c>
      <c r="E2" s="1963"/>
      <c r="F2" s="1963"/>
      <c r="G2" s="1963"/>
      <c r="H2" s="1963"/>
      <c r="I2" s="1963"/>
      <c r="J2" s="1963"/>
      <c r="K2" s="836"/>
      <c r="L2" s="836"/>
      <c r="M2" s="836"/>
      <c r="N2" s="836"/>
      <c r="O2" s="836"/>
    </row>
    <row r="3" spans="1:15" ht="18" customHeight="1">
      <c r="A3" s="1955" t="s">
        <v>1296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</row>
    <row r="4" spans="6:15" ht="18" customHeight="1">
      <c r="F4" s="868"/>
      <c r="N4" s="1963" t="s">
        <v>1306</v>
      </c>
      <c r="O4" s="1963"/>
    </row>
    <row r="5" spans="2:15" ht="37.5" customHeight="1">
      <c r="B5" s="1829" t="s">
        <v>1272</v>
      </c>
      <c r="C5" s="1829"/>
      <c r="D5" s="1829"/>
      <c r="E5" s="1829"/>
      <c r="F5" s="1829"/>
      <c r="G5" s="1829"/>
      <c r="H5" s="1829"/>
      <c r="I5" s="1829"/>
      <c r="J5" s="1829"/>
      <c r="K5" s="1829"/>
      <c r="L5" s="1829"/>
      <c r="M5" s="1829"/>
      <c r="N5" s="1829"/>
      <c r="O5" s="1829"/>
    </row>
    <row r="6" spans="2:15" ht="12.75"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</row>
    <row r="8" spans="14:15" ht="12.75">
      <c r="N8" s="1970" t="s">
        <v>155</v>
      </c>
      <c r="O8" s="1970"/>
    </row>
    <row r="9" spans="1:15" ht="14.25" customHeight="1">
      <c r="A9" s="1971" t="s">
        <v>33</v>
      </c>
      <c r="B9" s="1945" t="s">
        <v>869</v>
      </c>
      <c r="C9" s="1964" t="s">
        <v>870</v>
      </c>
      <c r="D9" s="1945" t="s">
        <v>871</v>
      </c>
      <c r="E9" s="1964" t="s">
        <v>872</v>
      </c>
      <c r="F9" s="1972"/>
      <c r="G9" s="1972"/>
      <c r="H9" s="1972"/>
      <c r="I9" s="1972"/>
      <c r="J9" s="1972"/>
      <c r="K9" s="1972"/>
      <c r="L9" s="1972"/>
      <c r="M9" s="1972"/>
      <c r="N9" s="1972"/>
      <c r="O9" s="1972"/>
    </row>
    <row r="10" spans="1:15" ht="12.75">
      <c r="A10" s="1971"/>
      <c r="B10" s="1945"/>
      <c r="C10" s="1964"/>
      <c r="D10" s="1945"/>
      <c r="E10" s="1964"/>
      <c r="F10" s="870" t="s">
        <v>873</v>
      </c>
      <c r="G10" s="870">
        <v>2021</v>
      </c>
      <c r="H10" s="870">
        <v>2022</v>
      </c>
      <c r="I10" s="870">
        <v>2023</v>
      </c>
      <c r="J10" s="870">
        <v>2024</v>
      </c>
      <c r="K10" s="870">
        <v>2025</v>
      </c>
      <c r="L10" s="870">
        <v>2026</v>
      </c>
      <c r="M10" s="870">
        <v>2027</v>
      </c>
      <c r="N10" s="870">
        <v>2028</v>
      </c>
      <c r="O10" s="870">
        <v>2029</v>
      </c>
    </row>
    <row r="11" spans="1:15" ht="12.75">
      <c r="A11" s="1971"/>
      <c r="B11" s="871" t="s">
        <v>158</v>
      </c>
      <c r="C11" s="872" t="s">
        <v>159</v>
      </c>
      <c r="D11" s="871" t="s">
        <v>160</v>
      </c>
      <c r="E11" s="872" t="s">
        <v>161</v>
      </c>
      <c r="F11" s="872" t="s">
        <v>456</v>
      </c>
      <c r="G11" s="872" t="s">
        <v>476</v>
      </c>
      <c r="H11" s="872" t="s">
        <v>701</v>
      </c>
      <c r="I11" s="872" t="s">
        <v>782</v>
      </c>
      <c r="J11" s="872" t="s">
        <v>785</v>
      </c>
      <c r="K11" s="872" t="s">
        <v>874</v>
      </c>
      <c r="L11" s="872" t="s">
        <v>875</v>
      </c>
      <c r="M11" s="872" t="s">
        <v>876</v>
      </c>
      <c r="N11" s="872" t="s">
        <v>877</v>
      </c>
      <c r="O11" s="872" t="s">
        <v>878</v>
      </c>
    </row>
    <row r="12" spans="1:15" ht="12.75">
      <c r="A12" s="157" t="s">
        <v>38</v>
      </c>
      <c r="B12" s="96"/>
      <c r="C12" s="95"/>
      <c r="D12" s="95">
        <v>0</v>
      </c>
      <c r="E12" s="95"/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</row>
    <row r="15" ht="12.75">
      <c r="B15" t="s">
        <v>879</v>
      </c>
    </row>
    <row r="16" spans="1:15" ht="14.25" customHeight="1">
      <c r="A16" s="1965" t="s">
        <v>33</v>
      </c>
      <c r="B16" s="1966" t="s">
        <v>215</v>
      </c>
      <c r="C16" s="1966"/>
      <c r="D16" s="1966"/>
      <c r="E16" s="1966"/>
      <c r="F16" s="1967" t="s">
        <v>879</v>
      </c>
      <c r="G16" s="1967"/>
      <c r="H16" s="1967"/>
      <c r="I16" s="1967"/>
      <c r="J16" s="1967"/>
      <c r="K16" s="1967"/>
      <c r="L16" s="1967"/>
      <c r="M16" s="1967"/>
      <c r="N16" s="1967"/>
      <c r="O16" s="1967"/>
    </row>
    <row r="17" spans="1:15" ht="12.75">
      <c r="A17" s="1965"/>
      <c r="B17" s="1966"/>
      <c r="C17" s="1966"/>
      <c r="D17" s="1966"/>
      <c r="E17" s="1966"/>
      <c r="F17" s="873" t="s">
        <v>880</v>
      </c>
      <c r="G17" s="873">
        <v>2021</v>
      </c>
      <c r="H17" s="873">
        <v>2022</v>
      </c>
      <c r="I17" s="873">
        <v>2023</v>
      </c>
      <c r="J17" s="873">
        <v>2024</v>
      </c>
      <c r="K17" s="873">
        <v>2025</v>
      </c>
      <c r="L17" s="873">
        <v>2026</v>
      </c>
      <c r="M17" s="873">
        <v>2027</v>
      </c>
      <c r="N17" s="873">
        <v>2028</v>
      </c>
      <c r="O17" s="873">
        <v>2029</v>
      </c>
    </row>
    <row r="18" spans="1:15" ht="14.25" customHeight="1">
      <c r="A18" s="1965"/>
      <c r="B18" s="1945" t="s">
        <v>158</v>
      </c>
      <c r="C18" s="1945"/>
      <c r="D18" s="1945"/>
      <c r="E18" s="1945"/>
      <c r="F18" s="841" t="s">
        <v>159</v>
      </c>
      <c r="G18" s="841" t="s">
        <v>160</v>
      </c>
      <c r="H18" s="841" t="s">
        <v>161</v>
      </c>
      <c r="I18" s="841" t="s">
        <v>456</v>
      </c>
      <c r="J18" s="841" t="s">
        <v>476</v>
      </c>
      <c r="K18" s="841" t="s">
        <v>701</v>
      </c>
      <c r="L18" s="841" t="s">
        <v>782</v>
      </c>
      <c r="M18" s="841" t="s">
        <v>785</v>
      </c>
      <c r="N18" s="841" t="s">
        <v>874</v>
      </c>
      <c r="O18" s="841" t="s">
        <v>875</v>
      </c>
    </row>
    <row r="19" spans="1:15" ht="14.25" customHeight="1">
      <c r="A19" s="874" t="s">
        <v>38</v>
      </c>
      <c r="B19" s="1968" t="s">
        <v>39</v>
      </c>
      <c r="C19" s="1968"/>
      <c r="D19" s="1968"/>
      <c r="E19" s="1968"/>
      <c r="F19" s="875"/>
      <c r="G19" s="875"/>
      <c r="H19" s="875"/>
      <c r="I19" s="875"/>
      <c r="J19" s="875"/>
      <c r="K19" s="875"/>
      <c r="L19" s="875"/>
      <c r="M19" s="875"/>
      <c r="N19" s="875"/>
      <c r="O19" s="875"/>
    </row>
    <row r="20" spans="1:15" ht="14.25" customHeight="1">
      <c r="A20" s="874" t="s">
        <v>40</v>
      </c>
      <c r="B20" s="1974" t="s">
        <v>881</v>
      </c>
      <c r="C20" s="1974"/>
      <c r="D20" s="1974"/>
      <c r="E20" s="1974"/>
      <c r="F20" s="876"/>
      <c r="G20" s="876"/>
      <c r="H20" s="876"/>
      <c r="I20" s="876"/>
      <c r="J20" s="876"/>
      <c r="K20" s="876"/>
      <c r="L20" s="876"/>
      <c r="M20" s="876"/>
      <c r="N20" s="876"/>
      <c r="O20" s="876"/>
    </row>
    <row r="21" spans="1:15" ht="14.25" customHeight="1">
      <c r="A21" s="874" t="s">
        <v>47</v>
      </c>
      <c r="B21" s="1974" t="s">
        <v>882</v>
      </c>
      <c r="C21" s="1974"/>
      <c r="D21" s="1974"/>
      <c r="E21" s="1974"/>
      <c r="F21" s="876"/>
      <c r="G21" s="876"/>
      <c r="H21" s="876"/>
      <c r="I21" s="876"/>
      <c r="J21" s="876"/>
      <c r="K21" s="876"/>
      <c r="L21" s="876"/>
      <c r="M21" s="876"/>
      <c r="N21" s="876"/>
      <c r="O21" s="876"/>
    </row>
    <row r="22" spans="1:15" ht="26.25" customHeight="1">
      <c r="A22" s="874" t="s">
        <v>49</v>
      </c>
      <c r="B22" s="1974" t="s">
        <v>883</v>
      </c>
      <c r="C22" s="1974"/>
      <c r="D22" s="1974"/>
      <c r="E22" s="1974"/>
      <c r="F22" s="876"/>
      <c r="G22" s="876"/>
      <c r="H22" s="876"/>
      <c r="I22" s="876"/>
      <c r="J22" s="876"/>
      <c r="K22" s="876"/>
      <c r="L22" s="876"/>
      <c r="M22" s="876"/>
      <c r="N22" s="876"/>
      <c r="O22" s="876"/>
    </row>
    <row r="23" spans="1:15" ht="14.25" customHeight="1">
      <c r="A23" s="874" t="s">
        <v>51</v>
      </c>
      <c r="B23" s="1974" t="s">
        <v>884</v>
      </c>
      <c r="C23" s="1974"/>
      <c r="D23" s="1974"/>
      <c r="E23" s="1974"/>
      <c r="F23" s="876"/>
      <c r="G23" s="876"/>
      <c r="H23" s="876"/>
      <c r="I23" s="876"/>
      <c r="J23" s="876"/>
      <c r="K23" s="876"/>
      <c r="L23" s="876"/>
      <c r="M23" s="876"/>
      <c r="N23" s="876"/>
      <c r="O23" s="876"/>
    </row>
    <row r="24" spans="1:15" ht="14.25" customHeight="1">
      <c r="A24" s="874" t="s">
        <v>53</v>
      </c>
      <c r="B24" s="1974" t="s">
        <v>885</v>
      </c>
      <c r="C24" s="1974"/>
      <c r="D24" s="1974"/>
      <c r="E24" s="1974"/>
      <c r="F24" s="876"/>
      <c r="G24" s="876"/>
      <c r="H24" s="876"/>
      <c r="I24" s="876"/>
      <c r="J24" s="876"/>
      <c r="K24" s="876"/>
      <c r="L24" s="876"/>
      <c r="M24" s="876"/>
      <c r="N24" s="876"/>
      <c r="O24" s="876"/>
    </row>
    <row r="25" spans="1:15" ht="14.25" customHeight="1">
      <c r="A25" s="874" t="s">
        <v>55</v>
      </c>
      <c r="B25" s="1974" t="s">
        <v>886</v>
      </c>
      <c r="C25" s="1974"/>
      <c r="D25" s="1974"/>
      <c r="E25" s="1974"/>
      <c r="F25" s="876"/>
      <c r="G25" s="876"/>
      <c r="H25" s="876"/>
      <c r="I25" s="876"/>
      <c r="J25" s="876"/>
      <c r="K25" s="876"/>
      <c r="L25" s="876"/>
      <c r="M25" s="876"/>
      <c r="N25" s="876"/>
      <c r="O25" s="876"/>
    </row>
    <row r="26" spans="1:15" ht="14.25" customHeight="1">
      <c r="A26" s="874" t="s">
        <v>57</v>
      </c>
      <c r="B26" s="1973" t="s">
        <v>887</v>
      </c>
      <c r="C26" s="1973"/>
      <c r="D26" s="1973"/>
      <c r="E26" s="1973"/>
      <c r="F26" s="877">
        <f aca="true" t="shared" si="0" ref="F26:O26">SUM(F19:F25)</f>
        <v>0</v>
      </c>
      <c r="G26" s="877">
        <f t="shared" si="0"/>
        <v>0</v>
      </c>
      <c r="H26" s="877">
        <f t="shared" si="0"/>
        <v>0</v>
      </c>
      <c r="I26" s="877">
        <f t="shared" si="0"/>
        <v>0</v>
      </c>
      <c r="J26" s="877">
        <f t="shared" si="0"/>
        <v>0</v>
      </c>
      <c r="K26" s="877">
        <f t="shared" si="0"/>
        <v>0</v>
      </c>
      <c r="L26" s="877">
        <f t="shared" si="0"/>
        <v>0</v>
      </c>
      <c r="M26" s="877">
        <f t="shared" si="0"/>
        <v>0</v>
      </c>
      <c r="N26" s="877">
        <f t="shared" si="0"/>
        <v>0</v>
      </c>
      <c r="O26" s="877">
        <f t="shared" si="0"/>
        <v>0</v>
      </c>
    </row>
    <row r="27" spans="1:15" ht="14.25" customHeight="1">
      <c r="A27" s="874" t="s">
        <v>86</v>
      </c>
      <c r="B27" s="1973" t="s">
        <v>888</v>
      </c>
      <c r="C27" s="1973"/>
      <c r="D27" s="1973"/>
      <c r="E27" s="1973"/>
      <c r="F27" s="878">
        <f aca="true" t="shared" si="1" ref="F27:O27">F26/2</f>
        <v>0</v>
      </c>
      <c r="G27" s="878">
        <f t="shared" si="1"/>
        <v>0</v>
      </c>
      <c r="H27" s="878">
        <f t="shared" si="1"/>
        <v>0</v>
      </c>
      <c r="I27" s="878">
        <f t="shared" si="1"/>
        <v>0</v>
      </c>
      <c r="J27" s="878">
        <f t="shared" si="1"/>
        <v>0</v>
      </c>
      <c r="K27" s="878">
        <f t="shared" si="1"/>
        <v>0</v>
      </c>
      <c r="L27" s="878">
        <f t="shared" si="1"/>
        <v>0</v>
      </c>
      <c r="M27" s="878">
        <f t="shared" si="1"/>
        <v>0</v>
      </c>
      <c r="N27" s="878">
        <f t="shared" si="1"/>
        <v>0</v>
      </c>
      <c r="O27" s="878">
        <f t="shared" si="1"/>
        <v>0</v>
      </c>
    </row>
  </sheetData>
  <sheetProtection selectLockedCells="1" selectUnlockedCells="1"/>
  <mergeCells count="25">
    <mergeCell ref="B26:E26"/>
    <mergeCell ref="B27:E27"/>
    <mergeCell ref="B20:E20"/>
    <mergeCell ref="B21:E21"/>
    <mergeCell ref="B22:E22"/>
    <mergeCell ref="B23:E23"/>
    <mergeCell ref="B24:E24"/>
    <mergeCell ref="B25:E25"/>
    <mergeCell ref="A16:A18"/>
    <mergeCell ref="B16:E17"/>
    <mergeCell ref="F16:O16"/>
    <mergeCell ref="B18:E18"/>
    <mergeCell ref="B19:E19"/>
    <mergeCell ref="A1:O1"/>
    <mergeCell ref="B5:O5"/>
    <mergeCell ref="N8:O8"/>
    <mergeCell ref="A9:A11"/>
    <mergeCell ref="A3:O3"/>
    <mergeCell ref="D2:J2"/>
    <mergeCell ref="N4:O4"/>
    <mergeCell ref="B9:B10"/>
    <mergeCell ref="C9:C10"/>
    <mergeCell ref="D9:D10"/>
    <mergeCell ref="E9:E10"/>
    <mergeCell ref="F9:O9"/>
  </mergeCells>
  <printOptions/>
  <pageMargins left="0.7" right="0.7" top="0.75" bottom="0.75" header="0.5118055555555555" footer="0.5118055555555555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1"/>
  <sheetViews>
    <sheetView view="pageBreakPreview" zoomScaleSheetLayoutView="100" zoomScalePageLayoutView="0" workbookViewId="0" topLeftCell="A1">
      <selection activeCell="C19" sqref="C19"/>
    </sheetView>
  </sheetViews>
  <sheetFormatPr defaultColWidth="11.7109375" defaultRowHeight="12.75" customHeight="1"/>
  <cols>
    <col min="1" max="1" width="7.57421875" style="74" customWidth="1"/>
    <col min="2" max="2" width="36.8515625" style="5" customWidth="1"/>
    <col min="3" max="6" width="20.57421875" style="5" bestFit="1" customWidth="1"/>
    <col min="7" max="16384" width="11.7109375" style="5" customWidth="1"/>
  </cols>
  <sheetData>
    <row r="1" spans="1:6" s="88" customFormat="1" ht="25.5" customHeight="1">
      <c r="A1" s="1943" t="s">
        <v>477</v>
      </c>
      <c r="B1" s="1943"/>
      <c r="C1" s="1943"/>
      <c r="D1" s="1943"/>
      <c r="E1" s="1943"/>
      <c r="F1" s="1943"/>
    </row>
    <row r="2" spans="1:6" ht="12.75" customHeight="1">
      <c r="A2" s="1975" t="s">
        <v>1295</v>
      </c>
      <c r="B2" s="1975"/>
      <c r="C2" s="1975"/>
      <c r="D2" s="1975"/>
      <c r="E2" s="1975"/>
      <c r="F2" s="1975"/>
    </row>
    <row r="3" spans="1:6" ht="12.75" customHeight="1">
      <c r="A3" s="1891" t="s">
        <v>1296</v>
      </c>
      <c r="B3" s="1891"/>
      <c r="C3" s="1891"/>
      <c r="D3" s="1891"/>
      <c r="E3" s="1891"/>
      <c r="F3" s="1877" t="s">
        <v>816</v>
      </c>
    </row>
    <row r="4" spans="1:6" ht="12.75" customHeight="1">
      <c r="A4" s="1891"/>
      <c r="B4" s="1891"/>
      <c r="C4" s="1891"/>
      <c r="D4" s="1891"/>
      <c r="E4" s="1891"/>
      <c r="F4" s="1877"/>
    </row>
    <row r="5" spans="1:256" ht="12.75" customHeight="1">
      <c r="A5" s="1959" t="s">
        <v>73</v>
      </c>
      <c r="B5" s="1959"/>
      <c r="C5" s="1959"/>
      <c r="D5" s="1959"/>
      <c r="E5" s="1959"/>
      <c r="F5" s="195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959" t="s">
        <v>1110</v>
      </c>
      <c r="B6" s="1959"/>
      <c r="C6" s="1959"/>
      <c r="D6" s="1959"/>
      <c r="E6" s="1959"/>
      <c r="F6" s="195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58"/>
      <c r="B7" s="158"/>
      <c r="C7" s="159"/>
      <c r="D7" s="159"/>
      <c r="E7" s="159"/>
      <c r="F7" s="15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60"/>
      <c r="B8"/>
      <c r="C8"/>
      <c r="D8" s="1976" t="s">
        <v>214</v>
      </c>
      <c r="E8" s="1976"/>
      <c r="F8" s="197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945" t="s">
        <v>33</v>
      </c>
      <c r="B9" s="156" t="s">
        <v>24</v>
      </c>
      <c r="C9" s="148">
        <v>2020</v>
      </c>
      <c r="D9" s="148">
        <v>2021</v>
      </c>
      <c r="E9" s="148">
        <v>2022</v>
      </c>
      <c r="F9" s="148">
        <v>2023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945"/>
      <c r="B10" s="156" t="s">
        <v>158</v>
      </c>
      <c r="C10" s="148" t="s">
        <v>159</v>
      </c>
      <c r="D10" s="148" t="s">
        <v>160</v>
      </c>
      <c r="E10" s="148" t="s">
        <v>161</v>
      </c>
      <c r="F10" s="148" t="s">
        <v>456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161" t="s">
        <v>38</v>
      </c>
      <c r="B11" s="503" t="s">
        <v>165</v>
      </c>
      <c r="C11" s="162">
        <v>246125613</v>
      </c>
      <c r="D11" s="162">
        <v>200000000</v>
      </c>
      <c r="E11" s="162">
        <v>200000000</v>
      </c>
      <c r="F11" s="162">
        <v>200000000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4" customFormat="1" ht="27" customHeight="1">
      <c r="A12" s="166" t="s">
        <v>40</v>
      </c>
      <c r="B12" s="167" t="s">
        <v>167</v>
      </c>
      <c r="C12" s="162">
        <v>243628561</v>
      </c>
      <c r="D12" s="162">
        <v>0</v>
      </c>
      <c r="E12" s="162">
        <v>0</v>
      </c>
      <c r="F12" s="162"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4" customFormat="1" ht="12.75" customHeight="1">
      <c r="A13" s="161" t="s">
        <v>47</v>
      </c>
      <c r="B13" s="165" t="s">
        <v>174</v>
      </c>
      <c r="C13" s="162">
        <v>157198408</v>
      </c>
      <c r="D13" s="162">
        <f>SUM(D14:D18)</f>
        <v>187950000</v>
      </c>
      <c r="E13" s="162">
        <f>SUM(E14:E18)</f>
        <v>187950000</v>
      </c>
      <c r="F13" s="162">
        <f>SUM(F14:F18)</f>
        <v>187950000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508" customFormat="1" ht="12.75" customHeight="1">
      <c r="A14" s="504" t="s">
        <v>49</v>
      </c>
      <c r="B14" s="510" t="s">
        <v>663</v>
      </c>
      <c r="C14" s="506">
        <v>8449347</v>
      </c>
      <c r="D14" s="506">
        <v>7000000</v>
      </c>
      <c r="E14" s="506">
        <v>7000000</v>
      </c>
      <c r="F14" s="506">
        <v>7000000</v>
      </c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7"/>
      <c r="CK14" s="507"/>
      <c r="CL14" s="507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7"/>
      <c r="CZ14" s="507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7"/>
      <c r="DO14" s="507"/>
      <c r="DP14" s="507"/>
      <c r="DQ14" s="507"/>
      <c r="DR14" s="507"/>
      <c r="DS14" s="507"/>
      <c r="DT14" s="507"/>
      <c r="DU14" s="507"/>
      <c r="DV14" s="507"/>
      <c r="DW14" s="507"/>
      <c r="DX14" s="507"/>
      <c r="DY14" s="507"/>
      <c r="DZ14" s="507"/>
      <c r="EA14" s="507"/>
      <c r="EB14" s="507"/>
      <c r="EC14" s="507"/>
      <c r="ED14" s="507"/>
      <c r="EE14" s="507"/>
      <c r="EF14" s="507"/>
      <c r="EG14" s="507"/>
      <c r="EH14" s="507"/>
      <c r="EI14" s="507"/>
      <c r="EJ14" s="507"/>
      <c r="EK14" s="507"/>
      <c r="EL14" s="507"/>
      <c r="EM14" s="507"/>
      <c r="EN14" s="507"/>
      <c r="EO14" s="507"/>
      <c r="EP14" s="507"/>
      <c r="EQ14" s="507"/>
      <c r="ER14" s="507"/>
      <c r="ES14" s="507"/>
      <c r="ET14" s="507"/>
      <c r="EU14" s="507"/>
      <c r="EV14" s="507"/>
      <c r="EW14" s="507"/>
      <c r="EX14" s="507"/>
      <c r="EY14" s="507"/>
      <c r="EZ14" s="507"/>
      <c r="FA14" s="507"/>
      <c r="FB14" s="507"/>
      <c r="FC14" s="507"/>
      <c r="FD14" s="507"/>
      <c r="FE14" s="507"/>
      <c r="FF14" s="507"/>
      <c r="FG14" s="507"/>
      <c r="FH14" s="507"/>
      <c r="FI14" s="507"/>
      <c r="FJ14" s="507"/>
      <c r="FK14" s="507"/>
      <c r="FL14" s="507"/>
      <c r="FM14" s="507"/>
      <c r="FN14" s="507"/>
      <c r="FO14" s="507"/>
      <c r="FP14" s="507"/>
      <c r="FQ14" s="507"/>
      <c r="FR14" s="507"/>
      <c r="FS14" s="507"/>
      <c r="FT14" s="507"/>
      <c r="FU14" s="507"/>
      <c r="FV14" s="507"/>
      <c r="FW14" s="507"/>
      <c r="FX14" s="507"/>
      <c r="FY14" s="507"/>
      <c r="FZ14" s="507"/>
      <c r="GA14" s="507"/>
      <c r="GB14" s="507"/>
      <c r="GC14" s="507"/>
      <c r="GD14" s="507"/>
      <c r="GE14" s="507"/>
      <c r="GF14" s="507"/>
      <c r="GG14" s="507"/>
      <c r="GH14" s="507"/>
      <c r="GI14" s="507"/>
      <c r="GJ14" s="507"/>
      <c r="GK14" s="507"/>
      <c r="GL14" s="507"/>
      <c r="GM14" s="507"/>
      <c r="GN14" s="507"/>
      <c r="GO14" s="507"/>
      <c r="GP14" s="507"/>
      <c r="GQ14" s="507"/>
      <c r="GR14" s="507"/>
      <c r="GS14" s="507"/>
      <c r="GT14" s="507"/>
      <c r="GU14" s="507"/>
      <c r="GV14" s="507"/>
      <c r="GW14" s="507"/>
      <c r="GX14" s="507"/>
      <c r="GY14" s="507"/>
      <c r="GZ14" s="507"/>
      <c r="HA14" s="507"/>
      <c r="HB14" s="507"/>
      <c r="HC14" s="507"/>
      <c r="HD14" s="507"/>
      <c r="HE14" s="507"/>
      <c r="HF14" s="507"/>
      <c r="HG14" s="507"/>
      <c r="HH14" s="507"/>
      <c r="HI14" s="507"/>
      <c r="HJ14" s="507"/>
      <c r="HK14" s="507"/>
      <c r="HL14" s="507"/>
      <c r="HM14" s="507"/>
      <c r="HN14" s="507"/>
      <c r="HO14" s="507"/>
      <c r="HP14" s="507"/>
      <c r="HQ14" s="507"/>
      <c r="HR14" s="507"/>
      <c r="HS14" s="507"/>
      <c r="HT14" s="507"/>
      <c r="HU14" s="507"/>
      <c r="HV14" s="507"/>
      <c r="HW14" s="507"/>
      <c r="HX14" s="507"/>
      <c r="HY14" s="507"/>
      <c r="HZ14" s="507"/>
      <c r="IA14" s="507"/>
      <c r="IB14" s="507"/>
      <c r="IC14" s="507"/>
      <c r="ID14" s="507"/>
      <c r="IE14" s="507"/>
      <c r="IF14" s="507"/>
      <c r="IG14" s="507"/>
      <c r="IH14" s="507"/>
      <c r="II14" s="507"/>
      <c r="IJ14" s="507"/>
      <c r="IK14" s="507"/>
      <c r="IL14" s="507"/>
      <c r="IM14" s="507"/>
      <c r="IN14" s="507"/>
      <c r="IO14" s="507"/>
      <c r="IP14" s="507"/>
      <c r="IQ14" s="507"/>
      <c r="IR14" s="507"/>
      <c r="IS14" s="507"/>
      <c r="IT14" s="507"/>
      <c r="IU14" s="507"/>
      <c r="IV14" s="507"/>
    </row>
    <row r="15" spans="1:256" s="508" customFormat="1" ht="12.75" customHeight="1">
      <c r="A15" s="509" t="s">
        <v>51</v>
      </c>
      <c r="B15" s="505" t="s">
        <v>662</v>
      </c>
      <c r="C15" s="506">
        <v>147879068</v>
      </c>
      <c r="D15" s="506">
        <v>170000000</v>
      </c>
      <c r="E15" s="506">
        <v>170000000</v>
      </c>
      <c r="F15" s="506">
        <v>170000000</v>
      </c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  <c r="DO15" s="507"/>
      <c r="DP15" s="507"/>
      <c r="DQ15" s="507"/>
      <c r="DR15" s="507"/>
      <c r="DS15" s="507"/>
      <c r="DT15" s="507"/>
      <c r="DU15" s="507"/>
      <c r="DV15" s="507"/>
      <c r="DW15" s="507"/>
      <c r="DX15" s="507"/>
      <c r="DY15" s="507"/>
      <c r="DZ15" s="507"/>
      <c r="EA15" s="507"/>
      <c r="EB15" s="507"/>
      <c r="EC15" s="507"/>
      <c r="ED15" s="507"/>
      <c r="EE15" s="507"/>
      <c r="EF15" s="507"/>
      <c r="EG15" s="507"/>
      <c r="EH15" s="507"/>
      <c r="EI15" s="507"/>
      <c r="EJ15" s="507"/>
      <c r="EK15" s="507"/>
      <c r="EL15" s="507"/>
      <c r="EM15" s="507"/>
      <c r="EN15" s="507"/>
      <c r="EO15" s="507"/>
      <c r="EP15" s="507"/>
      <c r="EQ15" s="507"/>
      <c r="ER15" s="507"/>
      <c r="ES15" s="507"/>
      <c r="ET15" s="507"/>
      <c r="EU15" s="507"/>
      <c r="EV15" s="507"/>
      <c r="EW15" s="507"/>
      <c r="EX15" s="507"/>
      <c r="EY15" s="507"/>
      <c r="EZ15" s="507"/>
      <c r="FA15" s="507"/>
      <c r="FB15" s="507"/>
      <c r="FC15" s="507"/>
      <c r="FD15" s="507"/>
      <c r="FE15" s="507"/>
      <c r="FF15" s="507"/>
      <c r="FG15" s="507"/>
      <c r="FH15" s="507"/>
      <c r="FI15" s="507"/>
      <c r="FJ15" s="507"/>
      <c r="FK15" s="507"/>
      <c r="FL15" s="507"/>
      <c r="FM15" s="507"/>
      <c r="FN15" s="507"/>
      <c r="FO15" s="507"/>
      <c r="FP15" s="507"/>
      <c r="FQ15" s="507"/>
      <c r="FR15" s="507"/>
      <c r="FS15" s="507"/>
      <c r="FT15" s="507"/>
      <c r="FU15" s="507"/>
      <c r="FV15" s="507"/>
      <c r="FW15" s="507"/>
      <c r="FX15" s="507"/>
      <c r="FY15" s="507"/>
      <c r="FZ15" s="507"/>
      <c r="GA15" s="507"/>
      <c r="GB15" s="507"/>
      <c r="GC15" s="507"/>
      <c r="GD15" s="507"/>
      <c r="GE15" s="507"/>
      <c r="GF15" s="507"/>
      <c r="GG15" s="507"/>
      <c r="GH15" s="507"/>
      <c r="GI15" s="507"/>
      <c r="GJ15" s="507"/>
      <c r="GK15" s="507"/>
      <c r="GL15" s="507"/>
      <c r="GM15" s="507"/>
      <c r="GN15" s="507"/>
      <c r="GO15" s="507"/>
      <c r="GP15" s="507"/>
      <c r="GQ15" s="507"/>
      <c r="GR15" s="507"/>
      <c r="GS15" s="507"/>
      <c r="GT15" s="507"/>
      <c r="GU15" s="507"/>
      <c r="GV15" s="507"/>
      <c r="GW15" s="507"/>
      <c r="GX15" s="507"/>
      <c r="GY15" s="507"/>
      <c r="GZ15" s="507"/>
      <c r="HA15" s="507"/>
      <c r="HB15" s="507"/>
      <c r="HC15" s="507"/>
      <c r="HD15" s="507"/>
      <c r="HE15" s="507"/>
      <c r="HF15" s="507"/>
      <c r="HG15" s="507"/>
      <c r="HH15" s="507"/>
      <c r="HI15" s="507"/>
      <c r="HJ15" s="507"/>
      <c r="HK15" s="507"/>
      <c r="HL15" s="507"/>
      <c r="HM15" s="507"/>
      <c r="HN15" s="507"/>
      <c r="HO15" s="507"/>
      <c r="HP15" s="507"/>
      <c r="HQ15" s="507"/>
      <c r="HR15" s="507"/>
      <c r="HS15" s="507"/>
      <c r="HT15" s="507"/>
      <c r="HU15" s="507"/>
      <c r="HV15" s="507"/>
      <c r="HW15" s="507"/>
      <c r="HX15" s="507"/>
      <c r="HY15" s="507"/>
      <c r="HZ15" s="507"/>
      <c r="IA15" s="507"/>
      <c r="IB15" s="507"/>
      <c r="IC15" s="507"/>
      <c r="ID15" s="507"/>
      <c r="IE15" s="507"/>
      <c r="IF15" s="507"/>
      <c r="IG15" s="507"/>
      <c r="IH15" s="507"/>
      <c r="II15" s="507"/>
      <c r="IJ15" s="507"/>
      <c r="IK15" s="507"/>
      <c r="IL15" s="507"/>
      <c r="IM15" s="507"/>
      <c r="IN15" s="507"/>
      <c r="IO15" s="507"/>
      <c r="IP15" s="507"/>
      <c r="IQ15" s="507"/>
      <c r="IR15" s="507"/>
      <c r="IS15" s="507"/>
      <c r="IT15" s="507"/>
      <c r="IU15" s="507"/>
      <c r="IV15" s="507"/>
    </row>
    <row r="16" spans="1:256" s="508" customFormat="1" ht="12.75" customHeight="1">
      <c r="A16" s="504" t="s">
        <v>53</v>
      </c>
      <c r="B16" s="505" t="s">
        <v>588</v>
      </c>
      <c r="C16" s="506">
        <v>0</v>
      </c>
      <c r="D16" s="506">
        <v>10700000</v>
      </c>
      <c r="E16" s="506">
        <v>10700000</v>
      </c>
      <c r="F16" s="506">
        <v>10700000</v>
      </c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7"/>
      <c r="CN16" s="507"/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7"/>
      <c r="CZ16" s="507"/>
      <c r="DA16" s="507"/>
      <c r="DB16" s="507"/>
      <c r="DC16" s="507"/>
      <c r="DD16" s="507"/>
      <c r="DE16" s="507"/>
      <c r="DF16" s="507"/>
      <c r="DG16" s="507"/>
      <c r="DH16" s="507"/>
      <c r="DI16" s="507"/>
      <c r="DJ16" s="507"/>
      <c r="DK16" s="507"/>
      <c r="DL16" s="507"/>
      <c r="DM16" s="507"/>
      <c r="DN16" s="507"/>
      <c r="DO16" s="507"/>
      <c r="DP16" s="507"/>
      <c r="DQ16" s="507"/>
      <c r="DR16" s="507"/>
      <c r="DS16" s="507"/>
      <c r="DT16" s="507"/>
      <c r="DU16" s="507"/>
      <c r="DV16" s="507"/>
      <c r="DW16" s="507"/>
      <c r="DX16" s="507"/>
      <c r="DY16" s="507"/>
      <c r="DZ16" s="507"/>
      <c r="EA16" s="507"/>
      <c r="EB16" s="507"/>
      <c r="EC16" s="507"/>
      <c r="ED16" s="507"/>
      <c r="EE16" s="507"/>
      <c r="EF16" s="507"/>
      <c r="EG16" s="507"/>
      <c r="EH16" s="507"/>
      <c r="EI16" s="507"/>
      <c r="EJ16" s="507"/>
      <c r="EK16" s="507"/>
      <c r="EL16" s="507"/>
      <c r="EM16" s="507"/>
      <c r="EN16" s="507"/>
      <c r="EO16" s="507"/>
      <c r="EP16" s="507"/>
      <c r="EQ16" s="507"/>
      <c r="ER16" s="507"/>
      <c r="ES16" s="507"/>
      <c r="ET16" s="507"/>
      <c r="EU16" s="507"/>
      <c r="EV16" s="507"/>
      <c r="EW16" s="507"/>
      <c r="EX16" s="507"/>
      <c r="EY16" s="507"/>
      <c r="EZ16" s="507"/>
      <c r="FA16" s="507"/>
      <c r="FB16" s="507"/>
      <c r="FC16" s="507"/>
      <c r="FD16" s="507"/>
      <c r="FE16" s="507"/>
      <c r="FF16" s="507"/>
      <c r="FG16" s="507"/>
      <c r="FH16" s="507"/>
      <c r="FI16" s="507"/>
      <c r="FJ16" s="507"/>
      <c r="FK16" s="507"/>
      <c r="FL16" s="507"/>
      <c r="FM16" s="507"/>
      <c r="FN16" s="507"/>
      <c r="FO16" s="507"/>
      <c r="FP16" s="507"/>
      <c r="FQ16" s="507"/>
      <c r="FR16" s="507"/>
      <c r="FS16" s="507"/>
      <c r="FT16" s="507"/>
      <c r="FU16" s="507"/>
      <c r="FV16" s="507"/>
      <c r="FW16" s="507"/>
      <c r="FX16" s="507"/>
      <c r="FY16" s="507"/>
      <c r="FZ16" s="507"/>
      <c r="GA16" s="507"/>
      <c r="GB16" s="507"/>
      <c r="GC16" s="507"/>
      <c r="GD16" s="507"/>
      <c r="GE16" s="507"/>
      <c r="GF16" s="507"/>
      <c r="GG16" s="507"/>
      <c r="GH16" s="507"/>
      <c r="GI16" s="507"/>
      <c r="GJ16" s="507"/>
      <c r="GK16" s="507"/>
      <c r="GL16" s="507"/>
      <c r="GM16" s="507"/>
      <c r="GN16" s="507"/>
      <c r="GO16" s="507"/>
      <c r="GP16" s="507"/>
      <c r="GQ16" s="507"/>
      <c r="GR16" s="507"/>
      <c r="GS16" s="507"/>
      <c r="GT16" s="507"/>
      <c r="GU16" s="507"/>
      <c r="GV16" s="507"/>
      <c r="GW16" s="507"/>
      <c r="GX16" s="507"/>
      <c r="GY16" s="507"/>
      <c r="GZ16" s="507"/>
      <c r="HA16" s="507"/>
      <c r="HB16" s="507"/>
      <c r="HC16" s="507"/>
      <c r="HD16" s="507"/>
      <c r="HE16" s="507"/>
      <c r="HF16" s="507"/>
      <c r="HG16" s="507"/>
      <c r="HH16" s="507"/>
      <c r="HI16" s="507"/>
      <c r="HJ16" s="507"/>
      <c r="HK16" s="507"/>
      <c r="HL16" s="507"/>
      <c r="HM16" s="507"/>
      <c r="HN16" s="507"/>
      <c r="HO16" s="507"/>
      <c r="HP16" s="507"/>
      <c r="HQ16" s="507"/>
      <c r="HR16" s="507"/>
      <c r="HS16" s="507"/>
      <c r="HT16" s="507"/>
      <c r="HU16" s="507"/>
      <c r="HV16" s="507"/>
      <c r="HW16" s="507"/>
      <c r="HX16" s="507"/>
      <c r="HY16" s="507"/>
      <c r="HZ16" s="507"/>
      <c r="IA16" s="507"/>
      <c r="IB16" s="507"/>
      <c r="IC16" s="507"/>
      <c r="ID16" s="507"/>
      <c r="IE16" s="507"/>
      <c r="IF16" s="507"/>
      <c r="IG16" s="507"/>
      <c r="IH16" s="507"/>
      <c r="II16" s="507"/>
      <c r="IJ16" s="507"/>
      <c r="IK16" s="507"/>
      <c r="IL16" s="507"/>
      <c r="IM16" s="507"/>
      <c r="IN16" s="507"/>
      <c r="IO16" s="507"/>
      <c r="IP16" s="507"/>
      <c r="IQ16" s="507"/>
      <c r="IR16" s="507"/>
      <c r="IS16" s="507"/>
      <c r="IT16" s="507"/>
      <c r="IU16" s="507"/>
      <c r="IV16" s="507"/>
    </row>
    <row r="17" spans="1:256" s="508" customFormat="1" ht="12.75" customHeight="1">
      <c r="A17" s="509" t="s">
        <v>55</v>
      </c>
      <c r="B17" s="505" t="s">
        <v>96</v>
      </c>
      <c r="C17" s="506">
        <v>0</v>
      </c>
      <c r="D17" s="506">
        <v>0</v>
      </c>
      <c r="E17" s="506">
        <v>0</v>
      </c>
      <c r="F17" s="506">
        <v>0</v>
      </c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7"/>
      <c r="DQ17" s="507"/>
      <c r="DR17" s="507"/>
      <c r="DS17" s="507"/>
      <c r="DT17" s="507"/>
      <c r="DU17" s="507"/>
      <c r="DV17" s="507"/>
      <c r="DW17" s="507"/>
      <c r="DX17" s="507"/>
      <c r="DY17" s="507"/>
      <c r="DZ17" s="507"/>
      <c r="EA17" s="507"/>
      <c r="EB17" s="507"/>
      <c r="EC17" s="507"/>
      <c r="ED17" s="507"/>
      <c r="EE17" s="507"/>
      <c r="EF17" s="507"/>
      <c r="EG17" s="507"/>
      <c r="EH17" s="507"/>
      <c r="EI17" s="507"/>
      <c r="EJ17" s="507"/>
      <c r="EK17" s="507"/>
      <c r="EL17" s="507"/>
      <c r="EM17" s="507"/>
      <c r="EN17" s="507"/>
      <c r="EO17" s="507"/>
      <c r="EP17" s="507"/>
      <c r="EQ17" s="507"/>
      <c r="ER17" s="507"/>
      <c r="ES17" s="507"/>
      <c r="ET17" s="507"/>
      <c r="EU17" s="507"/>
      <c r="EV17" s="507"/>
      <c r="EW17" s="507"/>
      <c r="EX17" s="507"/>
      <c r="EY17" s="507"/>
      <c r="EZ17" s="507"/>
      <c r="FA17" s="507"/>
      <c r="FB17" s="507"/>
      <c r="FC17" s="507"/>
      <c r="FD17" s="507"/>
      <c r="FE17" s="507"/>
      <c r="FF17" s="507"/>
      <c r="FG17" s="507"/>
      <c r="FH17" s="507"/>
      <c r="FI17" s="507"/>
      <c r="FJ17" s="507"/>
      <c r="FK17" s="507"/>
      <c r="FL17" s="507"/>
      <c r="FM17" s="507"/>
      <c r="FN17" s="507"/>
      <c r="FO17" s="507"/>
      <c r="FP17" s="507"/>
      <c r="FQ17" s="507"/>
      <c r="FR17" s="507"/>
      <c r="FS17" s="507"/>
      <c r="FT17" s="507"/>
      <c r="FU17" s="507"/>
      <c r="FV17" s="507"/>
      <c r="FW17" s="507"/>
      <c r="FX17" s="507"/>
      <c r="FY17" s="507"/>
      <c r="FZ17" s="507"/>
      <c r="GA17" s="507"/>
      <c r="GB17" s="507"/>
      <c r="GC17" s="507"/>
      <c r="GD17" s="507"/>
      <c r="GE17" s="507"/>
      <c r="GF17" s="507"/>
      <c r="GG17" s="507"/>
      <c r="GH17" s="507"/>
      <c r="GI17" s="507"/>
      <c r="GJ17" s="507"/>
      <c r="GK17" s="507"/>
      <c r="GL17" s="507"/>
      <c r="GM17" s="507"/>
      <c r="GN17" s="507"/>
      <c r="GO17" s="507"/>
      <c r="GP17" s="507"/>
      <c r="GQ17" s="507"/>
      <c r="GR17" s="507"/>
      <c r="GS17" s="507"/>
      <c r="GT17" s="507"/>
      <c r="GU17" s="507"/>
      <c r="GV17" s="507"/>
      <c r="GW17" s="507"/>
      <c r="GX17" s="507"/>
      <c r="GY17" s="507"/>
      <c r="GZ17" s="507"/>
      <c r="HA17" s="507"/>
      <c r="HB17" s="507"/>
      <c r="HC17" s="507"/>
      <c r="HD17" s="507"/>
      <c r="HE17" s="507"/>
      <c r="HF17" s="507"/>
      <c r="HG17" s="507"/>
      <c r="HH17" s="507"/>
      <c r="HI17" s="507"/>
      <c r="HJ17" s="507"/>
      <c r="HK17" s="507"/>
      <c r="HL17" s="507"/>
      <c r="HM17" s="507"/>
      <c r="HN17" s="507"/>
      <c r="HO17" s="507"/>
      <c r="HP17" s="507"/>
      <c r="HQ17" s="507"/>
      <c r="HR17" s="507"/>
      <c r="HS17" s="507"/>
      <c r="HT17" s="507"/>
      <c r="HU17" s="507"/>
      <c r="HV17" s="507"/>
      <c r="HW17" s="507"/>
      <c r="HX17" s="507"/>
      <c r="HY17" s="507"/>
      <c r="HZ17" s="507"/>
      <c r="IA17" s="507"/>
      <c r="IB17" s="507"/>
      <c r="IC17" s="507"/>
      <c r="ID17" s="507"/>
      <c r="IE17" s="507"/>
      <c r="IF17" s="507"/>
      <c r="IG17" s="507"/>
      <c r="IH17" s="507"/>
      <c r="II17" s="507"/>
      <c r="IJ17" s="507"/>
      <c r="IK17" s="507"/>
      <c r="IL17" s="507"/>
      <c r="IM17" s="507"/>
      <c r="IN17" s="507"/>
      <c r="IO17" s="507"/>
      <c r="IP17" s="507"/>
      <c r="IQ17" s="507"/>
      <c r="IR17" s="507"/>
      <c r="IS17" s="507"/>
      <c r="IT17" s="507"/>
      <c r="IU17" s="507"/>
      <c r="IV17" s="507"/>
    </row>
    <row r="18" spans="1:256" s="508" customFormat="1" ht="12.75" customHeight="1">
      <c r="A18" s="504" t="s">
        <v>57</v>
      </c>
      <c r="B18" s="505" t="s">
        <v>172</v>
      </c>
      <c r="C18" s="506">
        <v>869993</v>
      </c>
      <c r="D18" s="506">
        <v>250000</v>
      </c>
      <c r="E18" s="506">
        <v>250000</v>
      </c>
      <c r="F18" s="506">
        <v>250000</v>
      </c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7"/>
      <c r="DS18" s="507"/>
      <c r="DT18" s="507"/>
      <c r="DU18" s="507"/>
      <c r="DV18" s="507"/>
      <c r="DW18" s="507"/>
      <c r="DX18" s="507"/>
      <c r="DY18" s="507"/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7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7"/>
      <c r="FF18" s="507"/>
      <c r="FG18" s="507"/>
      <c r="FH18" s="507"/>
      <c r="FI18" s="507"/>
      <c r="FJ18" s="507"/>
      <c r="FK18" s="507"/>
      <c r="FL18" s="507"/>
      <c r="FM18" s="507"/>
      <c r="FN18" s="507"/>
      <c r="FO18" s="507"/>
      <c r="FP18" s="507"/>
      <c r="FQ18" s="507"/>
      <c r="FR18" s="507"/>
      <c r="FS18" s="507"/>
      <c r="FT18" s="507"/>
      <c r="FU18" s="507"/>
      <c r="FV18" s="507"/>
      <c r="FW18" s="507"/>
      <c r="FX18" s="507"/>
      <c r="FY18" s="507"/>
      <c r="FZ18" s="507"/>
      <c r="GA18" s="507"/>
      <c r="GB18" s="507"/>
      <c r="GC18" s="507"/>
      <c r="GD18" s="507"/>
      <c r="GE18" s="507"/>
      <c r="GF18" s="507"/>
      <c r="GG18" s="507"/>
      <c r="GH18" s="507"/>
      <c r="GI18" s="507"/>
      <c r="GJ18" s="507"/>
      <c r="GK18" s="507"/>
      <c r="GL18" s="507"/>
      <c r="GM18" s="507"/>
      <c r="GN18" s="507"/>
      <c r="GO18" s="507"/>
      <c r="GP18" s="507"/>
      <c r="GQ18" s="507"/>
      <c r="GR18" s="507"/>
      <c r="GS18" s="507"/>
      <c r="GT18" s="507"/>
      <c r="GU18" s="507"/>
      <c r="GV18" s="507"/>
      <c r="GW18" s="507"/>
      <c r="GX18" s="507"/>
      <c r="GY18" s="507"/>
      <c r="GZ18" s="507"/>
      <c r="HA18" s="507"/>
      <c r="HB18" s="507"/>
      <c r="HC18" s="507"/>
      <c r="HD18" s="507"/>
      <c r="HE18" s="507"/>
      <c r="HF18" s="507"/>
      <c r="HG18" s="507"/>
      <c r="HH18" s="507"/>
      <c r="HI18" s="507"/>
      <c r="HJ18" s="507"/>
      <c r="HK18" s="507"/>
      <c r="HL18" s="507"/>
      <c r="HM18" s="507"/>
      <c r="HN18" s="507"/>
      <c r="HO18" s="507"/>
      <c r="HP18" s="507"/>
      <c r="HQ18" s="507"/>
      <c r="HR18" s="507"/>
      <c r="HS18" s="507"/>
      <c r="HT18" s="507"/>
      <c r="HU18" s="507"/>
      <c r="HV18" s="507"/>
      <c r="HW18" s="507"/>
      <c r="HX18" s="507"/>
      <c r="HY18" s="507"/>
      <c r="HZ18" s="507"/>
      <c r="IA18" s="507"/>
      <c r="IB18" s="507"/>
      <c r="IC18" s="507"/>
      <c r="ID18" s="507"/>
      <c r="IE18" s="507"/>
      <c r="IF18" s="507"/>
      <c r="IG18" s="507"/>
      <c r="IH18" s="507"/>
      <c r="II18" s="507"/>
      <c r="IJ18" s="507"/>
      <c r="IK18" s="507"/>
      <c r="IL18" s="507"/>
      <c r="IM18" s="507"/>
      <c r="IN18" s="507"/>
      <c r="IO18" s="507"/>
      <c r="IP18" s="507"/>
      <c r="IQ18" s="507"/>
      <c r="IR18" s="507"/>
      <c r="IS18" s="507"/>
      <c r="IT18" s="507"/>
      <c r="IU18" s="507"/>
      <c r="IV18" s="507"/>
    </row>
    <row r="19" spans="1:256" s="64" customFormat="1" ht="12.75" customHeight="1">
      <c r="A19" s="161" t="s">
        <v>86</v>
      </c>
      <c r="B19" s="165" t="s">
        <v>78</v>
      </c>
      <c r="C19" s="162">
        <f>SUM(C20:C28)</f>
        <v>61528639</v>
      </c>
      <c r="D19" s="162">
        <f>SUM(D20:D28)</f>
        <v>49540000</v>
      </c>
      <c r="E19" s="162">
        <f>SUM(E20:E28)</f>
        <v>49540000</v>
      </c>
      <c r="F19" s="162">
        <f>SUM(F20:F28)</f>
        <v>49540000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508" customFormat="1" ht="12.75" customHeight="1">
      <c r="A20" s="504" t="s">
        <v>59</v>
      </c>
      <c r="B20" s="510" t="s">
        <v>669</v>
      </c>
      <c r="C20" s="506">
        <v>5033402</v>
      </c>
      <c r="D20" s="506">
        <v>4000000</v>
      </c>
      <c r="E20" s="506">
        <v>4000000</v>
      </c>
      <c r="F20" s="506">
        <v>4000000</v>
      </c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7"/>
      <c r="DU20" s="507"/>
      <c r="DV20" s="507"/>
      <c r="DW20" s="507"/>
      <c r="DX20" s="507"/>
      <c r="DY20" s="507"/>
      <c r="DZ20" s="507"/>
      <c r="EA20" s="507"/>
      <c r="EB20" s="507"/>
      <c r="EC20" s="507"/>
      <c r="ED20" s="507"/>
      <c r="EE20" s="507"/>
      <c r="EF20" s="507"/>
      <c r="EG20" s="507"/>
      <c r="EH20" s="507"/>
      <c r="EI20" s="507"/>
      <c r="EJ20" s="507"/>
      <c r="EK20" s="507"/>
      <c r="EL20" s="507"/>
      <c r="EM20" s="507"/>
      <c r="EN20" s="507"/>
      <c r="EO20" s="507"/>
      <c r="EP20" s="507"/>
      <c r="EQ20" s="507"/>
      <c r="ER20" s="507"/>
      <c r="ES20" s="507"/>
      <c r="ET20" s="507"/>
      <c r="EU20" s="507"/>
      <c r="EV20" s="507"/>
      <c r="EW20" s="507"/>
      <c r="EX20" s="507"/>
      <c r="EY20" s="507"/>
      <c r="EZ20" s="507"/>
      <c r="FA20" s="507"/>
      <c r="FB20" s="507"/>
      <c r="FC20" s="507"/>
      <c r="FD20" s="507"/>
      <c r="FE20" s="507"/>
      <c r="FF20" s="507"/>
      <c r="FG20" s="507"/>
      <c r="FH20" s="507"/>
      <c r="FI20" s="507"/>
      <c r="FJ20" s="507"/>
      <c r="FK20" s="507"/>
      <c r="FL20" s="507"/>
      <c r="FM20" s="507"/>
      <c r="FN20" s="507"/>
      <c r="FO20" s="507"/>
      <c r="FP20" s="507"/>
      <c r="FQ20" s="507"/>
      <c r="FR20" s="507"/>
      <c r="FS20" s="507"/>
      <c r="FT20" s="507"/>
      <c r="FU20" s="507"/>
      <c r="FV20" s="507"/>
      <c r="FW20" s="507"/>
      <c r="FX20" s="507"/>
      <c r="FY20" s="507"/>
      <c r="FZ20" s="507"/>
      <c r="GA20" s="507"/>
      <c r="GB20" s="507"/>
      <c r="GC20" s="507"/>
      <c r="GD20" s="507"/>
      <c r="GE20" s="507"/>
      <c r="GF20" s="507"/>
      <c r="GG20" s="507"/>
      <c r="GH20" s="507"/>
      <c r="GI20" s="507"/>
      <c r="GJ20" s="507"/>
      <c r="GK20" s="507"/>
      <c r="GL20" s="507"/>
      <c r="GM20" s="507"/>
      <c r="GN20" s="507"/>
      <c r="GO20" s="507"/>
      <c r="GP20" s="507"/>
      <c r="GQ20" s="507"/>
      <c r="GR20" s="507"/>
      <c r="GS20" s="507"/>
      <c r="GT20" s="507"/>
      <c r="GU20" s="507"/>
      <c r="GV20" s="507"/>
      <c r="GW20" s="507"/>
      <c r="GX20" s="507"/>
      <c r="GY20" s="507"/>
      <c r="GZ20" s="507"/>
      <c r="HA20" s="507"/>
      <c r="HB20" s="507"/>
      <c r="HC20" s="507"/>
      <c r="HD20" s="507"/>
      <c r="HE20" s="507"/>
      <c r="HF20" s="507"/>
      <c r="HG20" s="507"/>
      <c r="HH20" s="507"/>
      <c r="HI20" s="507"/>
      <c r="HJ20" s="507"/>
      <c r="HK20" s="507"/>
      <c r="HL20" s="507"/>
      <c r="HM20" s="507"/>
      <c r="HN20" s="507"/>
      <c r="HO20" s="507"/>
      <c r="HP20" s="507"/>
      <c r="HQ20" s="507"/>
      <c r="HR20" s="507"/>
      <c r="HS20" s="507"/>
      <c r="HT20" s="507"/>
      <c r="HU20" s="507"/>
      <c r="HV20" s="507"/>
      <c r="HW20" s="507"/>
      <c r="HX20" s="507"/>
      <c r="HY20" s="507"/>
      <c r="HZ20" s="507"/>
      <c r="IA20" s="507"/>
      <c r="IB20" s="507"/>
      <c r="IC20" s="507"/>
      <c r="ID20" s="507"/>
      <c r="IE20" s="507"/>
      <c r="IF20" s="507"/>
      <c r="IG20" s="507"/>
      <c r="IH20" s="507"/>
      <c r="II20" s="507"/>
      <c r="IJ20" s="507"/>
      <c r="IK20" s="507"/>
      <c r="IL20" s="507"/>
      <c r="IM20" s="507"/>
      <c r="IN20" s="507"/>
      <c r="IO20" s="507"/>
      <c r="IP20" s="507"/>
      <c r="IQ20" s="507"/>
      <c r="IR20" s="507"/>
      <c r="IS20" s="507"/>
      <c r="IT20" s="507"/>
      <c r="IU20" s="507"/>
      <c r="IV20" s="507"/>
    </row>
    <row r="21" spans="1:256" s="508" customFormat="1" ht="12.75" customHeight="1">
      <c r="A21" s="509" t="s">
        <v>61</v>
      </c>
      <c r="B21" s="505" t="s">
        <v>664</v>
      </c>
      <c r="C21" s="506">
        <v>17435390</v>
      </c>
      <c r="D21" s="506">
        <v>6700000</v>
      </c>
      <c r="E21" s="506">
        <v>6700000</v>
      </c>
      <c r="F21" s="506">
        <v>6700000</v>
      </c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7"/>
      <c r="DN21" s="507"/>
      <c r="DO21" s="507"/>
      <c r="DP21" s="507"/>
      <c r="DQ21" s="507"/>
      <c r="DR21" s="507"/>
      <c r="DS21" s="507"/>
      <c r="DT21" s="507"/>
      <c r="DU21" s="507"/>
      <c r="DV21" s="507"/>
      <c r="DW21" s="507"/>
      <c r="DX21" s="507"/>
      <c r="DY21" s="507"/>
      <c r="DZ21" s="507"/>
      <c r="EA21" s="507"/>
      <c r="EB21" s="507"/>
      <c r="EC21" s="507"/>
      <c r="ED21" s="507"/>
      <c r="EE21" s="507"/>
      <c r="EF21" s="507"/>
      <c r="EG21" s="507"/>
      <c r="EH21" s="507"/>
      <c r="EI21" s="507"/>
      <c r="EJ21" s="507"/>
      <c r="EK21" s="507"/>
      <c r="EL21" s="507"/>
      <c r="EM21" s="507"/>
      <c r="EN21" s="507"/>
      <c r="EO21" s="507"/>
      <c r="EP21" s="507"/>
      <c r="EQ21" s="507"/>
      <c r="ER21" s="507"/>
      <c r="ES21" s="507"/>
      <c r="ET21" s="507"/>
      <c r="EU21" s="507"/>
      <c r="EV21" s="507"/>
      <c r="EW21" s="507"/>
      <c r="EX21" s="507"/>
      <c r="EY21" s="507"/>
      <c r="EZ21" s="507"/>
      <c r="FA21" s="507"/>
      <c r="FB21" s="507"/>
      <c r="FC21" s="507"/>
      <c r="FD21" s="507"/>
      <c r="FE21" s="507"/>
      <c r="FF21" s="507"/>
      <c r="FG21" s="507"/>
      <c r="FH21" s="507"/>
      <c r="FI21" s="507"/>
      <c r="FJ21" s="507"/>
      <c r="FK21" s="507"/>
      <c r="FL21" s="507"/>
      <c r="FM21" s="507"/>
      <c r="FN21" s="507"/>
      <c r="FO21" s="507"/>
      <c r="FP21" s="507"/>
      <c r="FQ21" s="507"/>
      <c r="FR21" s="507"/>
      <c r="FS21" s="507"/>
      <c r="FT21" s="507"/>
      <c r="FU21" s="507"/>
      <c r="FV21" s="507"/>
      <c r="FW21" s="507"/>
      <c r="FX21" s="507"/>
      <c r="FY21" s="507"/>
      <c r="FZ21" s="507"/>
      <c r="GA21" s="507"/>
      <c r="GB21" s="507"/>
      <c r="GC21" s="507"/>
      <c r="GD21" s="507"/>
      <c r="GE21" s="507"/>
      <c r="GF21" s="507"/>
      <c r="GG21" s="507"/>
      <c r="GH21" s="507"/>
      <c r="GI21" s="507"/>
      <c r="GJ21" s="507"/>
      <c r="GK21" s="507"/>
      <c r="GL21" s="507"/>
      <c r="GM21" s="507"/>
      <c r="GN21" s="507"/>
      <c r="GO21" s="507"/>
      <c r="GP21" s="507"/>
      <c r="GQ21" s="507"/>
      <c r="GR21" s="507"/>
      <c r="GS21" s="507"/>
      <c r="GT21" s="507"/>
      <c r="GU21" s="507"/>
      <c r="GV21" s="507"/>
      <c r="GW21" s="507"/>
      <c r="GX21" s="507"/>
      <c r="GY21" s="507"/>
      <c r="GZ21" s="507"/>
      <c r="HA21" s="507"/>
      <c r="HB21" s="507"/>
      <c r="HC21" s="507"/>
      <c r="HD21" s="507"/>
      <c r="HE21" s="507"/>
      <c r="HF21" s="507"/>
      <c r="HG21" s="507"/>
      <c r="HH21" s="507"/>
      <c r="HI21" s="507"/>
      <c r="HJ21" s="507"/>
      <c r="HK21" s="507"/>
      <c r="HL21" s="507"/>
      <c r="HM21" s="507"/>
      <c r="HN21" s="507"/>
      <c r="HO21" s="507"/>
      <c r="HP21" s="507"/>
      <c r="HQ21" s="507"/>
      <c r="HR21" s="507"/>
      <c r="HS21" s="507"/>
      <c r="HT21" s="507"/>
      <c r="HU21" s="507"/>
      <c r="HV21" s="507"/>
      <c r="HW21" s="507"/>
      <c r="HX21" s="507"/>
      <c r="HY21" s="507"/>
      <c r="HZ21" s="507"/>
      <c r="IA21" s="507"/>
      <c r="IB21" s="507"/>
      <c r="IC21" s="507"/>
      <c r="ID21" s="507"/>
      <c r="IE21" s="507"/>
      <c r="IF21" s="507"/>
      <c r="IG21" s="507"/>
      <c r="IH21" s="507"/>
      <c r="II21" s="507"/>
      <c r="IJ21" s="507"/>
      <c r="IK21" s="507"/>
      <c r="IL21" s="507"/>
      <c r="IM21" s="507"/>
      <c r="IN21" s="507"/>
      <c r="IO21" s="507"/>
      <c r="IP21" s="507"/>
      <c r="IQ21" s="507"/>
      <c r="IR21" s="507"/>
      <c r="IS21" s="507"/>
      <c r="IT21" s="507"/>
      <c r="IU21" s="507"/>
      <c r="IV21" s="507"/>
    </row>
    <row r="22" spans="1:256" s="508" customFormat="1" ht="12.75" customHeight="1">
      <c r="A22" s="504" t="s">
        <v>63</v>
      </c>
      <c r="B22" s="505" t="s">
        <v>665</v>
      </c>
      <c r="C22" s="506">
        <v>1204677</v>
      </c>
      <c r="D22" s="506">
        <v>1640000</v>
      </c>
      <c r="E22" s="506">
        <v>1640000</v>
      </c>
      <c r="F22" s="506">
        <v>1640000</v>
      </c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7"/>
      <c r="DU22" s="507"/>
      <c r="DV22" s="507"/>
      <c r="DW22" s="507"/>
      <c r="DX22" s="507"/>
      <c r="DY22" s="507"/>
      <c r="DZ22" s="507"/>
      <c r="EA22" s="507"/>
      <c r="EB22" s="507"/>
      <c r="EC22" s="507"/>
      <c r="ED22" s="507"/>
      <c r="EE22" s="507"/>
      <c r="EF22" s="507"/>
      <c r="EG22" s="507"/>
      <c r="EH22" s="507"/>
      <c r="EI22" s="507"/>
      <c r="EJ22" s="507"/>
      <c r="EK22" s="507"/>
      <c r="EL22" s="507"/>
      <c r="EM22" s="507"/>
      <c r="EN22" s="507"/>
      <c r="EO22" s="507"/>
      <c r="EP22" s="507"/>
      <c r="EQ22" s="507"/>
      <c r="ER22" s="507"/>
      <c r="ES22" s="507"/>
      <c r="ET22" s="507"/>
      <c r="EU22" s="507"/>
      <c r="EV22" s="507"/>
      <c r="EW22" s="507"/>
      <c r="EX22" s="507"/>
      <c r="EY22" s="507"/>
      <c r="EZ22" s="507"/>
      <c r="FA22" s="507"/>
      <c r="FB22" s="507"/>
      <c r="FC22" s="507"/>
      <c r="FD22" s="507"/>
      <c r="FE22" s="507"/>
      <c r="FF22" s="507"/>
      <c r="FG22" s="507"/>
      <c r="FH22" s="507"/>
      <c r="FI22" s="507"/>
      <c r="FJ22" s="507"/>
      <c r="FK22" s="507"/>
      <c r="FL22" s="507"/>
      <c r="FM22" s="507"/>
      <c r="FN22" s="507"/>
      <c r="FO22" s="507"/>
      <c r="FP22" s="507"/>
      <c r="FQ22" s="507"/>
      <c r="FR22" s="507"/>
      <c r="FS22" s="507"/>
      <c r="FT22" s="507"/>
      <c r="FU22" s="507"/>
      <c r="FV22" s="507"/>
      <c r="FW22" s="507"/>
      <c r="FX22" s="507"/>
      <c r="FY22" s="507"/>
      <c r="FZ22" s="507"/>
      <c r="GA22" s="507"/>
      <c r="GB22" s="507"/>
      <c r="GC22" s="507"/>
      <c r="GD22" s="507"/>
      <c r="GE22" s="507"/>
      <c r="GF22" s="507"/>
      <c r="GG22" s="507"/>
      <c r="GH22" s="507"/>
      <c r="GI22" s="507"/>
      <c r="GJ22" s="507"/>
      <c r="GK22" s="507"/>
      <c r="GL22" s="507"/>
      <c r="GM22" s="507"/>
      <c r="GN22" s="507"/>
      <c r="GO22" s="507"/>
      <c r="GP22" s="507"/>
      <c r="GQ22" s="507"/>
      <c r="GR22" s="507"/>
      <c r="GS22" s="507"/>
      <c r="GT22" s="507"/>
      <c r="GU22" s="507"/>
      <c r="GV22" s="507"/>
      <c r="GW22" s="507"/>
      <c r="GX22" s="507"/>
      <c r="GY22" s="507"/>
      <c r="GZ22" s="507"/>
      <c r="HA22" s="507"/>
      <c r="HB22" s="507"/>
      <c r="HC22" s="507"/>
      <c r="HD22" s="507"/>
      <c r="HE22" s="507"/>
      <c r="HF22" s="507"/>
      <c r="HG22" s="507"/>
      <c r="HH22" s="507"/>
      <c r="HI22" s="507"/>
      <c r="HJ22" s="507"/>
      <c r="HK22" s="507"/>
      <c r="HL22" s="507"/>
      <c r="HM22" s="507"/>
      <c r="HN22" s="507"/>
      <c r="HO22" s="507"/>
      <c r="HP22" s="507"/>
      <c r="HQ22" s="507"/>
      <c r="HR22" s="507"/>
      <c r="HS22" s="507"/>
      <c r="HT22" s="507"/>
      <c r="HU22" s="507"/>
      <c r="HV22" s="507"/>
      <c r="HW22" s="507"/>
      <c r="HX22" s="507"/>
      <c r="HY22" s="507"/>
      <c r="HZ22" s="507"/>
      <c r="IA22" s="507"/>
      <c r="IB22" s="507"/>
      <c r="IC22" s="507"/>
      <c r="ID22" s="507"/>
      <c r="IE22" s="507"/>
      <c r="IF22" s="507"/>
      <c r="IG22" s="507"/>
      <c r="IH22" s="507"/>
      <c r="II22" s="507"/>
      <c r="IJ22" s="507"/>
      <c r="IK22" s="507"/>
      <c r="IL22" s="507"/>
      <c r="IM22" s="507"/>
      <c r="IN22" s="507"/>
      <c r="IO22" s="507"/>
      <c r="IP22" s="507"/>
      <c r="IQ22" s="507"/>
      <c r="IR22" s="507"/>
      <c r="IS22" s="507"/>
      <c r="IT22" s="507"/>
      <c r="IU22" s="507"/>
      <c r="IV22" s="507"/>
    </row>
    <row r="23" spans="1:256" s="508" customFormat="1" ht="12.75" customHeight="1">
      <c r="A23" s="509" t="s">
        <v>65</v>
      </c>
      <c r="B23" s="505" t="s">
        <v>1022</v>
      </c>
      <c r="C23" s="506">
        <v>18692184</v>
      </c>
      <c r="D23" s="506">
        <v>21000000</v>
      </c>
      <c r="E23" s="506">
        <v>21000000</v>
      </c>
      <c r="F23" s="506">
        <v>21000000</v>
      </c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507"/>
      <c r="DE23" s="507"/>
      <c r="DF23" s="507"/>
      <c r="DG23" s="507"/>
      <c r="DH23" s="507"/>
      <c r="DI23" s="507"/>
      <c r="DJ23" s="507"/>
      <c r="DK23" s="507"/>
      <c r="DL23" s="507"/>
      <c r="DM23" s="507"/>
      <c r="DN23" s="507"/>
      <c r="DO23" s="507"/>
      <c r="DP23" s="507"/>
      <c r="DQ23" s="507"/>
      <c r="DR23" s="507"/>
      <c r="DS23" s="507"/>
      <c r="DT23" s="507"/>
      <c r="DU23" s="507"/>
      <c r="DV23" s="507"/>
      <c r="DW23" s="507"/>
      <c r="DX23" s="507"/>
      <c r="DY23" s="507"/>
      <c r="DZ23" s="507"/>
      <c r="EA23" s="507"/>
      <c r="EB23" s="507"/>
      <c r="EC23" s="507"/>
      <c r="ED23" s="507"/>
      <c r="EE23" s="507"/>
      <c r="EF23" s="507"/>
      <c r="EG23" s="507"/>
      <c r="EH23" s="507"/>
      <c r="EI23" s="507"/>
      <c r="EJ23" s="507"/>
      <c r="EK23" s="507"/>
      <c r="EL23" s="507"/>
      <c r="EM23" s="507"/>
      <c r="EN23" s="507"/>
      <c r="EO23" s="507"/>
      <c r="EP23" s="507"/>
      <c r="EQ23" s="507"/>
      <c r="ER23" s="507"/>
      <c r="ES23" s="507"/>
      <c r="ET23" s="507"/>
      <c r="EU23" s="507"/>
      <c r="EV23" s="507"/>
      <c r="EW23" s="507"/>
      <c r="EX23" s="507"/>
      <c r="EY23" s="507"/>
      <c r="EZ23" s="507"/>
      <c r="FA23" s="507"/>
      <c r="FB23" s="507"/>
      <c r="FC23" s="507"/>
      <c r="FD23" s="507"/>
      <c r="FE23" s="507"/>
      <c r="FF23" s="507"/>
      <c r="FG23" s="507"/>
      <c r="FH23" s="507"/>
      <c r="FI23" s="507"/>
      <c r="FJ23" s="507"/>
      <c r="FK23" s="507"/>
      <c r="FL23" s="507"/>
      <c r="FM23" s="507"/>
      <c r="FN23" s="507"/>
      <c r="FO23" s="507"/>
      <c r="FP23" s="507"/>
      <c r="FQ23" s="507"/>
      <c r="FR23" s="507"/>
      <c r="FS23" s="507"/>
      <c r="FT23" s="507"/>
      <c r="FU23" s="507"/>
      <c r="FV23" s="507"/>
      <c r="FW23" s="507"/>
      <c r="FX23" s="507"/>
      <c r="FY23" s="507"/>
      <c r="FZ23" s="507"/>
      <c r="GA23" s="507"/>
      <c r="GB23" s="507"/>
      <c r="GC23" s="507"/>
      <c r="GD23" s="507"/>
      <c r="GE23" s="507"/>
      <c r="GF23" s="507"/>
      <c r="GG23" s="507"/>
      <c r="GH23" s="507"/>
      <c r="GI23" s="507"/>
      <c r="GJ23" s="507"/>
      <c r="GK23" s="507"/>
      <c r="GL23" s="507"/>
      <c r="GM23" s="507"/>
      <c r="GN23" s="507"/>
      <c r="GO23" s="507"/>
      <c r="GP23" s="507"/>
      <c r="GQ23" s="507"/>
      <c r="GR23" s="507"/>
      <c r="GS23" s="507"/>
      <c r="GT23" s="507"/>
      <c r="GU23" s="507"/>
      <c r="GV23" s="507"/>
      <c r="GW23" s="507"/>
      <c r="GX23" s="507"/>
      <c r="GY23" s="507"/>
      <c r="GZ23" s="507"/>
      <c r="HA23" s="507"/>
      <c r="HB23" s="507"/>
      <c r="HC23" s="507"/>
      <c r="HD23" s="507"/>
      <c r="HE23" s="507"/>
      <c r="HF23" s="507"/>
      <c r="HG23" s="507"/>
      <c r="HH23" s="507"/>
      <c r="HI23" s="507"/>
      <c r="HJ23" s="507"/>
      <c r="HK23" s="507"/>
      <c r="HL23" s="507"/>
      <c r="HM23" s="507"/>
      <c r="HN23" s="507"/>
      <c r="HO23" s="507"/>
      <c r="HP23" s="507"/>
      <c r="HQ23" s="507"/>
      <c r="HR23" s="507"/>
      <c r="HS23" s="507"/>
      <c r="HT23" s="507"/>
      <c r="HU23" s="507"/>
      <c r="HV23" s="507"/>
      <c r="HW23" s="507"/>
      <c r="HX23" s="507"/>
      <c r="HY23" s="507"/>
      <c r="HZ23" s="507"/>
      <c r="IA23" s="507"/>
      <c r="IB23" s="507"/>
      <c r="IC23" s="507"/>
      <c r="ID23" s="507"/>
      <c r="IE23" s="507"/>
      <c r="IF23" s="507"/>
      <c r="IG23" s="507"/>
      <c r="IH23" s="507"/>
      <c r="II23" s="507"/>
      <c r="IJ23" s="507"/>
      <c r="IK23" s="507"/>
      <c r="IL23" s="507"/>
      <c r="IM23" s="507"/>
      <c r="IN23" s="507"/>
      <c r="IO23" s="507"/>
      <c r="IP23" s="507"/>
      <c r="IQ23" s="507"/>
      <c r="IR23" s="507"/>
      <c r="IS23" s="507"/>
      <c r="IT23" s="507"/>
      <c r="IU23" s="507"/>
      <c r="IV23" s="507"/>
    </row>
    <row r="24" spans="1:256" s="508" customFormat="1" ht="12.75" customHeight="1">
      <c r="A24" s="509" t="s">
        <v>92</v>
      </c>
      <c r="B24" s="505" t="s">
        <v>666</v>
      </c>
      <c r="C24" s="506">
        <v>18540726</v>
      </c>
      <c r="D24" s="506">
        <v>16200000</v>
      </c>
      <c r="E24" s="506">
        <v>16200000</v>
      </c>
      <c r="F24" s="506">
        <v>16200000</v>
      </c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7"/>
      <c r="CN24" s="507"/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507"/>
      <c r="DC24" s="507"/>
      <c r="DD24" s="507"/>
      <c r="DE24" s="507"/>
      <c r="DF24" s="507"/>
      <c r="DG24" s="507"/>
      <c r="DH24" s="507"/>
      <c r="DI24" s="507"/>
      <c r="DJ24" s="507"/>
      <c r="DK24" s="507"/>
      <c r="DL24" s="507"/>
      <c r="DM24" s="507"/>
      <c r="DN24" s="507"/>
      <c r="DO24" s="507"/>
      <c r="DP24" s="507"/>
      <c r="DQ24" s="507"/>
      <c r="DR24" s="507"/>
      <c r="DS24" s="507"/>
      <c r="DT24" s="507"/>
      <c r="DU24" s="507"/>
      <c r="DV24" s="507"/>
      <c r="DW24" s="507"/>
      <c r="DX24" s="507"/>
      <c r="DY24" s="507"/>
      <c r="DZ24" s="507"/>
      <c r="EA24" s="507"/>
      <c r="EB24" s="507"/>
      <c r="EC24" s="507"/>
      <c r="ED24" s="507"/>
      <c r="EE24" s="507"/>
      <c r="EF24" s="507"/>
      <c r="EG24" s="507"/>
      <c r="EH24" s="507"/>
      <c r="EI24" s="507"/>
      <c r="EJ24" s="507"/>
      <c r="EK24" s="507"/>
      <c r="EL24" s="507"/>
      <c r="EM24" s="507"/>
      <c r="EN24" s="507"/>
      <c r="EO24" s="507"/>
      <c r="EP24" s="507"/>
      <c r="EQ24" s="507"/>
      <c r="ER24" s="507"/>
      <c r="ES24" s="507"/>
      <c r="ET24" s="507"/>
      <c r="EU24" s="507"/>
      <c r="EV24" s="507"/>
      <c r="EW24" s="507"/>
      <c r="EX24" s="507"/>
      <c r="EY24" s="507"/>
      <c r="EZ24" s="507"/>
      <c r="FA24" s="507"/>
      <c r="FB24" s="507"/>
      <c r="FC24" s="507"/>
      <c r="FD24" s="507"/>
      <c r="FE24" s="507"/>
      <c r="FF24" s="507"/>
      <c r="FG24" s="507"/>
      <c r="FH24" s="507"/>
      <c r="FI24" s="507"/>
      <c r="FJ24" s="507"/>
      <c r="FK24" s="507"/>
      <c r="FL24" s="507"/>
      <c r="FM24" s="507"/>
      <c r="FN24" s="507"/>
      <c r="FO24" s="507"/>
      <c r="FP24" s="507"/>
      <c r="FQ24" s="507"/>
      <c r="FR24" s="507"/>
      <c r="FS24" s="507"/>
      <c r="FT24" s="507"/>
      <c r="FU24" s="507"/>
      <c r="FV24" s="507"/>
      <c r="FW24" s="507"/>
      <c r="FX24" s="507"/>
      <c r="FY24" s="507"/>
      <c r="FZ24" s="507"/>
      <c r="GA24" s="507"/>
      <c r="GB24" s="507"/>
      <c r="GC24" s="507"/>
      <c r="GD24" s="507"/>
      <c r="GE24" s="507"/>
      <c r="GF24" s="507"/>
      <c r="GG24" s="507"/>
      <c r="GH24" s="507"/>
      <c r="GI24" s="507"/>
      <c r="GJ24" s="507"/>
      <c r="GK24" s="507"/>
      <c r="GL24" s="507"/>
      <c r="GM24" s="507"/>
      <c r="GN24" s="507"/>
      <c r="GO24" s="507"/>
      <c r="GP24" s="507"/>
      <c r="GQ24" s="507"/>
      <c r="GR24" s="507"/>
      <c r="GS24" s="507"/>
      <c r="GT24" s="507"/>
      <c r="GU24" s="507"/>
      <c r="GV24" s="507"/>
      <c r="GW24" s="507"/>
      <c r="GX24" s="507"/>
      <c r="GY24" s="507"/>
      <c r="GZ24" s="507"/>
      <c r="HA24" s="507"/>
      <c r="HB24" s="507"/>
      <c r="HC24" s="507"/>
      <c r="HD24" s="507"/>
      <c r="HE24" s="507"/>
      <c r="HF24" s="507"/>
      <c r="HG24" s="507"/>
      <c r="HH24" s="507"/>
      <c r="HI24" s="507"/>
      <c r="HJ24" s="507"/>
      <c r="HK24" s="507"/>
      <c r="HL24" s="507"/>
      <c r="HM24" s="507"/>
      <c r="HN24" s="507"/>
      <c r="HO24" s="507"/>
      <c r="HP24" s="507"/>
      <c r="HQ24" s="507"/>
      <c r="HR24" s="507"/>
      <c r="HS24" s="507"/>
      <c r="HT24" s="507"/>
      <c r="HU24" s="507"/>
      <c r="HV24" s="507"/>
      <c r="HW24" s="507"/>
      <c r="HX24" s="507"/>
      <c r="HY24" s="507"/>
      <c r="HZ24" s="507"/>
      <c r="IA24" s="507"/>
      <c r="IB24" s="507"/>
      <c r="IC24" s="507"/>
      <c r="ID24" s="507"/>
      <c r="IE24" s="507"/>
      <c r="IF24" s="507"/>
      <c r="IG24" s="507"/>
      <c r="IH24" s="507"/>
      <c r="II24" s="507"/>
      <c r="IJ24" s="507"/>
      <c r="IK24" s="507"/>
      <c r="IL24" s="507"/>
      <c r="IM24" s="507"/>
      <c r="IN24" s="507"/>
      <c r="IO24" s="507"/>
      <c r="IP24" s="507"/>
      <c r="IQ24" s="507"/>
      <c r="IR24" s="507"/>
      <c r="IS24" s="507"/>
      <c r="IT24" s="507"/>
      <c r="IU24" s="507"/>
      <c r="IV24" s="507"/>
    </row>
    <row r="25" spans="1:256" s="508" customFormat="1" ht="12.75" customHeight="1">
      <c r="A25" s="509" t="s">
        <v>66</v>
      </c>
      <c r="B25" s="505" t="s">
        <v>699</v>
      </c>
      <c r="C25" s="506">
        <v>287000</v>
      </c>
      <c r="D25" s="506">
        <v>0</v>
      </c>
      <c r="E25" s="506"/>
      <c r="F25" s="506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507"/>
      <c r="DK25" s="507"/>
      <c r="DL25" s="507"/>
      <c r="DM25" s="507"/>
      <c r="DN25" s="507"/>
      <c r="DO25" s="507"/>
      <c r="DP25" s="507"/>
      <c r="DQ25" s="507"/>
      <c r="DR25" s="507"/>
      <c r="DS25" s="507"/>
      <c r="DT25" s="507"/>
      <c r="DU25" s="507"/>
      <c r="DV25" s="507"/>
      <c r="DW25" s="507"/>
      <c r="DX25" s="507"/>
      <c r="DY25" s="507"/>
      <c r="DZ25" s="507"/>
      <c r="EA25" s="507"/>
      <c r="EB25" s="507"/>
      <c r="EC25" s="507"/>
      <c r="ED25" s="507"/>
      <c r="EE25" s="507"/>
      <c r="EF25" s="507"/>
      <c r="EG25" s="507"/>
      <c r="EH25" s="507"/>
      <c r="EI25" s="507"/>
      <c r="EJ25" s="507"/>
      <c r="EK25" s="507"/>
      <c r="EL25" s="507"/>
      <c r="EM25" s="507"/>
      <c r="EN25" s="507"/>
      <c r="EO25" s="507"/>
      <c r="EP25" s="507"/>
      <c r="EQ25" s="507"/>
      <c r="ER25" s="507"/>
      <c r="ES25" s="507"/>
      <c r="ET25" s="507"/>
      <c r="EU25" s="507"/>
      <c r="EV25" s="507"/>
      <c r="EW25" s="507"/>
      <c r="EX25" s="507"/>
      <c r="EY25" s="507"/>
      <c r="EZ25" s="507"/>
      <c r="FA25" s="507"/>
      <c r="FB25" s="507"/>
      <c r="FC25" s="507"/>
      <c r="FD25" s="507"/>
      <c r="FE25" s="507"/>
      <c r="FF25" s="507"/>
      <c r="FG25" s="507"/>
      <c r="FH25" s="507"/>
      <c r="FI25" s="507"/>
      <c r="FJ25" s="507"/>
      <c r="FK25" s="507"/>
      <c r="FL25" s="507"/>
      <c r="FM25" s="507"/>
      <c r="FN25" s="507"/>
      <c r="FO25" s="507"/>
      <c r="FP25" s="507"/>
      <c r="FQ25" s="507"/>
      <c r="FR25" s="507"/>
      <c r="FS25" s="507"/>
      <c r="FT25" s="507"/>
      <c r="FU25" s="507"/>
      <c r="FV25" s="507"/>
      <c r="FW25" s="507"/>
      <c r="FX25" s="507"/>
      <c r="FY25" s="507"/>
      <c r="FZ25" s="507"/>
      <c r="GA25" s="507"/>
      <c r="GB25" s="507"/>
      <c r="GC25" s="507"/>
      <c r="GD25" s="507"/>
      <c r="GE25" s="507"/>
      <c r="GF25" s="507"/>
      <c r="GG25" s="507"/>
      <c r="GH25" s="507"/>
      <c r="GI25" s="507"/>
      <c r="GJ25" s="507"/>
      <c r="GK25" s="507"/>
      <c r="GL25" s="507"/>
      <c r="GM25" s="507"/>
      <c r="GN25" s="507"/>
      <c r="GO25" s="507"/>
      <c r="GP25" s="507"/>
      <c r="GQ25" s="507"/>
      <c r="GR25" s="507"/>
      <c r="GS25" s="507"/>
      <c r="GT25" s="507"/>
      <c r="GU25" s="507"/>
      <c r="GV25" s="507"/>
      <c r="GW25" s="507"/>
      <c r="GX25" s="507"/>
      <c r="GY25" s="507"/>
      <c r="GZ25" s="507"/>
      <c r="HA25" s="507"/>
      <c r="HB25" s="507"/>
      <c r="HC25" s="507"/>
      <c r="HD25" s="507"/>
      <c r="HE25" s="507"/>
      <c r="HF25" s="507"/>
      <c r="HG25" s="507"/>
      <c r="HH25" s="507"/>
      <c r="HI25" s="507"/>
      <c r="HJ25" s="507"/>
      <c r="HK25" s="507"/>
      <c r="HL25" s="507"/>
      <c r="HM25" s="507"/>
      <c r="HN25" s="507"/>
      <c r="HO25" s="507"/>
      <c r="HP25" s="507"/>
      <c r="HQ25" s="507"/>
      <c r="HR25" s="507"/>
      <c r="HS25" s="507"/>
      <c r="HT25" s="507"/>
      <c r="HU25" s="507"/>
      <c r="HV25" s="507"/>
      <c r="HW25" s="507"/>
      <c r="HX25" s="507"/>
      <c r="HY25" s="507"/>
      <c r="HZ25" s="507"/>
      <c r="IA25" s="507"/>
      <c r="IB25" s="507"/>
      <c r="IC25" s="507"/>
      <c r="ID25" s="507"/>
      <c r="IE25" s="507"/>
      <c r="IF25" s="507"/>
      <c r="IG25" s="507"/>
      <c r="IH25" s="507"/>
      <c r="II25" s="507"/>
      <c r="IJ25" s="507"/>
      <c r="IK25" s="507"/>
      <c r="IL25" s="507"/>
      <c r="IM25" s="507"/>
      <c r="IN25" s="507"/>
      <c r="IO25" s="507"/>
      <c r="IP25" s="507"/>
      <c r="IQ25" s="507"/>
      <c r="IR25" s="507"/>
      <c r="IS25" s="507"/>
      <c r="IT25" s="507"/>
      <c r="IU25" s="507"/>
      <c r="IV25" s="507"/>
    </row>
    <row r="26" spans="1:256" s="508" customFormat="1" ht="12.75" customHeight="1">
      <c r="A26" s="504" t="s">
        <v>67</v>
      </c>
      <c r="B26" s="505" t="s">
        <v>667</v>
      </c>
      <c r="C26" s="506">
        <v>121</v>
      </c>
      <c r="D26" s="506"/>
      <c r="E26" s="506"/>
      <c r="F26" s="506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7"/>
      <c r="CL26" s="507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7"/>
      <c r="DE26" s="507"/>
      <c r="DF26" s="507"/>
      <c r="DG26" s="507"/>
      <c r="DH26" s="507"/>
      <c r="DI26" s="507"/>
      <c r="DJ26" s="507"/>
      <c r="DK26" s="507"/>
      <c r="DL26" s="507"/>
      <c r="DM26" s="507"/>
      <c r="DN26" s="507"/>
      <c r="DO26" s="507"/>
      <c r="DP26" s="507"/>
      <c r="DQ26" s="507"/>
      <c r="DR26" s="507"/>
      <c r="DS26" s="507"/>
      <c r="DT26" s="507"/>
      <c r="DU26" s="507"/>
      <c r="DV26" s="507"/>
      <c r="DW26" s="507"/>
      <c r="DX26" s="507"/>
      <c r="DY26" s="507"/>
      <c r="DZ26" s="507"/>
      <c r="EA26" s="507"/>
      <c r="EB26" s="507"/>
      <c r="EC26" s="507"/>
      <c r="ED26" s="507"/>
      <c r="EE26" s="507"/>
      <c r="EF26" s="507"/>
      <c r="EG26" s="507"/>
      <c r="EH26" s="507"/>
      <c r="EI26" s="507"/>
      <c r="EJ26" s="507"/>
      <c r="EK26" s="507"/>
      <c r="EL26" s="507"/>
      <c r="EM26" s="507"/>
      <c r="EN26" s="507"/>
      <c r="EO26" s="507"/>
      <c r="EP26" s="507"/>
      <c r="EQ26" s="507"/>
      <c r="ER26" s="507"/>
      <c r="ES26" s="507"/>
      <c r="ET26" s="507"/>
      <c r="EU26" s="507"/>
      <c r="EV26" s="507"/>
      <c r="EW26" s="507"/>
      <c r="EX26" s="507"/>
      <c r="EY26" s="507"/>
      <c r="EZ26" s="507"/>
      <c r="FA26" s="507"/>
      <c r="FB26" s="507"/>
      <c r="FC26" s="507"/>
      <c r="FD26" s="507"/>
      <c r="FE26" s="507"/>
      <c r="FF26" s="507"/>
      <c r="FG26" s="507"/>
      <c r="FH26" s="507"/>
      <c r="FI26" s="507"/>
      <c r="FJ26" s="507"/>
      <c r="FK26" s="507"/>
      <c r="FL26" s="507"/>
      <c r="FM26" s="507"/>
      <c r="FN26" s="507"/>
      <c r="FO26" s="507"/>
      <c r="FP26" s="507"/>
      <c r="FQ26" s="507"/>
      <c r="FR26" s="507"/>
      <c r="FS26" s="507"/>
      <c r="FT26" s="507"/>
      <c r="FU26" s="507"/>
      <c r="FV26" s="507"/>
      <c r="FW26" s="507"/>
      <c r="FX26" s="507"/>
      <c r="FY26" s="507"/>
      <c r="FZ26" s="507"/>
      <c r="GA26" s="507"/>
      <c r="GB26" s="507"/>
      <c r="GC26" s="507"/>
      <c r="GD26" s="507"/>
      <c r="GE26" s="507"/>
      <c r="GF26" s="507"/>
      <c r="GG26" s="507"/>
      <c r="GH26" s="507"/>
      <c r="GI26" s="507"/>
      <c r="GJ26" s="507"/>
      <c r="GK26" s="507"/>
      <c r="GL26" s="507"/>
      <c r="GM26" s="507"/>
      <c r="GN26" s="507"/>
      <c r="GO26" s="507"/>
      <c r="GP26" s="507"/>
      <c r="GQ26" s="507"/>
      <c r="GR26" s="507"/>
      <c r="GS26" s="507"/>
      <c r="GT26" s="507"/>
      <c r="GU26" s="507"/>
      <c r="GV26" s="507"/>
      <c r="GW26" s="507"/>
      <c r="GX26" s="507"/>
      <c r="GY26" s="507"/>
      <c r="GZ26" s="507"/>
      <c r="HA26" s="507"/>
      <c r="HB26" s="507"/>
      <c r="HC26" s="507"/>
      <c r="HD26" s="507"/>
      <c r="HE26" s="507"/>
      <c r="HF26" s="507"/>
      <c r="HG26" s="507"/>
      <c r="HH26" s="507"/>
      <c r="HI26" s="507"/>
      <c r="HJ26" s="507"/>
      <c r="HK26" s="507"/>
      <c r="HL26" s="507"/>
      <c r="HM26" s="507"/>
      <c r="HN26" s="507"/>
      <c r="HO26" s="507"/>
      <c r="HP26" s="507"/>
      <c r="HQ26" s="507"/>
      <c r="HR26" s="507"/>
      <c r="HS26" s="507"/>
      <c r="HT26" s="507"/>
      <c r="HU26" s="507"/>
      <c r="HV26" s="507"/>
      <c r="HW26" s="507"/>
      <c r="HX26" s="507"/>
      <c r="HY26" s="507"/>
      <c r="HZ26" s="507"/>
      <c r="IA26" s="507"/>
      <c r="IB26" s="507"/>
      <c r="IC26" s="507"/>
      <c r="ID26" s="507"/>
      <c r="IE26" s="507"/>
      <c r="IF26" s="507"/>
      <c r="IG26" s="507"/>
      <c r="IH26" s="507"/>
      <c r="II26" s="507"/>
      <c r="IJ26" s="507"/>
      <c r="IK26" s="507"/>
      <c r="IL26" s="507"/>
      <c r="IM26" s="507"/>
      <c r="IN26" s="507"/>
      <c r="IO26" s="507"/>
      <c r="IP26" s="507"/>
      <c r="IQ26" s="507"/>
      <c r="IR26" s="507"/>
      <c r="IS26" s="507"/>
      <c r="IT26" s="507"/>
      <c r="IU26" s="507"/>
      <c r="IV26" s="507"/>
    </row>
    <row r="27" spans="1:256" s="508" customFormat="1" ht="12.75" customHeight="1">
      <c r="A27" s="509" t="s">
        <v>68</v>
      </c>
      <c r="B27" s="505" t="s">
        <v>1023</v>
      </c>
      <c r="C27" s="506">
        <v>0</v>
      </c>
      <c r="D27" s="506"/>
      <c r="E27" s="506"/>
      <c r="F27" s="506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7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7"/>
      <c r="CN27" s="507"/>
      <c r="CO27" s="507"/>
      <c r="CP27" s="507"/>
      <c r="CQ27" s="507"/>
      <c r="CR27" s="507"/>
      <c r="CS27" s="507"/>
      <c r="CT27" s="507"/>
      <c r="CU27" s="507"/>
      <c r="CV27" s="507"/>
      <c r="CW27" s="507"/>
      <c r="CX27" s="507"/>
      <c r="CY27" s="507"/>
      <c r="CZ27" s="507"/>
      <c r="DA27" s="507"/>
      <c r="DB27" s="507"/>
      <c r="DC27" s="507"/>
      <c r="DD27" s="507"/>
      <c r="DE27" s="507"/>
      <c r="DF27" s="507"/>
      <c r="DG27" s="507"/>
      <c r="DH27" s="507"/>
      <c r="DI27" s="507"/>
      <c r="DJ27" s="507"/>
      <c r="DK27" s="507"/>
      <c r="DL27" s="507"/>
      <c r="DM27" s="507"/>
      <c r="DN27" s="507"/>
      <c r="DO27" s="507"/>
      <c r="DP27" s="507"/>
      <c r="DQ27" s="507"/>
      <c r="DR27" s="507"/>
      <c r="DS27" s="507"/>
      <c r="DT27" s="507"/>
      <c r="DU27" s="507"/>
      <c r="DV27" s="507"/>
      <c r="DW27" s="507"/>
      <c r="DX27" s="507"/>
      <c r="DY27" s="507"/>
      <c r="DZ27" s="507"/>
      <c r="EA27" s="507"/>
      <c r="EB27" s="507"/>
      <c r="EC27" s="507"/>
      <c r="ED27" s="507"/>
      <c r="EE27" s="507"/>
      <c r="EF27" s="507"/>
      <c r="EG27" s="507"/>
      <c r="EH27" s="507"/>
      <c r="EI27" s="507"/>
      <c r="EJ27" s="507"/>
      <c r="EK27" s="507"/>
      <c r="EL27" s="507"/>
      <c r="EM27" s="507"/>
      <c r="EN27" s="507"/>
      <c r="EO27" s="507"/>
      <c r="EP27" s="507"/>
      <c r="EQ27" s="507"/>
      <c r="ER27" s="507"/>
      <c r="ES27" s="507"/>
      <c r="ET27" s="507"/>
      <c r="EU27" s="507"/>
      <c r="EV27" s="507"/>
      <c r="EW27" s="507"/>
      <c r="EX27" s="507"/>
      <c r="EY27" s="507"/>
      <c r="EZ27" s="507"/>
      <c r="FA27" s="507"/>
      <c r="FB27" s="507"/>
      <c r="FC27" s="507"/>
      <c r="FD27" s="507"/>
      <c r="FE27" s="507"/>
      <c r="FF27" s="507"/>
      <c r="FG27" s="507"/>
      <c r="FH27" s="507"/>
      <c r="FI27" s="507"/>
      <c r="FJ27" s="507"/>
      <c r="FK27" s="507"/>
      <c r="FL27" s="507"/>
      <c r="FM27" s="507"/>
      <c r="FN27" s="507"/>
      <c r="FO27" s="507"/>
      <c r="FP27" s="507"/>
      <c r="FQ27" s="507"/>
      <c r="FR27" s="507"/>
      <c r="FS27" s="507"/>
      <c r="FT27" s="507"/>
      <c r="FU27" s="507"/>
      <c r="FV27" s="507"/>
      <c r="FW27" s="507"/>
      <c r="FX27" s="507"/>
      <c r="FY27" s="507"/>
      <c r="FZ27" s="507"/>
      <c r="GA27" s="507"/>
      <c r="GB27" s="507"/>
      <c r="GC27" s="507"/>
      <c r="GD27" s="507"/>
      <c r="GE27" s="507"/>
      <c r="GF27" s="507"/>
      <c r="GG27" s="507"/>
      <c r="GH27" s="507"/>
      <c r="GI27" s="507"/>
      <c r="GJ27" s="507"/>
      <c r="GK27" s="507"/>
      <c r="GL27" s="507"/>
      <c r="GM27" s="507"/>
      <c r="GN27" s="507"/>
      <c r="GO27" s="507"/>
      <c r="GP27" s="507"/>
      <c r="GQ27" s="507"/>
      <c r="GR27" s="507"/>
      <c r="GS27" s="507"/>
      <c r="GT27" s="507"/>
      <c r="GU27" s="507"/>
      <c r="GV27" s="507"/>
      <c r="GW27" s="507"/>
      <c r="GX27" s="507"/>
      <c r="GY27" s="507"/>
      <c r="GZ27" s="507"/>
      <c r="HA27" s="507"/>
      <c r="HB27" s="507"/>
      <c r="HC27" s="507"/>
      <c r="HD27" s="507"/>
      <c r="HE27" s="507"/>
      <c r="HF27" s="507"/>
      <c r="HG27" s="507"/>
      <c r="HH27" s="507"/>
      <c r="HI27" s="507"/>
      <c r="HJ27" s="507"/>
      <c r="HK27" s="507"/>
      <c r="HL27" s="507"/>
      <c r="HM27" s="507"/>
      <c r="HN27" s="507"/>
      <c r="HO27" s="507"/>
      <c r="HP27" s="507"/>
      <c r="HQ27" s="507"/>
      <c r="HR27" s="507"/>
      <c r="HS27" s="507"/>
      <c r="HT27" s="507"/>
      <c r="HU27" s="507"/>
      <c r="HV27" s="507"/>
      <c r="HW27" s="507"/>
      <c r="HX27" s="507"/>
      <c r="HY27" s="507"/>
      <c r="HZ27" s="507"/>
      <c r="IA27" s="507"/>
      <c r="IB27" s="507"/>
      <c r="IC27" s="507"/>
      <c r="ID27" s="507"/>
      <c r="IE27" s="507"/>
      <c r="IF27" s="507"/>
      <c r="IG27" s="507"/>
      <c r="IH27" s="507"/>
      <c r="II27" s="507"/>
      <c r="IJ27" s="507"/>
      <c r="IK27" s="507"/>
      <c r="IL27" s="507"/>
      <c r="IM27" s="507"/>
      <c r="IN27" s="507"/>
      <c r="IO27" s="507"/>
      <c r="IP27" s="507"/>
      <c r="IQ27" s="507"/>
      <c r="IR27" s="507"/>
      <c r="IS27" s="507"/>
      <c r="IT27" s="507"/>
      <c r="IU27" s="507"/>
      <c r="IV27" s="507"/>
    </row>
    <row r="28" spans="1:256" s="508" customFormat="1" ht="12.75" customHeight="1">
      <c r="A28" s="509" t="s">
        <v>70</v>
      </c>
      <c r="B28" s="505" t="s">
        <v>668</v>
      </c>
      <c r="C28" s="506">
        <v>335139</v>
      </c>
      <c r="D28" s="506"/>
      <c r="E28" s="506"/>
      <c r="F28" s="506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7"/>
      <c r="CN28" s="507"/>
      <c r="CO28" s="507"/>
      <c r="CP28" s="507"/>
      <c r="CQ28" s="507"/>
      <c r="CR28" s="507"/>
      <c r="CS28" s="507"/>
      <c r="CT28" s="507"/>
      <c r="CU28" s="507"/>
      <c r="CV28" s="507"/>
      <c r="CW28" s="507"/>
      <c r="CX28" s="507"/>
      <c r="CY28" s="507"/>
      <c r="CZ28" s="507"/>
      <c r="DA28" s="507"/>
      <c r="DB28" s="507"/>
      <c r="DC28" s="507"/>
      <c r="DD28" s="507"/>
      <c r="DE28" s="507"/>
      <c r="DF28" s="507"/>
      <c r="DG28" s="507"/>
      <c r="DH28" s="507"/>
      <c r="DI28" s="507"/>
      <c r="DJ28" s="507"/>
      <c r="DK28" s="507"/>
      <c r="DL28" s="507"/>
      <c r="DM28" s="507"/>
      <c r="DN28" s="507"/>
      <c r="DO28" s="507"/>
      <c r="DP28" s="507"/>
      <c r="DQ28" s="507"/>
      <c r="DR28" s="507"/>
      <c r="DS28" s="507"/>
      <c r="DT28" s="507"/>
      <c r="DU28" s="507"/>
      <c r="DV28" s="507"/>
      <c r="DW28" s="507"/>
      <c r="DX28" s="507"/>
      <c r="DY28" s="507"/>
      <c r="DZ28" s="507"/>
      <c r="EA28" s="507"/>
      <c r="EB28" s="507"/>
      <c r="EC28" s="507"/>
      <c r="ED28" s="507"/>
      <c r="EE28" s="507"/>
      <c r="EF28" s="507"/>
      <c r="EG28" s="507"/>
      <c r="EH28" s="507"/>
      <c r="EI28" s="507"/>
      <c r="EJ28" s="507"/>
      <c r="EK28" s="507"/>
      <c r="EL28" s="507"/>
      <c r="EM28" s="507"/>
      <c r="EN28" s="507"/>
      <c r="EO28" s="507"/>
      <c r="EP28" s="507"/>
      <c r="EQ28" s="507"/>
      <c r="ER28" s="507"/>
      <c r="ES28" s="507"/>
      <c r="ET28" s="507"/>
      <c r="EU28" s="507"/>
      <c r="EV28" s="507"/>
      <c r="EW28" s="507"/>
      <c r="EX28" s="507"/>
      <c r="EY28" s="507"/>
      <c r="EZ28" s="507"/>
      <c r="FA28" s="507"/>
      <c r="FB28" s="507"/>
      <c r="FC28" s="507"/>
      <c r="FD28" s="507"/>
      <c r="FE28" s="507"/>
      <c r="FF28" s="507"/>
      <c r="FG28" s="507"/>
      <c r="FH28" s="507"/>
      <c r="FI28" s="507"/>
      <c r="FJ28" s="507"/>
      <c r="FK28" s="507"/>
      <c r="FL28" s="507"/>
      <c r="FM28" s="507"/>
      <c r="FN28" s="507"/>
      <c r="FO28" s="507"/>
      <c r="FP28" s="507"/>
      <c r="FQ28" s="507"/>
      <c r="FR28" s="507"/>
      <c r="FS28" s="507"/>
      <c r="FT28" s="507"/>
      <c r="FU28" s="507"/>
      <c r="FV28" s="507"/>
      <c r="FW28" s="507"/>
      <c r="FX28" s="507"/>
      <c r="FY28" s="507"/>
      <c r="FZ28" s="507"/>
      <c r="GA28" s="507"/>
      <c r="GB28" s="507"/>
      <c r="GC28" s="507"/>
      <c r="GD28" s="507"/>
      <c r="GE28" s="507"/>
      <c r="GF28" s="507"/>
      <c r="GG28" s="507"/>
      <c r="GH28" s="507"/>
      <c r="GI28" s="507"/>
      <c r="GJ28" s="507"/>
      <c r="GK28" s="507"/>
      <c r="GL28" s="507"/>
      <c r="GM28" s="507"/>
      <c r="GN28" s="507"/>
      <c r="GO28" s="507"/>
      <c r="GP28" s="507"/>
      <c r="GQ28" s="507"/>
      <c r="GR28" s="507"/>
      <c r="GS28" s="507"/>
      <c r="GT28" s="507"/>
      <c r="GU28" s="507"/>
      <c r="GV28" s="507"/>
      <c r="GW28" s="507"/>
      <c r="GX28" s="507"/>
      <c r="GY28" s="507"/>
      <c r="GZ28" s="507"/>
      <c r="HA28" s="507"/>
      <c r="HB28" s="507"/>
      <c r="HC28" s="507"/>
      <c r="HD28" s="507"/>
      <c r="HE28" s="507"/>
      <c r="HF28" s="507"/>
      <c r="HG28" s="507"/>
      <c r="HH28" s="507"/>
      <c r="HI28" s="507"/>
      <c r="HJ28" s="507"/>
      <c r="HK28" s="507"/>
      <c r="HL28" s="507"/>
      <c r="HM28" s="507"/>
      <c r="HN28" s="507"/>
      <c r="HO28" s="507"/>
      <c r="HP28" s="507"/>
      <c r="HQ28" s="507"/>
      <c r="HR28" s="507"/>
      <c r="HS28" s="507"/>
      <c r="HT28" s="507"/>
      <c r="HU28" s="507"/>
      <c r="HV28" s="507"/>
      <c r="HW28" s="507"/>
      <c r="HX28" s="507"/>
      <c r="HY28" s="507"/>
      <c r="HZ28" s="507"/>
      <c r="IA28" s="507"/>
      <c r="IB28" s="507"/>
      <c r="IC28" s="507"/>
      <c r="ID28" s="507"/>
      <c r="IE28" s="507"/>
      <c r="IF28" s="507"/>
      <c r="IG28" s="507"/>
      <c r="IH28" s="507"/>
      <c r="II28" s="507"/>
      <c r="IJ28" s="507"/>
      <c r="IK28" s="507"/>
      <c r="IL28" s="507"/>
      <c r="IM28" s="507"/>
      <c r="IN28" s="507"/>
      <c r="IO28" s="507"/>
      <c r="IP28" s="507"/>
      <c r="IQ28" s="507"/>
      <c r="IR28" s="507"/>
      <c r="IS28" s="507"/>
      <c r="IT28" s="507"/>
      <c r="IU28" s="507"/>
      <c r="IV28" s="507"/>
    </row>
    <row r="29" spans="1:256" s="64" customFormat="1" ht="12.75" customHeight="1">
      <c r="A29" s="166" t="s">
        <v>97</v>
      </c>
      <c r="B29" s="165" t="s">
        <v>13</v>
      </c>
      <c r="C29" s="162">
        <v>31357376</v>
      </c>
      <c r="D29" s="162">
        <v>0</v>
      </c>
      <c r="E29" s="162">
        <v>0</v>
      </c>
      <c r="F29" s="162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2.75" customHeight="1">
      <c r="A30" s="161" t="s">
        <v>99</v>
      </c>
      <c r="B30" s="165" t="s">
        <v>185</v>
      </c>
      <c r="C30" s="162">
        <v>1944318</v>
      </c>
      <c r="D30" s="162">
        <v>78000</v>
      </c>
      <c r="E30" s="162">
        <v>78000</v>
      </c>
      <c r="F30" s="162">
        <v>78000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61" t="s">
        <v>101</v>
      </c>
      <c r="B31" s="165" t="s">
        <v>700</v>
      </c>
      <c r="C31" s="162">
        <v>0</v>
      </c>
      <c r="D31" s="162"/>
      <c r="E31" s="162"/>
      <c r="F31" s="16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85" customFormat="1" ht="12.75" customHeight="1">
      <c r="A32" s="511" t="s">
        <v>103</v>
      </c>
      <c r="B32" s="512" t="s">
        <v>670</v>
      </c>
      <c r="C32" s="513">
        <f>SUM(C11+C12+C13+C19+C29+C30)+C31</f>
        <v>741782915</v>
      </c>
      <c r="D32" s="513">
        <f>SUM(D11+D12+D13+D19+D29+D30)</f>
        <v>437568000</v>
      </c>
      <c r="E32" s="513">
        <f>SUM(E11+E12+E13+E19+E29+E30)</f>
        <v>437568000</v>
      </c>
      <c r="F32" s="513">
        <f>SUM(F11+F12+F13+F19+F29+F30)</f>
        <v>437568000</v>
      </c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14"/>
      <c r="BE32" s="514"/>
      <c r="BF32" s="514"/>
      <c r="BG32" s="514"/>
      <c r="BH32" s="514"/>
      <c r="BI32" s="514"/>
      <c r="BJ32" s="514"/>
      <c r="BK32" s="514"/>
      <c r="BL32" s="514"/>
      <c r="BM32" s="514"/>
      <c r="BN32" s="514"/>
      <c r="BO32" s="514"/>
      <c r="BP32" s="514"/>
      <c r="BQ32" s="514"/>
      <c r="BR32" s="514"/>
      <c r="BS32" s="514"/>
      <c r="BT32" s="514"/>
      <c r="BU32" s="514"/>
      <c r="BV32" s="514"/>
      <c r="BW32" s="514"/>
      <c r="BX32" s="514"/>
      <c r="BY32" s="514"/>
      <c r="BZ32" s="514"/>
      <c r="CA32" s="514"/>
      <c r="CB32" s="514"/>
      <c r="CC32" s="514"/>
      <c r="CD32" s="514"/>
      <c r="CE32" s="514"/>
      <c r="CF32" s="514"/>
      <c r="CG32" s="514"/>
      <c r="CH32" s="514"/>
      <c r="CI32" s="514"/>
      <c r="CJ32" s="514"/>
      <c r="CK32" s="514"/>
      <c r="CL32" s="514"/>
      <c r="CM32" s="514"/>
      <c r="CN32" s="514"/>
      <c r="CO32" s="514"/>
      <c r="CP32" s="514"/>
      <c r="CQ32" s="514"/>
      <c r="CR32" s="514"/>
      <c r="CS32" s="514"/>
      <c r="CT32" s="514"/>
      <c r="CU32" s="514"/>
      <c r="CV32" s="514"/>
      <c r="CW32" s="514"/>
      <c r="CX32" s="514"/>
      <c r="CY32" s="514"/>
      <c r="CZ32" s="514"/>
      <c r="DA32" s="514"/>
      <c r="DB32" s="514"/>
      <c r="DC32" s="514"/>
      <c r="DD32" s="514"/>
      <c r="DE32" s="514"/>
      <c r="DF32" s="514"/>
      <c r="DG32" s="514"/>
      <c r="DH32" s="514"/>
      <c r="DI32" s="514"/>
      <c r="DJ32" s="514"/>
      <c r="DK32" s="514"/>
      <c r="DL32" s="514"/>
      <c r="DM32" s="514"/>
      <c r="DN32" s="514"/>
      <c r="DO32" s="514"/>
      <c r="DP32" s="514"/>
      <c r="DQ32" s="514"/>
      <c r="DR32" s="514"/>
      <c r="DS32" s="514"/>
      <c r="DT32" s="514"/>
      <c r="DU32" s="514"/>
      <c r="DV32" s="514"/>
      <c r="DW32" s="514"/>
      <c r="DX32" s="514"/>
      <c r="DY32" s="514"/>
      <c r="DZ32" s="514"/>
      <c r="EA32" s="514"/>
      <c r="EB32" s="514"/>
      <c r="EC32" s="514"/>
      <c r="ED32" s="514"/>
      <c r="EE32" s="514"/>
      <c r="EF32" s="514"/>
      <c r="EG32" s="514"/>
      <c r="EH32" s="514"/>
      <c r="EI32" s="514"/>
      <c r="EJ32" s="514"/>
      <c r="EK32" s="514"/>
      <c r="EL32" s="514"/>
      <c r="EM32" s="514"/>
      <c r="EN32" s="514"/>
      <c r="EO32" s="514"/>
      <c r="EP32" s="514"/>
      <c r="EQ32" s="514"/>
      <c r="ER32" s="514"/>
      <c r="ES32" s="514"/>
      <c r="ET32" s="514"/>
      <c r="EU32" s="514"/>
      <c r="EV32" s="514"/>
      <c r="EW32" s="514"/>
      <c r="EX32" s="514"/>
      <c r="EY32" s="514"/>
      <c r="EZ32" s="514"/>
      <c r="FA32" s="514"/>
      <c r="FB32" s="514"/>
      <c r="FC32" s="514"/>
      <c r="FD32" s="514"/>
      <c r="FE32" s="514"/>
      <c r="FF32" s="514"/>
      <c r="FG32" s="514"/>
      <c r="FH32" s="514"/>
      <c r="FI32" s="514"/>
      <c r="FJ32" s="514"/>
      <c r="FK32" s="514"/>
      <c r="FL32" s="514"/>
      <c r="FM32" s="514"/>
      <c r="FN32" s="514"/>
      <c r="FO32" s="514"/>
      <c r="FP32" s="514"/>
      <c r="FQ32" s="514"/>
      <c r="FR32" s="514"/>
      <c r="FS32" s="514"/>
      <c r="FT32" s="514"/>
      <c r="FU32" s="514"/>
      <c r="FV32" s="514"/>
      <c r="FW32" s="514"/>
      <c r="FX32" s="514"/>
      <c r="FY32" s="514"/>
      <c r="FZ32" s="514"/>
      <c r="GA32" s="514"/>
      <c r="GB32" s="514"/>
      <c r="GC32" s="514"/>
      <c r="GD32" s="514"/>
      <c r="GE32" s="514"/>
      <c r="GF32" s="514"/>
      <c r="GG32" s="514"/>
      <c r="GH32" s="514"/>
      <c r="GI32" s="514"/>
      <c r="GJ32" s="514"/>
      <c r="GK32" s="514"/>
      <c r="GL32" s="514"/>
      <c r="GM32" s="514"/>
      <c r="GN32" s="514"/>
      <c r="GO32" s="514"/>
      <c r="GP32" s="514"/>
      <c r="GQ32" s="514"/>
      <c r="GR32" s="514"/>
      <c r="GS32" s="514"/>
      <c r="GT32" s="514"/>
      <c r="GU32" s="514"/>
      <c r="GV32" s="514"/>
      <c r="GW32" s="514"/>
      <c r="GX32" s="514"/>
      <c r="GY32" s="514"/>
      <c r="GZ32" s="514"/>
      <c r="HA32" s="514"/>
      <c r="HB32" s="514"/>
      <c r="HC32" s="514"/>
      <c r="HD32" s="514"/>
      <c r="HE32" s="514"/>
      <c r="HF32" s="514"/>
      <c r="HG32" s="514"/>
      <c r="HH32" s="514"/>
      <c r="HI32" s="514"/>
      <c r="HJ32" s="514"/>
      <c r="HK32" s="514"/>
      <c r="HL32" s="514"/>
      <c r="HM32" s="514"/>
      <c r="HN32" s="514"/>
      <c r="HO32" s="514"/>
      <c r="HP32" s="514"/>
      <c r="HQ32" s="514"/>
      <c r="HR32" s="514"/>
      <c r="HS32" s="514"/>
      <c r="HT32" s="514"/>
      <c r="HU32" s="514"/>
      <c r="HV32" s="514"/>
      <c r="HW32" s="514"/>
      <c r="HX32" s="514"/>
      <c r="HY32" s="514"/>
      <c r="HZ32" s="514"/>
      <c r="IA32" s="514"/>
      <c r="IB32" s="514"/>
      <c r="IC32" s="514"/>
      <c r="ID32" s="514"/>
      <c r="IE32" s="514"/>
      <c r="IF32" s="514"/>
      <c r="IG32" s="514"/>
      <c r="IH32" s="514"/>
      <c r="II32" s="514"/>
      <c r="IJ32" s="514"/>
      <c r="IK32" s="514"/>
      <c r="IL32" s="514"/>
      <c r="IM32" s="514"/>
      <c r="IN32" s="514"/>
      <c r="IO32" s="514"/>
      <c r="IP32" s="514"/>
      <c r="IQ32" s="514"/>
      <c r="IR32" s="514"/>
      <c r="IS32" s="514"/>
      <c r="IT32" s="514"/>
      <c r="IU32" s="514"/>
      <c r="IV32" s="514"/>
    </row>
    <row r="33" spans="1:256" ht="12.75" customHeight="1">
      <c r="A33" s="164" t="s">
        <v>105</v>
      </c>
      <c r="B33" s="163" t="s">
        <v>219</v>
      </c>
      <c r="C33" s="146">
        <v>0</v>
      </c>
      <c r="D33" s="146">
        <v>0</v>
      </c>
      <c r="E33" s="146">
        <v>0</v>
      </c>
      <c r="F33" s="146"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57" t="s">
        <v>107</v>
      </c>
      <c r="B34" s="163" t="s">
        <v>220</v>
      </c>
      <c r="C34" s="146">
        <v>576163508</v>
      </c>
      <c r="D34" s="146">
        <v>0</v>
      </c>
      <c r="E34" s="146">
        <v>0</v>
      </c>
      <c r="F34" s="146"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6" ht="12.75" customHeight="1">
      <c r="A35" s="518" t="s">
        <v>109</v>
      </c>
      <c r="B35" s="163" t="s">
        <v>221</v>
      </c>
      <c r="C35" s="146">
        <v>11393036</v>
      </c>
      <c r="D35" s="146">
        <v>0</v>
      </c>
      <c r="E35" s="146">
        <v>0</v>
      </c>
      <c r="F35" s="146">
        <v>0</v>
      </c>
    </row>
    <row r="36" spans="1:6" s="514" customFormat="1" ht="12.75" customHeight="1">
      <c r="A36" s="917" t="s">
        <v>111</v>
      </c>
      <c r="B36" s="916" t="s">
        <v>493</v>
      </c>
      <c r="C36" s="513">
        <f>SUM(C33:C35)</f>
        <v>587556544</v>
      </c>
      <c r="D36" s="513">
        <f>SUM(D33:D35)</f>
        <v>0</v>
      </c>
      <c r="E36" s="513">
        <f>SUM(E33:E35)</f>
        <v>0</v>
      </c>
      <c r="F36" s="513">
        <v>0</v>
      </c>
    </row>
    <row r="37" spans="1:256" s="129" customFormat="1" ht="15.75">
      <c r="A37" s="521" t="s">
        <v>113</v>
      </c>
      <c r="B37" s="515" t="s">
        <v>116</v>
      </c>
      <c r="C37" s="516">
        <f>SUM(C32+C36)</f>
        <v>1329339459</v>
      </c>
      <c r="D37" s="516">
        <f>SUM(D32+D36)</f>
        <v>437568000</v>
      </c>
      <c r="E37" s="516">
        <f>SUM(E32+E36)</f>
        <v>437568000</v>
      </c>
      <c r="F37" s="516">
        <f>SUM(F32+F36)</f>
        <v>437568000</v>
      </c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4"/>
      <c r="DI37" s="334"/>
      <c r="DJ37" s="334"/>
      <c r="DK37" s="334"/>
      <c r="DL37" s="334"/>
      <c r="DM37" s="334"/>
      <c r="DN37" s="334"/>
      <c r="DO37" s="334"/>
      <c r="DP37" s="334"/>
      <c r="DQ37" s="334"/>
      <c r="DR37" s="334"/>
      <c r="DS37" s="334"/>
      <c r="DT37" s="334"/>
      <c r="DU37" s="334"/>
      <c r="DV37" s="334"/>
      <c r="DW37" s="334"/>
      <c r="DX37" s="334"/>
      <c r="DY37" s="334"/>
      <c r="DZ37" s="334"/>
      <c r="EA37" s="334"/>
      <c r="EB37" s="334"/>
      <c r="EC37" s="334"/>
      <c r="ED37" s="334"/>
      <c r="EE37" s="334"/>
      <c r="EF37" s="334"/>
      <c r="EG37" s="334"/>
      <c r="EH37" s="334"/>
      <c r="EI37" s="334"/>
      <c r="EJ37" s="334"/>
      <c r="EK37" s="334"/>
      <c r="EL37" s="334"/>
      <c r="EM37" s="334"/>
      <c r="EN37" s="334"/>
      <c r="EO37" s="334"/>
      <c r="EP37" s="334"/>
      <c r="EQ37" s="334"/>
      <c r="ER37" s="334"/>
      <c r="ES37" s="334"/>
      <c r="ET37" s="334"/>
      <c r="EU37" s="334"/>
      <c r="EV37" s="334"/>
      <c r="EW37" s="334"/>
      <c r="EX37" s="334"/>
      <c r="EY37" s="334"/>
      <c r="EZ37" s="334"/>
      <c r="FA37" s="334"/>
      <c r="FB37" s="334"/>
      <c r="FC37" s="334"/>
      <c r="FD37" s="334"/>
      <c r="FE37" s="334"/>
      <c r="FF37" s="334"/>
      <c r="FG37" s="334"/>
      <c r="FH37" s="334"/>
      <c r="FI37" s="334"/>
      <c r="FJ37" s="334"/>
      <c r="FK37" s="334"/>
      <c r="FL37" s="334"/>
      <c r="FM37" s="334"/>
      <c r="FN37" s="334"/>
      <c r="FO37" s="334"/>
      <c r="FP37" s="334"/>
      <c r="FQ37" s="334"/>
      <c r="FR37" s="334"/>
      <c r="FS37" s="334"/>
      <c r="FT37" s="334"/>
      <c r="FU37" s="334"/>
      <c r="FV37" s="334"/>
      <c r="FW37" s="334"/>
      <c r="FX37" s="334"/>
      <c r="FY37" s="334"/>
      <c r="FZ37" s="334"/>
      <c r="GA37" s="334"/>
      <c r="GB37" s="334"/>
      <c r="GC37" s="334"/>
      <c r="GD37" s="334"/>
      <c r="GE37" s="334"/>
      <c r="GF37" s="334"/>
      <c r="GG37" s="334"/>
      <c r="GH37" s="334"/>
      <c r="GI37" s="334"/>
      <c r="GJ37" s="334"/>
      <c r="GK37" s="334"/>
      <c r="GL37" s="334"/>
      <c r="GM37" s="334"/>
      <c r="GN37" s="334"/>
      <c r="GO37" s="334"/>
      <c r="GP37" s="334"/>
      <c r="GQ37" s="334"/>
      <c r="GR37" s="334"/>
      <c r="GS37" s="334"/>
      <c r="GT37" s="334"/>
      <c r="GU37" s="334"/>
      <c r="GV37" s="334"/>
      <c r="GW37" s="334"/>
      <c r="GX37" s="334"/>
      <c r="GY37" s="334"/>
      <c r="GZ37" s="334"/>
      <c r="HA37" s="334"/>
      <c r="HB37" s="334"/>
      <c r="HC37" s="334"/>
      <c r="HD37" s="334"/>
      <c r="HE37" s="334"/>
      <c r="HF37" s="334"/>
      <c r="HG37" s="334"/>
      <c r="HH37" s="334"/>
      <c r="HI37" s="334"/>
      <c r="HJ37" s="334"/>
      <c r="HK37" s="334"/>
      <c r="HL37" s="334"/>
      <c r="HM37" s="334"/>
      <c r="HN37" s="334"/>
      <c r="HO37" s="334"/>
      <c r="HP37" s="334"/>
      <c r="HQ37" s="334"/>
      <c r="HR37" s="334"/>
      <c r="HS37" s="334"/>
      <c r="HT37" s="334"/>
      <c r="HU37" s="334"/>
      <c r="HV37" s="334"/>
      <c r="HW37" s="334"/>
      <c r="HX37" s="334"/>
      <c r="HY37" s="334"/>
      <c r="HZ37" s="334"/>
      <c r="IA37" s="334"/>
      <c r="IB37" s="334"/>
      <c r="IC37" s="334"/>
      <c r="ID37" s="334"/>
      <c r="IE37" s="334"/>
      <c r="IF37" s="334"/>
      <c r="IG37" s="334"/>
      <c r="IH37" s="334"/>
      <c r="II37" s="334"/>
      <c r="IJ37" s="334"/>
      <c r="IK37" s="334"/>
      <c r="IL37" s="334"/>
      <c r="IM37" s="334"/>
      <c r="IN37" s="334"/>
      <c r="IO37" s="334"/>
      <c r="IP37" s="334"/>
      <c r="IQ37" s="334"/>
      <c r="IR37" s="334"/>
      <c r="IS37" s="334"/>
      <c r="IT37" s="334"/>
      <c r="IU37" s="334"/>
      <c r="IV37" s="334"/>
    </row>
    <row r="38" spans="1:256" ht="12.75" customHeight="1">
      <c r="A38" s="157" t="s">
        <v>115</v>
      </c>
      <c r="B38" s="163" t="s">
        <v>121</v>
      </c>
      <c r="C38" s="146">
        <v>263660096</v>
      </c>
      <c r="D38" s="146">
        <v>250000000</v>
      </c>
      <c r="E38" s="146">
        <v>250000000</v>
      </c>
      <c r="F38" s="146">
        <v>250000000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57" t="s">
        <v>117</v>
      </c>
      <c r="B39" s="163" t="s">
        <v>123</v>
      </c>
      <c r="C39" s="146">
        <v>45816725</v>
      </c>
      <c r="D39" s="146">
        <v>44000000</v>
      </c>
      <c r="E39" s="146">
        <v>44000000</v>
      </c>
      <c r="F39" s="146">
        <v>44000000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157" t="s">
        <v>118</v>
      </c>
      <c r="B40" s="163" t="s">
        <v>125</v>
      </c>
      <c r="C40" s="146">
        <v>236589727</v>
      </c>
      <c r="D40" s="146">
        <v>91168000</v>
      </c>
      <c r="E40" s="146">
        <v>91168000</v>
      </c>
      <c r="F40" s="146">
        <v>91168000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57" t="s">
        <v>120</v>
      </c>
      <c r="B41" s="163" t="s">
        <v>202</v>
      </c>
      <c r="C41" s="146">
        <v>50526275</v>
      </c>
      <c r="D41" s="146">
        <v>45000000</v>
      </c>
      <c r="E41" s="146">
        <v>45000000</v>
      </c>
      <c r="F41" s="146">
        <v>45000000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157" t="s">
        <v>122</v>
      </c>
      <c r="B42" s="163" t="s">
        <v>201</v>
      </c>
      <c r="C42" s="146">
        <v>4980000</v>
      </c>
      <c r="D42" s="146">
        <v>3400000</v>
      </c>
      <c r="E42" s="146">
        <v>3400000</v>
      </c>
      <c r="F42" s="146">
        <v>3400000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157" t="s">
        <v>124</v>
      </c>
      <c r="B43" s="163" t="s">
        <v>150</v>
      </c>
      <c r="C43" s="146">
        <v>376250463</v>
      </c>
      <c r="D43" s="146">
        <v>0</v>
      </c>
      <c r="E43" s="146">
        <v>0</v>
      </c>
      <c r="F43" s="146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157" t="s">
        <v>126</v>
      </c>
      <c r="B44" s="163" t="s">
        <v>472</v>
      </c>
      <c r="C44" s="146">
        <v>354027</v>
      </c>
      <c r="D44" s="146">
        <v>0</v>
      </c>
      <c r="E44" s="146">
        <v>0</v>
      </c>
      <c r="F44" s="146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57" t="s">
        <v>128</v>
      </c>
      <c r="B45" s="163" t="s">
        <v>1247</v>
      </c>
      <c r="C45" s="146">
        <v>2354850</v>
      </c>
      <c r="D45" s="146">
        <v>0</v>
      </c>
      <c r="E45" s="146">
        <v>0</v>
      </c>
      <c r="F45" s="146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157" t="s">
        <v>130</v>
      </c>
      <c r="B46" s="163" t="s">
        <v>15</v>
      </c>
      <c r="C46" s="146">
        <v>338291741</v>
      </c>
      <c r="D46" s="146">
        <v>4000000</v>
      </c>
      <c r="E46" s="146">
        <v>4000000</v>
      </c>
      <c r="F46" s="146">
        <v>4000000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157" t="s">
        <v>131</v>
      </c>
      <c r="B47" s="163" t="s">
        <v>203</v>
      </c>
      <c r="C47" s="146">
        <v>1684766</v>
      </c>
      <c r="D47" s="146"/>
      <c r="E47" s="146"/>
      <c r="F47" s="146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66" customFormat="1" ht="12.75" customHeight="1">
      <c r="A48" s="517" t="s">
        <v>133</v>
      </c>
      <c r="B48" s="512" t="s">
        <v>671</v>
      </c>
      <c r="C48" s="513">
        <f>SUM(C38:C47)</f>
        <v>1320508670</v>
      </c>
      <c r="D48" s="513">
        <f>SUM(D38:D46)</f>
        <v>437568000</v>
      </c>
      <c r="E48" s="513">
        <f>SUM(E38:E46)</f>
        <v>437568000</v>
      </c>
      <c r="F48" s="513">
        <f>SUM(F38:F46)</f>
        <v>437568000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</row>
    <row r="49" spans="1:6" ht="28.5" customHeight="1">
      <c r="A49" s="518" t="s">
        <v>135</v>
      </c>
      <c r="B49" s="519" t="s">
        <v>269</v>
      </c>
      <c r="C49" s="520">
        <v>8830789</v>
      </c>
      <c r="D49" s="520">
        <v>0</v>
      </c>
      <c r="E49" s="520">
        <v>0</v>
      </c>
      <c r="F49" s="520">
        <v>0</v>
      </c>
    </row>
    <row r="50" spans="1:6" s="85" customFormat="1" ht="15">
      <c r="A50" s="524" t="s">
        <v>137</v>
      </c>
      <c r="B50" s="525" t="s">
        <v>209</v>
      </c>
      <c r="C50" s="525">
        <f>SUM(C49)</f>
        <v>8830789</v>
      </c>
      <c r="D50" s="525">
        <f>SUM(D49)</f>
        <v>0</v>
      </c>
      <c r="E50" s="525">
        <f>SUM(E49)</f>
        <v>0</v>
      </c>
      <c r="F50" s="525">
        <f>SUM(F49)</f>
        <v>0</v>
      </c>
    </row>
    <row r="51" spans="1:256" s="129" customFormat="1" ht="15.75">
      <c r="A51" s="521" t="s">
        <v>139</v>
      </c>
      <c r="B51" s="522" t="s">
        <v>690</v>
      </c>
      <c r="C51" s="523">
        <f>SUM(C48+C50)</f>
        <v>1329339459</v>
      </c>
      <c r="D51" s="523">
        <f>SUM(D48+D50)</f>
        <v>437568000</v>
      </c>
      <c r="E51" s="523">
        <f>SUM(E48+E50)</f>
        <v>437568000</v>
      </c>
      <c r="F51" s="523">
        <f>SUM(F48+F50)</f>
        <v>437568000</v>
      </c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  <c r="CU51" s="334"/>
      <c r="CV51" s="334"/>
      <c r="CW51" s="334"/>
      <c r="CX51" s="334"/>
      <c r="CY51" s="334"/>
      <c r="CZ51" s="334"/>
      <c r="DA51" s="334"/>
      <c r="DB51" s="334"/>
      <c r="DC51" s="334"/>
      <c r="DD51" s="334"/>
      <c r="DE51" s="334"/>
      <c r="DF51" s="334"/>
      <c r="DG51" s="334"/>
      <c r="DH51" s="334"/>
      <c r="DI51" s="334"/>
      <c r="DJ51" s="334"/>
      <c r="DK51" s="334"/>
      <c r="DL51" s="334"/>
      <c r="DM51" s="334"/>
      <c r="DN51" s="334"/>
      <c r="DO51" s="334"/>
      <c r="DP51" s="334"/>
      <c r="DQ51" s="334"/>
      <c r="DR51" s="334"/>
      <c r="DS51" s="334"/>
      <c r="DT51" s="334"/>
      <c r="DU51" s="334"/>
      <c r="DV51" s="334"/>
      <c r="DW51" s="334"/>
      <c r="DX51" s="334"/>
      <c r="DY51" s="334"/>
      <c r="DZ51" s="334"/>
      <c r="EA51" s="334"/>
      <c r="EB51" s="334"/>
      <c r="EC51" s="334"/>
      <c r="ED51" s="334"/>
      <c r="EE51" s="334"/>
      <c r="EF51" s="334"/>
      <c r="EG51" s="334"/>
      <c r="EH51" s="334"/>
      <c r="EI51" s="334"/>
      <c r="EJ51" s="334"/>
      <c r="EK51" s="334"/>
      <c r="EL51" s="334"/>
      <c r="EM51" s="334"/>
      <c r="EN51" s="334"/>
      <c r="EO51" s="334"/>
      <c r="EP51" s="334"/>
      <c r="EQ51" s="334"/>
      <c r="ER51" s="334"/>
      <c r="ES51" s="334"/>
      <c r="ET51" s="334"/>
      <c r="EU51" s="334"/>
      <c r="EV51" s="334"/>
      <c r="EW51" s="334"/>
      <c r="EX51" s="334"/>
      <c r="EY51" s="334"/>
      <c r="EZ51" s="334"/>
      <c r="FA51" s="334"/>
      <c r="FB51" s="334"/>
      <c r="FC51" s="334"/>
      <c r="FD51" s="334"/>
      <c r="FE51" s="334"/>
      <c r="FF51" s="334"/>
      <c r="FG51" s="334"/>
      <c r="FH51" s="334"/>
      <c r="FI51" s="334"/>
      <c r="FJ51" s="334"/>
      <c r="FK51" s="334"/>
      <c r="FL51" s="334"/>
      <c r="FM51" s="334"/>
      <c r="FN51" s="334"/>
      <c r="FO51" s="334"/>
      <c r="FP51" s="334"/>
      <c r="FQ51" s="334"/>
      <c r="FR51" s="334"/>
      <c r="FS51" s="334"/>
      <c r="FT51" s="334"/>
      <c r="FU51" s="334"/>
      <c r="FV51" s="334"/>
      <c r="FW51" s="334"/>
      <c r="FX51" s="334"/>
      <c r="FY51" s="334"/>
      <c r="FZ51" s="334"/>
      <c r="GA51" s="334"/>
      <c r="GB51" s="334"/>
      <c r="GC51" s="334"/>
      <c r="GD51" s="334"/>
      <c r="GE51" s="334"/>
      <c r="GF51" s="334"/>
      <c r="GG51" s="334"/>
      <c r="GH51" s="334"/>
      <c r="GI51" s="334"/>
      <c r="GJ51" s="334"/>
      <c r="GK51" s="334"/>
      <c r="GL51" s="334"/>
      <c r="GM51" s="334"/>
      <c r="GN51" s="334"/>
      <c r="GO51" s="334"/>
      <c r="GP51" s="334"/>
      <c r="GQ51" s="334"/>
      <c r="GR51" s="334"/>
      <c r="GS51" s="334"/>
      <c r="GT51" s="334"/>
      <c r="GU51" s="334"/>
      <c r="GV51" s="334"/>
      <c r="GW51" s="334"/>
      <c r="GX51" s="334"/>
      <c r="GY51" s="334"/>
      <c r="GZ51" s="334"/>
      <c r="HA51" s="334"/>
      <c r="HB51" s="334"/>
      <c r="HC51" s="334"/>
      <c r="HD51" s="334"/>
      <c r="HE51" s="334"/>
      <c r="HF51" s="334"/>
      <c r="HG51" s="334"/>
      <c r="HH51" s="334"/>
      <c r="HI51" s="334"/>
      <c r="HJ51" s="334"/>
      <c r="HK51" s="334"/>
      <c r="HL51" s="334"/>
      <c r="HM51" s="334"/>
      <c r="HN51" s="334"/>
      <c r="HO51" s="334"/>
      <c r="HP51" s="334"/>
      <c r="HQ51" s="334"/>
      <c r="HR51" s="334"/>
      <c r="HS51" s="334"/>
      <c r="HT51" s="334"/>
      <c r="HU51" s="334"/>
      <c r="HV51" s="334"/>
      <c r="HW51" s="334"/>
      <c r="HX51" s="334"/>
      <c r="HY51" s="334"/>
      <c r="HZ51" s="334"/>
      <c r="IA51" s="334"/>
      <c r="IB51" s="334"/>
      <c r="IC51" s="334"/>
      <c r="ID51" s="334"/>
      <c r="IE51" s="334"/>
      <c r="IF51" s="334"/>
      <c r="IG51" s="334"/>
      <c r="IH51" s="334"/>
      <c r="II51" s="334"/>
      <c r="IJ51" s="334"/>
      <c r="IK51" s="334"/>
      <c r="IL51" s="334"/>
      <c r="IM51" s="334"/>
      <c r="IN51" s="334"/>
      <c r="IO51" s="334"/>
      <c r="IP51" s="334"/>
      <c r="IQ51" s="334"/>
      <c r="IR51" s="334"/>
      <c r="IS51" s="334"/>
      <c r="IT51" s="334"/>
      <c r="IU51" s="334"/>
      <c r="IV51" s="334"/>
    </row>
  </sheetData>
  <sheetProtection selectLockedCells="1" selectUnlockedCells="1"/>
  <mergeCells count="8">
    <mergeCell ref="A9:A10"/>
    <mergeCell ref="A1:F1"/>
    <mergeCell ref="A2:F2"/>
    <mergeCell ref="A3:E4"/>
    <mergeCell ref="A5:F5"/>
    <mergeCell ref="A6:F6"/>
    <mergeCell ref="D8:F8"/>
    <mergeCell ref="F3:F4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8" r:id="rId1"/>
  <headerFooter alignWithMargins="0"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C74"/>
  <sheetViews>
    <sheetView view="pageBreakPreview" zoomScaleSheetLayoutView="100" zoomScalePageLayoutView="0" workbookViewId="0" topLeftCell="A1">
      <selection activeCell="E3" sqref="E3:H3"/>
    </sheetView>
  </sheetViews>
  <sheetFormatPr defaultColWidth="11.57421875" defaultRowHeight="12.75" customHeight="1"/>
  <cols>
    <col min="1" max="1" width="3.7109375" style="0" customWidth="1"/>
    <col min="2" max="2" width="4.140625" style="0" customWidth="1"/>
    <col min="3" max="3" width="27.8515625" style="0" customWidth="1"/>
    <col min="4" max="4" width="6.00390625" style="0" customWidth="1"/>
    <col min="5" max="10" width="18.140625" style="52" customWidth="1"/>
  </cols>
  <sheetData>
    <row r="1" spans="1:10" s="169" customFormat="1" ht="18" customHeight="1">
      <c r="A1" s="1979" t="s">
        <v>478</v>
      </c>
      <c r="B1" s="1979"/>
      <c r="C1" s="1979"/>
      <c r="D1" s="1979"/>
      <c r="E1" s="1979"/>
      <c r="F1" s="1979"/>
      <c r="G1" s="1979"/>
      <c r="H1" s="1979"/>
      <c r="I1" s="1979"/>
      <c r="J1" s="1979"/>
    </row>
    <row r="2" spans="1:10" ht="12.75" customHeight="1">
      <c r="A2" s="1890" t="s">
        <v>1295</v>
      </c>
      <c r="B2" s="1890"/>
      <c r="C2" s="1890"/>
      <c r="D2" s="1890"/>
      <c r="E2" s="1890"/>
      <c r="F2" s="1890"/>
      <c r="G2" s="1890"/>
      <c r="H2" s="1890"/>
      <c r="I2" s="1890"/>
      <c r="J2" s="1890"/>
    </row>
    <row r="3" spans="3:10" ht="12.75" customHeight="1">
      <c r="C3" s="1"/>
      <c r="D3" s="1"/>
      <c r="E3" s="1977" t="s">
        <v>1296</v>
      </c>
      <c r="F3" s="1977"/>
      <c r="G3" s="1977"/>
      <c r="H3" s="1977"/>
      <c r="J3" s="127" t="s">
        <v>1307</v>
      </c>
    </row>
    <row r="4" spans="1:10" ht="41.25" customHeight="1">
      <c r="A4" s="1978" t="s">
        <v>1099</v>
      </c>
      <c r="B4" s="1978"/>
      <c r="C4" s="1978"/>
      <c r="D4" s="1978"/>
      <c r="E4" s="1978"/>
      <c r="F4" s="1978"/>
      <c r="G4" s="1978"/>
      <c r="H4" s="1978"/>
      <c r="I4" s="1978"/>
      <c r="J4" s="1978"/>
    </row>
    <row r="5" spans="1:10" ht="19.5">
      <c r="A5" s="843"/>
      <c r="B5" s="843"/>
      <c r="C5" s="843"/>
      <c r="D5" s="843"/>
      <c r="E5" s="843"/>
      <c r="F5" s="843"/>
      <c r="G5" s="843"/>
      <c r="H5" s="843"/>
      <c r="I5" s="843"/>
      <c r="J5" s="843"/>
    </row>
    <row r="6" spans="5:10" ht="12.75" customHeight="1" thickBot="1">
      <c r="E6" s="842"/>
      <c r="F6" s="842"/>
      <c r="G6" s="842"/>
      <c r="H6" s="842"/>
      <c r="I6" s="842"/>
      <c r="J6" s="842" t="s">
        <v>214</v>
      </c>
    </row>
    <row r="7" spans="1:10" ht="49.5" customHeight="1" thickBot="1">
      <c r="A7" s="1989" t="s">
        <v>156</v>
      </c>
      <c r="B7" s="1990"/>
      <c r="C7" s="407" t="s">
        <v>157</v>
      </c>
      <c r="D7" s="408"/>
      <c r="E7" s="409" t="s">
        <v>1071</v>
      </c>
      <c r="F7" s="409" t="s">
        <v>1072</v>
      </c>
      <c r="G7" s="409" t="s">
        <v>1157</v>
      </c>
      <c r="H7" s="409" t="s">
        <v>1178</v>
      </c>
      <c r="I7" s="409" t="s">
        <v>1250</v>
      </c>
      <c r="J7" s="409" t="s">
        <v>1267</v>
      </c>
    </row>
    <row r="8" spans="1:10" ht="12.75" customHeight="1" thickBot="1">
      <c r="A8" s="1991"/>
      <c r="B8" s="1992"/>
      <c r="C8" s="410" t="s">
        <v>158</v>
      </c>
      <c r="D8" s="284"/>
      <c r="E8" s="411" t="s">
        <v>159</v>
      </c>
      <c r="F8" s="411" t="s">
        <v>160</v>
      </c>
      <c r="G8" s="411" t="s">
        <v>161</v>
      </c>
      <c r="H8" s="411" t="s">
        <v>456</v>
      </c>
      <c r="I8" s="411" t="s">
        <v>476</v>
      </c>
      <c r="J8" s="411" t="s">
        <v>701</v>
      </c>
    </row>
    <row r="9" spans="1:10" s="10" customFormat="1" ht="39" customHeight="1">
      <c r="A9" s="1993" t="s">
        <v>38</v>
      </c>
      <c r="B9" s="1994"/>
      <c r="C9" s="2004" t="s">
        <v>623</v>
      </c>
      <c r="D9" s="2005"/>
      <c r="E9" s="430">
        <v>90183</v>
      </c>
      <c r="F9" s="430">
        <v>0</v>
      </c>
      <c r="G9" s="430">
        <v>35340</v>
      </c>
      <c r="H9" s="430">
        <v>35340</v>
      </c>
      <c r="I9" s="430">
        <v>35340</v>
      </c>
      <c r="J9" s="430">
        <v>35340</v>
      </c>
    </row>
    <row r="10" spans="1:10" s="10" customFormat="1" ht="12.75" customHeight="1">
      <c r="A10" s="1984" t="s">
        <v>40</v>
      </c>
      <c r="B10" s="1985"/>
      <c r="C10" s="1997" t="s">
        <v>78</v>
      </c>
      <c r="D10" s="1997"/>
      <c r="E10" s="412">
        <f aca="true" t="shared" si="0" ref="E10:J10">SUM(E11:E16)</f>
        <v>2523187</v>
      </c>
      <c r="F10" s="412">
        <f t="shared" si="0"/>
        <v>2265000</v>
      </c>
      <c r="G10" s="412">
        <f t="shared" si="0"/>
        <v>1824006</v>
      </c>
      <c r="H10" s="412">
        <f t="shared" si="0"/>
        <v>2111040</v>
      </c>
      <c r="I10" s="412">
        <f t="shared" si="0"/>
        <v>2111050</v>
      </c>
      <c r="J10" s="412">
        <f t="shared" si="0"/>
        <v>2499228</v>
      </c>
    </row>
    <row r="11" spans="1:10" s="269" customFormat="1" ht="12.75" customHeight="1">
      <c r="A11" s="1980" t="s">
        <v>47</v>
      </c>
      <c r="B11" s="1981"/>
      <c r="C11" s="2010" t="s">
        <v>624</v>
      </c>
      <c r="D11" s="2010"/>
      <c r="E11" s="413">
        <v>1492865</v>
      </c>
      <c r="F11" s="413">
        <v>1500000</v>
      </c>
      <c r="G11" s="413">
        <v>1125000</v>
      </c>
      <c r="H11" s="413">
        <v>1125000</v>
      </c>
      <c r="I11" s="413">
        <v>1125000</v>
      </c>
      <c r="J11" s="413">
        <v>1496679</v>
      </c>
    </row>
    <row r="12" spans="1:10" s="269" customFormat="1" ht="12.75" customHeight="1">
      <c r="A12" s="1980" t="s">
        <v>49</v>
      </c>
      <c r="B12" s="1981"/>
      <c r="C12" s="1988" t="s">
        <v>625</v>
      </c>
      <c r="D12" s="1988"/>
      <c r="E12" s="413">
        <v>263879</v>
      </c>
      <c r="F12" s="413">
        <v>265000</v>
      </c>
      <c r="G12" s="413">
        <v>199000</v>
      </c>
      <c r="H12" s="413">
        <v>199000</v>
      </c>
      <c r="I12" s="413">
        <v>199000</v>
      </c>
      <c r="J12" s="413">
        <v>199000</v>
      </c>
    </row>
    <row r="13" spans="1:10" s="269" customFormat="1" ht="12.75" customHeight="1">
      <c r="A13" s="1980" t="s">
        <v>51</v>
      </c>
      <c r="B13" s="1981"/>
      <c r="C13" s="1988" t="s">
        <v>626</v>
      </c>
      <c r="D13" s="1988"/>
      <c r="E13" s="413">
        <v>474327</v>
      </c>
      <c r="F13" s="413">
        <v>500000</v>
      </c>
      <c r="G13" s="413">
        <v>500000</v>
      </c>
      <c r="H13" s="413">
        <v>500000</v>
      </c>
      <c r="I13" s="413">
        <v>500000</v>
      </c>
      <c r="J13" s="413">
        <v>457849</v>
      </c>
    </row>
    <row r="14" spans="1:10" s="269" customFormat="1" ht="12.75" customHeight="1">
      <c r="A14" s="1980" t="s">
        <v>53</v>
      </c>
      <c r="B14" s="1981"/>
      <c r="C14" s="1988" t="s">
        <v>627</v>
      </c>
      <c r="D14" s="1988"/>
      <c r="E14" s="413">
        <v>1</v>
      </c>
      <c r="F14" s="413">
        <v>0</v>
      </c>
      <c r="G14" s="413">
        <v>0</v>
      </c>
      <c r="H14" s="413">
        <v>0</v>
      </c>
      <c r="I14" s="413">
        <v>0</v>
      </c>
      <c r="J14" s="413">
        <v>0</v>
      </c>
    </row>
    <row r="15" spans="1:10" s="269" customFormat="1" ht="12.75" customHeight="1">
      <c r="A15" s="2000" t="s">
        <v>55</v>
      </c>
      <c r="B15" s="2001"/>
      <c r="C15" s="910" t="s">
        <v>900</v>
      </c>
      <c r="D15" s="911"/>
      <c r="E15" s="413">
        <v>115</v>
      </c>
      <c r="F15" s="413">
        <v>0</v>
      </c>
      <c r="G15" s="413">
        <v>6</v>
      </c>
      <c r="H15" s="413">
        <v>40</v>
      </c>
      <c r="I15" s="413">
        <v>50</v>
      </c>
      <c r="J15" s="413">
        <v>58700</v>
      </c>
    </row>
    <row r="16" spans="1:10" s="269" customFormat="1" ht="12.75" customHeight="1">
      <c r="A16" s="2000" t="s">
        <v>57</v>
      </c>
      <c r="B16" s="2001"/>
      <c r="C16" s="910" t="s">
        <v>911</v>
      </c>
      <c r="D16" s="911"/>
      <c r="E16" s="413">
        <v>292000</v>
      </c>
      <c r="F16" s="413">
        <v>0</v>
      </c>
      <c r="G16" s="413">
        <v>0</v>
      </c>
      <c r="H16" s="413">
        <v>287000</v>
      </c>
      <c r="I16" s="413">
        <v>287000</v>
      </c>
      <c r="J16" s="413">
        <v>287000</v>
      </c>
    </row>
    <row r="17" spans="1:10" s="10" customFormat="1" ht="12.75" customHeight="1">
      <c r="A17" s="2014" t="s">
        <v>86</v>
      </c>
      <c r="B17" s="2015"/>
      <c r="C17" s="1998" t="s">
        <v>185</v>
      </c>
      <c r="D17" s="1999"/>
      <c r="E17" s="412">
        <v>498111</v>
      </c>
      <c r="F17" s="412">
        <v>0</v>
      </c>
      <c r="G17" s="412">
        <v>0</v>
      </c>
      <c r="H17" s="412">
        <v>0</v>
      </c>
      <c r="I17" s="412">
        <v>0</v>
      </c>
      <c r="J17" s="412">
        <v>178500</v>
      </c>
    </row>
    <row r="18" spans="1:10" s="10" customFormat="1" ht="12.75" customHeight="1">
      <c r="A18" s="1984" t="s">
        <v>59</v>
      </c>
      <c r="B18" s="1985"/>
      <c r="C18" s="1997" t="s">
        <v>225</v>
      </c>
      <c r="D18" s="1997"/>
      <c r="E18" s="412">
        <v>435505</v>
      </c>
      <c r="F18" s="412">
        <v>0</v>
      </c>
      <c r="G18" s="412">
        <v>0</v>
      </c>
      <c r="H18" s="412">
        <v>0</v>
      </c>
      <c r="I18" s="412">
        <v>0</v>
      </c>
      <c r="J18" s="412">
        <v>0</v>
      </c>
    </row>
    <row r="19" spans="1:10" s="269" customFormat="1" ht="12.75" customHeight="1" thickBot="1">
      <c r="A19" s="1981" t="s">
        <v>61</v>
      </c>
      <c r="B19" s="1981"/>
      <c r="C19" s="2013" t="s">
        <v>628</v>
      </c>
      <c r="D19" s="2013"/>
      <c r="E19" s="405">
        <v>435505</v>
      </c>
      <c r="F19" s="405"/>
      <c r="G19" s="405"/>
      <c r="H19" s="405"/>
      <c r="I19" s="405"/>
      <c r="J19" s="405"/>
    </row>
    <row r="20" spans="1:10" s="415" customFormat="1" ht="18.75" customHeight="1" thickBot="1">
      <c r="A20" s="1986" t="s">
        <v>63</v>
      </c>
      <c r="B20" s="1987"/>
      <c r="C20" s="1982" t="s">
        <v>479</v>
      </c>
      <c r="D20" s="1983"/>
      <c r="E20" s="433">
        <f aca="true" t="shared" si="1" ref="E20:J20">SUM(E9+E10+E18)+E17</f>
        <v>3546986</v>
      </c>
      <c r="F20" s="433">
        <f t="shared" si="1"/>
        <v>2265000</v>
      </c>
      <c r="G20" s="433">
        <f t="shared" si="1"/>
        <v>1859346</v>
      </c>
      <c r="H20" s="433">
        <f t="shared" si="1"/>
        <v>2146380</v>
      </c>
      <c r="I20" s="433">
        <f t="shared" si="1"/>
        <v>2146390</v>
      </c>
      <c r="J20" s="433">
        <f t="shared" si="1"/>
        <v>2713068</v>
      </c>
    </row>
    <row r="21" spans="1:10" s="10" customFormat="1" ht="12.75" customHeight="1">
      <c r="A21" s="2011" t="s">
        <v>65</v>
      </c>
      <c r="B21" s="2012"/>
      <c r="C21" s="2002" t="s">
        <v>480</v>
      </c>
      <c r="D21" s="2003"/>
      <c r="E21" s="432">
        <f aca="true" t="shared" si="2" ref="E21:J21">SUM(E22:E23)</f>
        <v>122992661</v>
      </c>
      <c r="F21" s="432">
        <f t="shared" si="2"/>
        <v>128168127</v>
      </c>
      <c r="G21" s="432">
        <f t="shared" si="2"/>
        <v>122994438</v>
      </c>
      <c r="H21" s="432">
        <f t="shared" si="2"/>
        <v>122994438</v>
      </c>
      <c r="I21" s="432">
        <f t="shared" si="2"/>
        <v>122994438</v>
      </c>
      <c r="J21" s="432">
        <f t="shared" si="2"/>
        <v>132192797</v>
      </c>
    </row>
    <row r="22" spans="1:10" s="114" customFormat="1" ht="12.75" customHeight="1">
      <c r="A22" s="2018" t="s">
        <v>92</v>
      </c>
      <c r="B22" s="2019"/>
      <c r="C22" s="1995" t="s">
        <v>481</v>
      </c>
      <c r="D22" s="1996"/>
      <c r="E22" s="551">
        <v>97031847</v>
      </c>
      <c r="F22" s="551">
        <f>SUM(71578420)+4419000+11074100+1691000+498747+2355188+5729479</f>
        <v>97345934</v>
      </c>
      <c r="G22" s="551">
        <f>SUM(71578420)+4419000+11074100+1691000+498747+2355188+5729479+18800</f>
        <v>97364734</v>
      </c>
      <c r="H22" s="551">
        <v>103076884</v>
      </c>
      <c r="I22" s="551">
        <v>103076884</v>
      </c>
      <c r="J22" s="551">
        <v>103076884</v>
      </c>
    </row>
    <row r="23" spans="1:10" ht="12.75" customHeight="1">
      <c r="A23" s="2020" t="s">
        <v>66</v>
      </c>
      <c r="B23" s="2021"/>
      <c r="C23" s="1995" t="s">
        <v>482</v>
      </c>
      <c r="D23" s="1996"/>
      <c r="E23" s="551">
        <v>25960814</v>
      </c>
      <c r="F23" s="551">
        <v>30822193</v>
      </c>
      <c r="G23" s="551">
        <v>25629704</v>
      </c>
      <c r="H23" s="551">
        <v>19917554</v>
      </c>
      <c r="I23" s="551">
        <v>19917554</v>
      </c>
      <c r="J23" s="551">
        <v>29115913</v>
      </c>
    </row>
    <row r="24" spans="1:10" s="114" customFormat="1" ht="12.75" customHeight="1" thickBot="1">
      <c r="A24" s="2022" t="s">
        <v>67</v>
      </c>
      <c r="B24" s="2023"/>
      <c r="C24" s="2006" t="s">
        <v>483</v>
      </c>
      <c r="D24" s="2006"/>
      <c r="E24" s="912">
        <v>238417</v>
      </c>
      <c r="F24" s="912">
        <v>193701</v>
      </c>
      <c r="G24" s="912">
        <v>193701</v>
      </c>
      <c r="H24" s="912">
        <v>193701</v>
      </c>
      <c r="I24" s="912">
        <v>193701</v>
      </c>
      <c r="J24" s="912">
        <v>193702</v>
      </c>
    </row>
    <row r="25" spans="1:10" s="10" customFormat="1" ht="17.25" customHeight="1" thickBot="1">
      <c r="A25" s="2024" t="s">
        <v>68</v>
      </c>
      <c r="B25" s="2025"/>
      <c r="C25" s="2007" t="s">
        <v>493</v>
      </c>
      <c r="D25" s="2007"/>
      <c r="E25" s="435">
        <f aca="true" t="shared" si="3" ref="E25:J25">SUM(E21+E24)</f>
        <v>123231078</v>
      </c>
      <c r="F25" s="435">
        <f t="shared" si="3"/>
        <v>128361828</v>
      </c>
      <c r="G25" s="435">
        <f t="shared" si="3"/>
        <v>123188139</v>
      </c>
      <c r="H25" s="435">
        <f t="shared" si="3"/>
        <v>123188139</v>
      </c>
      <c r="I25" s="435">
        <f t="shared" si="3"/>
        <v>123188139</v>
      </c>
      <c r="J25" s="435">
        <f t="shared" si="3"/>
        <v>132386499</v>
      </c>
    </row>
    <row r="26" spans="1:10" ht="27" customHeight="1" thickBot="1">
      <c r="A26" s="2008" t="s">
        <v>70</v>
      </c>
      <c r="B26" s="2009"/>
      <c r="C26" s="2026" t="s">
        <v>240</v>
      </c>
      <c r="D26" s="2026"/>
      <c r="E26" s="434">
        <f aca="true" t="shared" si="4" ref="E26:J26">SUM(E20+E25)</f>
        <v>126778064</v>
      </c>
      <c r="F26" s="434">
        <f t="shared" si="4"/>
        <v>130626828</v>
      </c>
      <c r="G26" s="434">
        <f t="shared" si="4"/>
        <v>125047485</v>
      </c>
      <c r="H26" s="434">
        <f t="shared" si="4"/>
        <v>125334519</v>
      </c>
      <c r="I26" s="434">
        <f t="shared" si="4"/>
        <v>125334529</v>
      </c>
      <c r="J26" s="434">
        <f t="shared" si="4"/>
        <v>135099567</v>
      </c>
    </row>
    <row r="27" spans="3:4" ht="12.75" customHeight="1" thickBot="1">
      <c r="C27" s="64"/>
      <c r="D27" s="64"/>
    </row>
    <row r="28" spans="1:10" ht="49.5" customHeight="1" thickBot="1">
      <c r="A28" s="1989" t="s">
        <v>156</v>
      </c>
      <c r="B28" s="1990"/>
      <c r="C28" s="419" t="s">
        <v>119</v>
      </c>
      <c r="D28" s="1279" t="s">
        <v>484</v>
      </c>
      <c r="E28" s="1286" t="s">
        <v>1071</v>
      </c>
      <c r="F28" s="1286" t="s">
        <v>1072</v>
      </c>
      <c r="G28" s="1286" t="s">
        <v>1157</v>
      </c>
      <c r="H28" s="1286" t="s">
        <v>1178</v>
      </c>
      <c r="I28" s="1286" t="s">
        <v>1250</v>
      </c>
      <c r="J28" s="1286" t="s">
        <v>1275</v>
      </c>
    </row>
    <row r="29" spans="1:10" ht="12.75" customHeight="1">
      <c r="A29" s="2016"/>
      <c r="B29" s="2017"/>
      <c r="C29" s="175" t="s">
        <v>158</v>
      </c>
      <c r="D29" s="1280" t="s">
        <v>159</v>
      </c>
      <c r="E29" s="1287" t="s">
        <v>160</v>
      </c>
      <c r="F29" s="1287" t="s">
        <v>161</v>
      </c>
      <c r="G29" s="1287" t="s">
        <v>456</v>
      </c>
      <c r="H29" s="1287" t="s">
        <v>476</v>
      </c>
      <c r="I29" s="1287" t="s">
        <v>701</v>
      </c>
      <c r="J29" s="1287" t="s">
        <v>782</v>
      </c>
    </row>
    <row r="30" spans="1:10" ht="12.75" customHeight="1">
      <c r="A30" s="420" t="s">
        <v>38</v>
      </c>
      <c r="B30" s="176" t="s">
        <v>164</v>
      </c>
      <c r="C30" s="177" t="s">
        <v>319</v>
      </c>
      <c r="D30" s="1256">
        <v>1</v>
      </c>
      <c r="E30" s="1288">
        <f aca="true" t="shared" si="5" ref="E30:J30">SUM(E31:E33)</f>
        <v>18885094</v>
      </c>
      <c r="F30" s="1288">
        <f t="shared" si="5"/>
        <v>19116299</v>
      </c>
      <c r="G30" s="1288">
        <f t="shared" si="5"/>
        <v>14423910</v>
      </c>
      <c r="H30" s="1288">
        <f t="shared" si="5"/>
        <v>14710910</v>
      </c>
      <c r="I30" s="1288">
        <f t="shared" si="5"/>
        <v>14710910</v>
      </c>
      <c r="J30" s="1288">
        <f t="shared" si="5"/>
        <v>14710910</v>
      </c>
    </row>
    <row r="31" spans="1:10" ht="12.75" customHeight="1">
      <c r="A31" s="422" t="s">
        <v>40</v>
      </c>
      <c r="B31" s="133"/>
      <c r="C31" s="17" t="s">
        <v>250</v>
      </c>
      <c r="D31" s="1257"/>
      <c r="E31" s="1289">
        <v>2397618</v>
      </c>
      <c r="F31" s="1289">
        <v>2634846</v>
      </c>
      <c r="G31" s="1289">
        <v>2634846</v>
      </c>
      <c r="H31" s="1289">
        <v>2634846</v>
      </c>
      <c r="I31" s="1289">
        <v>2634846</v>
      </c>
      <c r="J31" s="1289">
        <v>2634846</v>
      </c>
    </row>
    <row r="32" spans="1:10" ht="12.75" customHeight="1">
      <c r="A32" s="422" t="s">
        <v>47</v>
      </c>
      <c r="B32" s="133"/>
      <c r="C32" s="17" t="s">
        <v>251</v>
      </c>
      <c r="D32" s="1257"/>
      <c r="E32" s="1289">
        <v>487476</v>
      </c>
      <c r="F32" s="1289">
        <v>481453</v>
      </c>
      <c r="G32" s="1289">
        <v>481453</v>
      </c>
      <c r="H32" s="1289">
        <v>481453</v>
      </c>
      <c r="I32" s="1289">
        <v>481453</v>
      </c>
      <c r="J32" s="1289">
        <v>481453</v>
      </c>
    </row>
    <row r="33" spans="1:10" ht="12.75" customHeight="1">
      <c r="A33" s="422" t="s">
        <v>49</v>
      </c>
      <c r="B33" s="133"/>
      <c r="C33" s="17" t="s">
        <v>252</v>
      </c>
      <c r="D33" s="1257"/>
      <c r="E33" s="906">
        <v>16000000</v>
      </c>
      <c r="F33" s="906">
        <v>16000000</v>
      </c>
      <c r="G33" s="906">
        <v>11307611</v>
      </c>
      <c r="H33" s="906">
        <v>11594611</v>
      </c>
      <c r="I33" s="906">
        <v>11594611</v>
      </c>
      <c r="J33" s="906">
        <v>11594611</v>
      </c>
    </row>
    <row r="34" spans="1:10" ht="12.75" customHeight="1">
      <c r="A34" s="420" t="s">
        <v>51</v>
      </c>
      <c r="B34" s="130" t="s">
        <v>166</v>
      </c>
      <c r="C34" s="9" t="s">
        <v>485</v>
      </c>
      <c r="D34" s="1258"/>
      <c r="E34" s="1288">
        <f aca="true" t="shared" si="6" ref="E34:J34">SUM(E35:E37)</f>
        <v>4842080</v>
      </c>
      <c r="F34" s="1288">
        <f t="shared" si="6"/>
        <v>4850107</v>
      </c>
      <c r="G34" s="1288">
        <f t="shared" si="6"/>
        <v>4350107</v>
      </c>
      <c r="H34" s="1288">
        <f t="shared" si="6"/>
        <v>4350107</v>
      </c>
      <c r="I34" s="1288">
        <f t="shared" si="6"/>
        <v>4350107</v>
      </c>
      <c r="J34" s="1288">
        <f t="shared" si="6"/>
        <v>4350107</v>
      </c>
    </row>
    <row r="35" spans="1:10" ht="12.75" customHeight="1">
      <c r="A35" s="422" t="s">
        <v>53</v>
      </c>
      <c r="B35" s="133"/>
      <c r="C35" s="17" t="s">
        <v>250</v>
      </c>
      <c r="D35" s="1257"/>
      <c r="E35" s="1289">
        <v>284281</v>
      </c>
      <c r="F35" s="1289">
        <v>296017</v>
      </c>
      <c r="G35" s="1289">
        <v>296017</v>
      </c>
      <c r="H35" s="1289">
        <v>296017</v>
      </c>
      <c r="I35" s="1289">
        <v>296017</v>
      </c>
      <c r="J35" s="1289">
        <v>296017</v>
      </c>
    </row>
    <row r="36" spans="1:10" ht="12.75" customHeight="1">
      <c r="A36" s="422" t="s">
        <v>55</v>
      </c>
      <c r="B36" s="133"/>
      <c r="C36" s="136" t="s">
        <v>251</v>
      </c>
      <c r="D36" s="1259"/>
      <c r="E36" s="1290">
        <v>57799</v>
      </c>
      <c r="F36" s="1290">
        <v>54090</v>
      </c>
      <c r="G36" s="1290">
        <v>54090</v>
      </c>
      <c r="H36" s="1290">
        <v>54090</v>
      </c>
      <c r="I36" s="1290">
        <v>54090</v>
      </c>
      <c r="J36" s="1290">
        <v>54090</v>
      </c>
    </row>
    <row r="37" spans="1:10" ht="12.75" customHeight="1">
      <c r="A37" s="422" t="s">
        <v>57</v>
      </c>
      <c r="B37" s="133"/>
      <c r="C37" s="288" t="s">
        <v>252</v>
      </c>
      <c r="D37" s="1169"/>
      <c r="E37" s="1291">
        <v>4500000</v>
      </c>
      <c r="F37" s="1291">
        <v>4500000</v>
      </c>
      <c r="G37" s="1291">
        <v>4000000</v>
      </c>
      <c r="H37" s="1291">
        <v>4000000</v>
      </c>
      <c r="I37" s="1291">
        <v>4000000</v>
      </c>
      <c r="J37" s="1291">
        <v>4000000</v>
      </c>
    </row>
    <row r="38" spans="1:10" s="10" customFormat="1" ht="12.75" customHeight="1">
      <c r="A38" s="420" t="s">
        <v>86</v>
      </c>
      <c r="B38" s="130" t="s">
        <v>173</v>
      </c>
      <c r="C38" s="389" t="s">
        <v>486</v>
      </c>
      <c r="D38" s="1169"/>
      <c r="E38" s="1174">
        <f aca="true" t="shared" si="7" ref="E38:J38">SUM(E39:E41)</f>
        <v>0</v>
      </c>
      <c r="F38" s="1174">
        <f t="shared" si="7"/>
        <v>0</v>
      </c>
      <c r="G38" s="1174">
        <f t="shared" si="7"/>
        <v>0</v>
      </c>
      <c r="H38" s="1174">
        <f t="shared" si="7"/>
        <v>0</v>
      </c>
      <c r="I38" s="1174">
        <f t="shared" si="7"/>
        <v>0</v>
      </c>
      <c r="J38" s="1174">
        <f t="shared" si="7"/>
        <v>0</v>
      </c>
    </row>
    <row r="39" spans="1:10" ht="12.75" customHeight="1">
      <c r="A39" s="422" t="s">
        <v>59</v>
      </c>
      <c r="B39" s="133"/>
      <c r="C39" s="288" t="s">
        <v>250</v>
      </c>
      <c r="D39" s="1169"/>
      <c r="E39" s="1291">
        <v>0</v>
      </c>
      <c r="F39" s="1291">
        <v>0</v>
      </c>
      <c r="G39" s="1291">
        <v>0</v>
      </c>
      <c r="H39" s="1291">
        <v>0</v>
      </c>
      <c r="I39" s="1291">
        <v>0</v>
      </c>
      <c r="J39" s="1291">
        <v>0</v>
      </c>
    </row>
    <row r="40" spans="1:10" ht="12.75" customHeight="1">
      <c r="A40" s="422" t="s">
        <v>61</v>
      </c>
      <c r="B40" s="133"/>
      <c r="C40" s="120" t="s">
        <v>251</v>
      </c>
      <c r="D40" s="1256"/>
      <c r="E40" s="1292">
        <v>0</v>
      </c>
      <c r="F40" s="1292">
        <v>0</v>
      </c>
      <c r="G40" s="1292">
        <v>0</v>
      </c>
      <c r="H40" s="1292">
        <v>0</v>
      </c>
      <c r="I40" s="1292">
        <v>0</v>
      </c>
      <c r="J40" s="1292">
        <v>0</v>
      </c>
    </row>
    <row r="41" spans="1:10" ht="12.75" customHeight="1">
      <c r="A41" s="422" t="s">
        <v>63</v>
      </c>
      <c r="B41" s="133"/>
      <c r="C41" s="17" t="s">
        <v>252</v>
      </c>
      <c r="D41" s="1258"/>
      <c r="E41" s="1289">
        <v>0</v>
      </c>
      <c r="F41" s="1289">
        <v>0</v>
      </c>
      <c r="G41" s="1289">
        <v>0</v>
      </c>
      <c r="H41" s="1289">
        <v>0</v>
      </c>
      <c r="I41" s="1289">
        <v>0</v>
      </c>
      <c r="J41" s="1289">
        <v>0</v>
      </c>
    </row>
    <row r="42" spans="1:10" ht="12.75" customHeight="1">
      <c r="A42" s="420" t="s">
        <v>65</v>
      </c>
      <c r="B42" s="130" t="s">
        <v>182</v>
      </c>
      <c r="C42" s="9" t="s">
        <v>328</v>
      </c>
      <c r="D42" s="1258">
        <v>16</v>
      </c>
      <c r="E42" s="1288">
        <f aca="true" t="shared" si="8" ref="E42:J42">SUM(E43:E45)</f>
        <v>64660655</v>
      </c>
      <c r="F42" s="1288">
        <f t="shared" si="8"/>
        <v>62675906</v>
      </c>
      <c r="G42" s="1288">
        <f t="shared" si="8"/>
        <v>62675906</v>
      </c>
      <c r="H42" s="1288">
        <f t="shared" si="8"/>
        <v>62675906</v>
      </c>
      <c r="I42" s="1288">
        <f t="shared" si="8"/>
        <v>62675906</v>
      </c>
      <c r="J42" s="1288">
        <f t="shared" si="8"/>
        <v>72607185</v>
      </c>
    </row>
    <row r="43" spans="1:10" ht="12.75" customHeight="1">
      <c r="A43" s="422" t="s">
        <v>92</v>
      </c>
      <c r="B43" s="133"/>
      <c r="C43" s="17" t="s">
        <v>250</v>
      </c>
      <c r="D43" s="1258"/>
      <c r="E43" s="1289">
        <v>53356156</v>
      </c>
      <c r="F43" s="1289">
        <v>51801670</v>
      </c>
      <c r="G43" s="1289">
        <v>51801670</v>
      </c>
      <c r="H43" s="1289">
        <v>51801670</v>
      </c>
      <c r="I43" s="1289">
        <v>51801670</v>
      </c>
      <c r="J43" s="1289">
        <v>59077057</v>
      </c>
    </row>
    <row r="44" spans="1:10" ht="12.75" customHeight="1">
      <c r="A44" s="422" t="s">
        <v>66</v>
      </c>
      <c r="B44" s="133"/>
      <c r="C44" s="17" t="s">
        <v>251</v>
      </c>
      <c r="D44" s="1258"/>
      <c r="E44" s="1289">
        <v>9863094</v>
      </c>
      <c r="F44" s="1289">
        <v>9432831</v>
      </c>
      <c r="G44" s="1289">
        <v>9432831</v>
      </c>
      <c r="H44" s="1289">
        <v>9432831</v>
      </c>
      <c r="I44" s="1289">
        <v>9432831</v>
      </c>
      <c r="J44" s="1289">
        <v>10518712</v>
      </c>
    </row>
    <row r="45" spans="1:10" ht="12.75" customHeight="1">
      <c r="A45" s="422" t="s">
        <v>67</v>
      </c>
      <c r="B45" s="133"/>
      <c r="C45" s="17" t="s">
        <v>252</v>
      </c>
      <c r="D45" s="1258"/>
      <c r="E45" s="1289">
        <v>1441405</v>
      </c>
      <c r="F45" s="1289">
        <v>1441405</v>
      </c>
      <c r="G45" s="1289">
        <v>1441405</v>
      </c>
      <c r="H45" s="1289">
        <v>1441405</v>
      </c>
      <c r="I45" s="1289">
        <v>1441405</v>
      </c>
      <c r="J45" s="1289">
        <v>3011416</v>
      </c>
    </row>
    <row r="46" spans="1:10" s="114" customFormat="1" ht="12.75" customHeight="1">
      <c r="A46" s="1081" t="s">
        <v>68</v>
      </c>
      <c r="B46" s="1082"/>
      <c r="C46" s="57" t="s">
        <v>952</v>
      </c>
      <c r="D46" s="1281"/>
      <c r="E46" s="1293">
        <v>300000</v>
      </c>
      <c r="F46" s="1293">
        <v>60000</v>
      </c>
      <c r="G46" s="1293">
        <v>60000</v>
      </c>
      <c r="H46" s="1293">
        <v>150000</v>
      </c>
      <c r="I46" s="1293">
        <v>150000</v>
      </c>
      <c r="J46" s="1293">
        <v>150000</v>
      </c>
    </row>
    <row r="47" spans="1:10" ht="12.75" customHeight="1">
      <c r="A47" s="422" t="s">
        <v>70</v>
      </c>
      <c r="B47" s="133"/>
      <c r="C47" s="17" t="s">
        <v>15</v>
      </c>
      <c r="D47" s="1258"/>
      <c r="E47" s="1289">
        <v>0</v>
      </c>
      <c r="F47" s="1289"/>
      <c r="G47" s="1289"/>
      <c r="H47" s="1289"/>
      <c r="I47" s="1289"/>
      <c r="J47" s="1289"/>
    </row>
    <row r="48" spans="1:10" s="10" customFormat="1" ht="12.75" customHeight="1">
      <c r="A48" s="420" t="s">
        <v>97</v>
      </c>
      <c r="B48" s="130" t="s">
        <v>183</v>
      </c>
      <c r="C48" s="9" t="s">
        <v>487</v>
      </c>
      <c r="D48" s="1258"/>
      <c r="E48" s="1288">
        <f aca="true" t="shared" si="9" ref="E48:J48">SUM(E49:E51)</f>
        <v>394000</v>
      </c>
      <c r="F48" s="1288">
        <f t="shared" si="9"/>
        <v>0</v>
      </c>
      <c r="G48" s="1288">
        <f t="shared" si="9"/>
        <v>0</v>
      </c>
      <c r="H48" s="1288">
        <f t="shared" si="9"/>
        <v>0</v>
      </c>
      <c r="I48" s="1288">
        <f t="shared" si="9"/>
        <v>0</v>
      </c>
      <c r="J48" s="1288">
        <f t="shared" si="9"/>
        <v>0</v>
      </c>
    </row>
    <row r="49" spans="1:10" ht="12.75" customHeight="1">
      <c r="A49" s="422" t="s">
        <v>99</v>
      </c>
      <c r="B49" s="133"/>
      <c r="C49" s="17" t="s">
        <v>250</v>
      </c>
      <c r="D49" s="1258"/>
      <c r="E49" s="1289">
        <v>330000</v>
      </c>
      <c r="F49" s="1289"/>
      <c r="G49" s="1289"/>
      <c r="H49" s="1289"/>
      <c r="I49" s="1289"/>
      <c r="J49" s="1289"/>
    </row>
    <row r="50" spans="1:10" ht="12.75" customHeight="1">
      <c r="A50" s="422" t="s">
        <v>101</v>
      </c>
      <c r="B50" s="133"/>
      <c r="C50" s="17" t="s">
        <v>251</v>
      </c>
      <c r="D50" s="1258"/>
      <c r="E50" s="1289">
        <v>64000</v>
      </c>
      <c r="F50" s="1289"/>
      <c r="G50" s="1289"/>
      <c r="H50" s="1289"/>
      <c r="I50" s="1289"/>
      <c r="J50" s="1289"/>
    </row>
    <row r="51" spans="1:10" ht="12.75" customHeight="1">
      <c r="A51" s="422" t="s">
        <v>103</v>
      </c>
      <c r="B51" s="133"/>
      <c r="C51" s="17" t="s">
        <v>252</v>
      </c>
      <c r="D51" s="1258"/>
      <c r="E51" s="1289">
        <v>0</v>
      </c>
      <c r="F51" s="1289">
        <v>0</v>
      </c>
      <c r="G51" s="1289">
        <v>0</v>
      </c>
      <c r="H51" s="1289">
        <v>0</v>
      </c>
      <c r="I51" s="1289">
        <v>0</v>
      </c>
      <c r="J51" s="1289">
        <v>0</v>
      </c>
    </row>
    <row r="52" spans="1:10" ht="12.75" customHeight="1">
      <c r="A52" s="420" t="s">
        <v>105</v>
      </c>
      <c r="B52" s="130" t="s">
        <v>184</v>
      </c>
      <c r="C52" s="9" t="s">
        <v>334</v>
      </c>
      <c r="D52" s="1258"/>
      <c r="E52" s="1288">
        <f aca="true" t="shared" si="10" ref="E52:J52">SUM(E53:E55)</f>
        <v>13206641</v>
      </c>
      <c r="F52" s="1288">
        <f t="shared" si="10"/>
        <v>15594465</v>
      </c>
      <c r="G52" s="1288">
        <f t="shared" si="10"/>
        <v>15629711</v>
      </c>
      <c r="H52" s="1288">
        <f t="shared" si="10"/>
        <v>15629711</v>
      </c>
      <c r="I52" s="1288">
        <f t="shared" si="10"/>
        <v>15629711</v>
      </c>
      <c r="J52" s="1288">
        <f t="shared" si="10"/>
        <v>15629711</v>
      </c>
    </row>
    <row r="53" spans="1:10" ht="12.75" customHeight="1">
      <c r="A53" s="422" t="s">
        <v>107</v>
      </c>
      <c r="B53" s="133"/>
      <c r="C53" s="17" t="s">
        <v>250</v>
      </c>
      <c r="D53" s="1258">
        <v>3</v>
      </c>
      <c r="E53" s="1289">
        <v>10350140</v>
      </c>
      <c r="F53" s="1289">
        <v>12647110</v>
      </c>
      <c r="G53" s="1289">
        <v>12647110</v>
      </c>
      <c r="H53" s="1289">
        <v>12647110</v>
      </c>
      <c r="I53" s="1289">
        <v>12647110</v>
      </c>
      <c r="J53" s="1289">
        <v>12647110</v>
      </c>
    </row>
    <row r="54" spans="1:10" ht="12.75" customHeight="1">
      <c r="A54" s="422" t="s">
        <v>109</v>
      </c>
      <c r="B54" s="133"/>
      <c r="C54" s="17" t="s">
        <v>251</v>
      </c>
      <c r="D54" s="1258"/>
      <c r="E54" s="1289">
        <v>2170318</v>
      </c>
      <c r="F54" s="1289">
        <v>2257355</v>
      </c>
      <c r="G54" s="1289">
        <v>2257355</v>
      </c>
      <c r="H54" s="1289">
        <v>2257355</v>
      </c>
      <c r="I54" s="1289">
        <v>2257355</v>
      </c>
      <c r="J54" s="1289">
        <v>2257355</v>
      </c>
    </row>
    <row r="55" spans="1:10" ht="12.75" customHeight="1">
      <c r="A55" s="422" t="s">
        <v>111</v>
      </c>
      <c r="B55" s="133"/>
      <c r="C55" s="17" t="s">
        <v>252</v>
      </c>
      <c r="D55" s="1258"/>
      <c r="E55" s="1289">
        <v>686183</v>
      </c>
      <c r="F55" s="1289">
        <v>690000</v>
      </c>
      <c r="G55" s="1289">
        <v>725246</v>
      </c>
      <c r="H55" s="1289">
        <v>725246</v>
      </c>
      <c r="I55" s="1289">
        <v>725246</v>
      </c>
      <c r="J55" s="1289">
        <v>725246</v>
      </c>
    </row>
    <row r="56" spans="1:10" ht="12.75" customHeight="1">
      <c r="A56" s="420" t="s">
        <v>113</v>
      </c>
      <c r="B56" s="130" t="s">
        <v>186</v>
      </c>
      <c r="C56" s="9" t="s">
        <v>339</v>
      </c>
      <c r="D56" s="1258">
        <v>7</v>
      </c>
      <c r="E56" s="1288">
        <f aca="true" t="shared" si="11" ref="E56:J56">SUM(E57:E59)</f>
        <v>20133362</v>
      </c>
      <c r="F56" s="1288">
        <f t="shared" si="11"/>
        <v>23890051</v>
      </c>
      <c r="G56" s="1288">
        <f t="shared" si="11"/>
        <v>23908851</v>
      </c>
      <c r="H56" s="1288">
        <f t="shared" si="11"/>
        <v>23908851</v>
      </c>
      <c r="I56" s="1288">
        <f t="shared" si="11"/>
        <v>23908851</v>
      </c>
      <c r="J56" s="1288">
        <f t="shared" si="11"/>
        <v>23908851</v>
      </c>
    </row>
    <row r="57" spans="1:10" ht="12.75" customHeight="1">
      <c r="A57" s="422" t="s">
        <v>115</v>
      </c>
      <c r="B57" s="133"/>
      <c r="C57" s="17" t="s">
        <v>250</v>
      </c>
      <c r="D57" s="1258"/>
      <c r="E57" s="1289">
        <v>15644463</v>
      </c>
      <c r="F57" s="1289">
        <v>19090690</v>
      </c>
      <c r="G57" s="1289">
        <v>19106690</v>
      </c>
      <c r="H57" s="1289">
        <v>19106690</v>
      </c>
      <c r="I57" s="1289">
        <v>19106690</v>
      </c>
      <c r="J57" s="1289">
        <v>19106690</v>
      </c>
    </row>
    <row r="58" spans="1:10" ht="12.75" customHeight="1">
      <c r="A58" s="422" t="s">
        <v>117</v>
      </c>
      <c r="B58" s="133"/>
      <c r="C58" s="17" t="s">
        <v>251</v>
      </c>
      <c r="D58" s="1257"/>
      <c r="E58" s="1289">
        <v>3188899</v>
      </c>
      <c r="F58" s="1289">
        <v>3499361</v>
      </c>
      <c r="G58" s="1289">
        <v>3502161</v>
      </c>
      <c r="H58" s="1289">
        <v>3502161</v>
      </c>
      <c r="I58" s="1289">
        <v>3502161</v>
      </c>
      <c r="J58" s="1289">
        <v>3502161</v>
      </c>
    </row>
    <row r="59" spans="1:10" ht="12.75" customHeight="1">
      <c r="A59" s="422" t="s">
        <v>118</v>
      </c>
      <c r="B59" s="133"/>
      <c r="C59" s="17" t="s">
        <v>622</v>
      </c>
      <c r="D59" s="1257"/>
      <c r="E59" s="1289">
        <v>1300000</v>
      </c>
      <c r="F59" s="1289">
        <v>1300000</v>
      </c>
      <c r="G59" s="1289">
        <v>1300000</v>
      </c>
      <c r="H59" s="1289">
        <v>1300000</v>
      </c>
      <c r="I59" s="1289">
        <v>1300000</v>
      </c>
      <c r="J59" s="1289">
        <v>1300000</v>
      </c>
    </row>
    <row r="60" spans="1:10" s="114" customFormat="1" ht="12.75" customHeight="1">
      <c r="A60" s="1081" t="s">
        <v>120</v>
      </c>
      <c r="B60" s="1082"/>
      <c r="C60" s="57" t="s">
        <v>951</v>
      </c>
      <c r="D60" s="1282"/>
      <c r="E60" s="1293">
        <v>240000</v>
      </c>
      <c r="F60" s="1293">
        <v>0</v>
      </c>
      <c r="G60" s="1293">
        <v>0</v>
      </c>
      <c r="H60" s="1293">
        <v>90000</v>
      </c>
      <c r="I60" s="1293">
        <v>90000</v>
      </c>
      <c r="J60" s="1293">
        <v>90000</v>
      </c>
    </row>
    <row r="61" spans="1:10" ht="12.75" customHeight="1">
      <c r="A61" s="422" t="s">
        <v>122</v>
      </c>
      <c r="B61" s="133"/>
      <c r="C61" s="17" t="s">
        <v>15</v>
      </c>
      <c r="D61" s="1257"/>
      <c r="E61" s="1289">
        <v>0</v>
      </c>
      <c r="F61" s="1289">
        <v>0</v>
      </c>
      <c r="G61" s="1289">
        <v>0</v>
      </c>
      <c r="H61" s="1289">
        <v>0</v>
      </c>
      <c r="I61" s="1289">
        <v>0</v>
      </c>
      <c r="J61" s="1289">
        <v>0</v>
      </c>
    </row>
    <row r="62" spans="1:10" ht="12.75" customHeight="1">
      <c r="A62" s="420" t="s">
        <v>124</v>
      </c>
      <c r="B62" s="130" t="s">
        <v>189</v>
      </c>
      <c r="C62" s="9" t="s">
        <v>345</v>
      </c>
      <c r="D62" s="1258">
        <v>0</v>
      </c>
      <c r="E62" s="1288">
        <f>SUM(E63:E67)</f>
        <v>4656232</v>
      </c>
      <c r="F62" s="1288">
        <f>SUM(F63+F64+F65+F67)</f>
        <v>4500000</v>
      </c>
      <c r="G62" s="1288">
        <f>SUM(G63+G64+G65+G67)</f>
        <v>4059000</v>
      </c>
      <c r="H62" s="1288">
        <f>SUM(H63+H64+H65+H67)</f>
        <v>4059034</v>
      </c>
      <c r="I62" s="1288">
        <f>SUM(I63+I64+I65+I67)</f>
        <v>4059044</v>
      </c>
      <c r="J62" s="1288">
        <f>SUM(J63+J64+J65+J67)</f>
        <v>3892803</v>
      </c>
    </row>
    <row r="63" spans="1:10" ht="12.75" customHeight="1">
      <c r="A63" s="422" t="s">
        <v>126</v>
      </c>
      <c r="B63" s="133"/>
      <c r="C63" s="17" t="s">
        <v>488</v>
      </c>
      <c r="D63" s="1257"/>
      <c r="E63" s="1289">
        <v>500000</v>
      </c>
      <c r="F63" s="1289">
        <v>0</v>
      </c>
      <c r="G63" s="1289">
        <v>0</v>
      </c>
      <c r="H63" s="1289">
        <v>0</v>
      </c>
      <c r="I63" s="1289">
        <v>0</v>
      </c>
      <c r="J63" s="1289">
        <v>0</v>
      </c>
    </row>
    <row r="64" spans="1:10" ht="12.75" customHeight="1">
      <c r="A64" s="422" t="s">
        <v>128</v>
      </c>
      <c r="B64" s="133"/>
      <c r="C64" s="17" t="s">
        <v>1100</v>
      </c>
      <c r="D64" s="1257"/>
      <c r="E64" s="1289">
        <v>97500</v>
      </c>
      <c r="F64" s="1289">
        <v>0</v>
      </c>
      <c r="G64" s="1289">
        <v>0</v>
      </c>
      <c r="H64" s="1289">
        <v>0</v>
      </c>
      <c r="I64" s="1289">
        <v>0</v>
      </c>
      <c r="J64" s="1289">
        <v>0</v>
      </c>
    </row>
    <row r="65" spans="1:10" ht="12.75" customHeight="1">
      <c r="A65" s="422" t="s">
        <v>130</v>
      </c>
      <c r="B65" s="133"/>
      <c r="C65" s="17" t="s">
        <v>1101</v>
      </c>
      <c r="D65" s="1257"/>
      <c r="E65" s="1289">
        <v>3251110</v>
      </c>
      <c r="F65" s="1289">
        <v>4000000</v>
      </c>
      <c r="G65" s="1289">
        <v>3559000</v>
      </c>
      <c r="H65" s="1289">
        <v>3559034</v>
      </c>
      <c r="I65" s="1289">
        <v>3559044</v>
      </c>
      <c r="J65" s="1289">
        <v>3559044</v>
      </c>
    </row>
    <row r="66" spans="1:10" s="114" customFormat="1" ht="12.75" customHeight="1">
      <c r="A66" s="1081" t="s">
        <v>131</v>
      </c>
      <c r="B66" s="1415"/>
      <c r="C66" s="67" t="s">
        <v>1102</v>
      </c>
      <c r="D66" s="1416"/>
      <c r="E66" s="1417"/>
      <c r="F66" s="1417">
        <v>30000</v>
      </c>
      <c r="G66" s="1417">
        <v>30000</v>
      </c>
      <c r="H66" s="1417">
        <v>30000</v>
      </c>
      <c r="I66" s="1417">
        <v>30000</v>
      </c>
      <c r="J66" s="1417">
        <v>30000</v>
      </c>
    </row>
    <row r="67" spans="1:10" ht="12.75" customHeight="1" thickBot="1">
      <c r="A67" s="422" t="s">
        <v>133</v>
      </c>
      <c r="B67" s="179"/>
      <c r="C67" s="136" t="s">
        <v>15</v>
      </c>
      <c r="D67" s="1260"/>
      <c r="E67" s="1414">
        <v>807622</v>
      </c>
      <c r="F67" s="1414">
        <v>500000</v>
      </c>
      <c r="G67" s="1414">
        <v>500000</v>
      </c>
      <c r="H67" s="1414">
        <v>500000</v>
      </c>
      <c r="I67" s="1414">
        <v>500000</v>
      </c>
      <c r="J67" s="1414">
        <v>333759</v>
      </c>
    </row>
    <row r="68" spans="1:55" s="418" customFormat="1" ht="24" customHeight="1" thickBot="1">
      <c r="A68" s="428" t="s">
        <v>135</v>
      </c>
      <c r="B68" s="71" t="s">
        <v>191</v>
      </c>
      <c r="C68" s="72" t="s">
        <v>490</v>
      </c>
      <c r="D68" s="1283">
        <v>27</v>
      </c>
      <c r="E68" s="1294">
        <f aca="true" t="shared" si="12" ref="E68:J68">SUM(E30+E34+E42+E52+E56+E62)+E48+E38</f>
        <v>126778064</v>
      </c>
      <c r="F68" s="1294">
        <f t="shared" si="12"/>
        <v>130626828</v>
      </c>
      <c r="G68" s="1294">
        <f t="shared" si="12"/>
        <v>125047485</v>
      </c>
      <c r="H68" s="1294">
        <f t="shared" si="12"/>
        <v>125334519</v>
      </c>
      <c r="I68" s="1294">
        <f t="shared" si="12"/>
        <v>125334529</v>
      </c>
      <c r="J68" s="1294">
        <f t="shared" si="12"/>
        <v>135099567</v>
      </c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417"/>
      <c r="AJ68" s="417"/>
      <c r="AK68" s="417"/>
      <c r="AL68" s="417"/>
      <c r="AM68" s="417"/>
      <c r="AN68" s="417"/>
      <c r="AO68" s="417"/>
      <c r="AP68" s="417"/>
      <c r="AQ68" s="417"/>
      <c r="AR68" s="417"/>
      <c r="AS68" s="417"/>
      <c r="AT68" s="417"/>
      <c r="AU68" s="417"/>
      <c r="AV68" s="417"/>
      <c r="AW68" s="417"/>
      <c r="AX68" s="417"/>
      <c r="AY68" s="417"/>
      <c r="AZ68" s="417"/>
      <c r="BA68" s="417"/>
      <c r="BB68" s="417"/>
      <c r="BC68" s="417"/>
    </row>
    <row r="69" spans="1:55" s="6" customFormat="1" ht="12.75" customHeight="1">
      <c r="A69" s="422" t="s">
        <v>137</v>
      </c>
      <c r="B69" s="180"/>
      <c r="C69" s="181" t="s">
        <v>250</v>
      </c>
      <c r="D69" s="1284"/>
      <c r="E69" s="1295">
        <f aca="true" t="shared" si="13" ref="E69:J69">SUM(E31+E35+E43+E53+E57)+E49+E63</f>
        <v>82862658</v>
      </c>
      <c r="F69" s="1295">
        <f t="shared" si="13"/>
        <v>86470333</v>
      </c>
      <c r="G69" s="1295">
        <f t="shared" si="13"/>
        <v>86486333</v>
      </c>
      <c r="H69" s="1295">
        <f t="shared" si="13"/>
        <v>86486333</v>
      </c>
      <c r="I69" s="1295">
        <f t="shared" si="13"/>
        <v>86486333</v>
      </c>
      <c r="J69" s="1295">
        <f t="shared" si="13"/>
        <v>93761720</v>
      </c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</row>
    <row r="70" spans="1:55" s="6" customFormat="1" ht="12.75" customHeight="1">
      <c r="A70" s="422" t="s">
        <v>139</v>
      </c>
      <c r="B70" s="145"/>
      <c r="C70" s="147" t="s">
        <v>251</v>
      </c>
      <c r="D70" s="1160"/>
      <c r="E70" s="906">
        <f aca="true" t="shared" si="14" ref="E70:J70">SUM(E32+E44+E54+E58)+E36+E50+E64</f>
        <v>15929086</v>
      </c>
      <c r="F70" s="906">
        <f t="shared" si="14"/>
        <v>15725090</v>
      </c>
      <c r="G70" s="906">
        <f t="shared" si="14"/>
        <v>15727890</v>
      </c>
      <c r="H70" s="906">
        <f t="shared" si="14"/>
        <v>15727890</v>
      </c>
      <c r="I70" s="906">
        <f t="shared" si="14"/>
        <v>15727890</v>
      </c>
      <c r="J70" s="906">
        <f t="shared" si="14"/>
        <v>16813771</v>
      </c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</row>
    <row r="71" spans="1:55" s="6" customFormat="1" ht="12.75" customHeight="1">
      <c r="A71" s="422" t="s">
        <v>141</v>
      </c>
      <c r="B71" s="145"/>
      <c r="C71" s="147" t="s">
        <v>252</v>
      </c>
      <c r="D71" s="1160"/>
      <c r="E71" s="906">
        <f aca="true" t="shared" si="15" ref="E71:J71">SUM(E33+E37+E45+E55+E59+E65)</f>
        <v>27178698</v>
      </c>
      <c r="F71" s="906">
        <f t="shared" si="15"/>
        <v>27931405</v>
      </c>
      <c r="G71" s="906">
        <f t="shared" si="15"/>
        <v>22333262</v>
      </c>
      <c r="H71" s="906">
        <f t="shared" si="15"/>
        <v>22620296</v>
      </c>
      <c r="I71" s="906">
        <f t="shared" si="15"/>
        <v>22620306</v>
      </c>
      <c r="J71" s="906">
        <f t="shared" si="15"/>
        <v>24190317</v>
      </c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</row>
    <row r="72" spans="1:55" s="6" customFormat="1" ht="18.75" customHeight="1">
      <c r="A72" s="762" t="s">
        <v>143</v>
      </c>
      <c r="B72" s="763"/>
      <c r="C72" s="764" t="s">
        <v>15</v>
      </c>
      <c r="D72" s="1161"/>
      <c r="E72" s="1156">
        <f aca="true" t="shared" si="16" ref="E72:J72">SUM(E61+E67)+E47</f>
        <v>807622</v>
      </c>
      <c r="F72" s="1156">
        <f t="shared" si="16"/>
        <v>500000</v>
      </c>
      <c r="G72" s="1156">
        <f t="shared" si="16"/>
        <v>500000</v>
      </c>
      <c r="H72" s="1156">
        <f t="shared" si="16"/>
        <v>500000</v>
      </c>
      <c r="I72" s="1156">
        <f t="shared" si="16"/>
        <v>500000</v>
      </c>
      <c r="J72" s="1156">
        <f t="shared" si="16"/>
        <v>333759</v>
      </c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</row>
    <row r="73" spans="1:10" s="770" customFormat="1" ht="12.75" customHeight="1">
      <c r="A73" s="768" t="s">
        <v>145</v>
      </c>
      <c r="B73" s="768"/>
      <c r="C73" s="769" t="s">
        <v>778</v>
      </c>
      <c r="D73" s="1162"/>
      <c r="E73" s="1157">
        <f aca="true" t="shared" si="17" ref="E73:J73">SUM(E72)</f>
        <v>807622</v>
      </c>
      <c r="F73" s="1157">
        <f t="shared" si="17"/>
        <v>500000</v>
      </c>
      <c r="G73" s="1157">
        <f t="shared" si="17"/>
        <v>500000</v>
      </c>
      <c r="H73" s="1157">
        <f t="shared" si="17"/>
        <v>500000</v>
      </c>
      <c r="I73" s="1157">
        <f t="shared" si="17"/>
        <v>500000</v>
      </c>
      <c r="J73" s="1157">
        <f t="shared" si="17"/>
        <v>333759</v>
      </c>
    </row>
    <row r="74" spans="1:10" s="507" customFormat="1" ht="12.75" customHeight="1" thickBot="1">
      <c r="A74" s="734" t="s">
        <v>147</v>
      </c>
      <c r="B74" s="734"/>
      <c r="C74" s="734" t="s">
        <v>779</v>
      </c>
      <c r="D74" s="1285"/>
      <c r="E74" s="1158"/>
      <c r="F74" s="1158"/>
      <c r="G74" s="1158"/>
      <c r="H74" s="1158"/>
      <c r="I74" s="1158"/>
      <c r="J74" s="1158"/>
    </row>
  </sheetData>
  <sheetProtection selectLockedCells="1" selectUnlockedCells="1"/>
  <mergeCells count="40">
    <mergeCell ref="C26:D26"/>
    <mergeCell ref="A13:B13"/>
    <mergeCell ref="A28:B29"/>
    <mergeCell ref="A22:B22"/>
    <mergeCell ref="A23:B23"/>
    <mergeCell ref="A24:B24"/>
    <mergeCell ref="A25:B25"/>
    <mergeCell ref="C24:D24"/>
    <mergeCell ref="C25:D25"/>
    <mergeCell ref="A26:B26"/>
    <mergeCell ref="C11:D11"/>
    <mergeCell ref="A21:B21"/>
    <mergeCell ref="C14:D14"/>
    <mergeCell ref="A14:B14"/>
    <mergeCell ref="C19:D19"/>
    <mergeCell ref="A17:B17"/>
    <mergeCell ref="C13:D13"/>
    <mergeCell ref="C23:D23"/>
    <mergeCell ref="C18:D18"/>
    <mergeCell ref="C17:D17"/>
    <mergeCell ref="A15:B15"/>
    <mergeCell ref="A16:B16"/>
    <mergeCell ref="C21:D21"/>
    <mergeCell ref="C22:D22"/>
    <mergeCell ref="C20:D20"/>
    <mergeCell ref="A18:B18"/>
    <mergeCell ref="A20:B20"/>
    <mergeCell ref="A19:B19"/>
    <mergeCell ref="C12:D12"/>
    <mergeCell ref="A7:B8"/>
    <mergeCell ref="A9:B9"/>
    <mergeCell ref="C9:D9"/>
    <mergeCell ref="C10:D10"/>
    <mergeCell ref="A10:B10"/>
    <mergeCell ref="E3:H3"/>
    <mergeCell ref="A4:J4"/>
    <mergeCell ref="A2:J2"/>
    <mergeCell ref="A1:J1"/>
    <mergeCell ref="A11:B11"/>
    <mergeCell ref="A12:B12"/>
  </mergeCells>
  <printOptions horizontalCentered="1"/>
  <pageMargins left="0.2362204724409449" right="0.11811023622047245" top="0.984251968503937" bottom="0.984251968503937" header="0.5118110236220472" footer="0.5118110236220472"/>
  <pageSetup fitToWidth="0" fitToHeight="1" horizontalDpi="600" verticalDpi="6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45"/>
  <sheetViews>
    <sheetView view="pageBreakPreview" zoomScaleSheetLayoutView="100" zoomScalePageLayoutView="0" workbookViewId="0" topLeftCell="A1">
      <selection activeCell="J10" sqref="J10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10" width="17.421875" style="52" customWidth="1"/>
  </cols>
  <sheetData>
    <row r="1" spans="1:10" s="169" customFormat="1" ht="18" customHeight="1">
      <c r="A1" s="2058" t="s">
        <v>491</v>
      </c>
      <c r="B1" s="2058"/>
      <c r="C1" s="2058"/>
      <c r="D1" s="2058"/>
      <c r="E1" s="2058"/>
      <c r="F1" s="2058"/>
      <c r="G1" s="2058"/>
      <c r="H1" s="2058"/>
      <c r="I1" s="2058"/>
      <c r="J1" s="2058"/>
    </row>
    <row r="2" spans="1:10" ht="15" customHeight="1">
      <c r="A2" s="1975" t="s">
        <v>1295</v>
      </c>
      <c r="B2" s="1975"/>
      <c r="C2" s="1975"/>
      <c r="D2" s="1975"/>
      <c r="E2" s="1975"/>
      <c r="F2" s="1975"/>
      <c r="G2" s="1975"/>
      <c r="H2" s="1975"/>
      <c r="I2" s="1975"/>
      <c r="J2" s="1975"/>
    </row>
    <row r="3" spans="3:10" ht="12.75" customHeight="1">
      <c r="C3" s="1"/>
      <c r="D3" s="1"/>
      <c r="E3" s="1977" t="s">
        <v>1296</v>
      </c>
      <c r="F3" s="1977"/>
      <c r="G3" s="1977"/>
      <c r="H3" s="183"/>
      <c r="I3" s="183"/>
      <c r="J3" s="1823" t="s">
        <v>1308</v>
      </c>
    </row>
    <row r="4" spans="1:10" ht="21" customHeight="1">
      <c r="A4" s="2057" t="s">
        <v>1073</v>
      </c>
      <c r="B4" s="2057"/>
      <c r="C4" s="2057"/>
      <c r="D4" s="2057"/>
      <c r="E4" s="2057"/>
      <c r="F4" s="2057"/>
      <c r="G4" s="2057"/>
      <c r="H4" s="2057"/>
      <c r="I4" s="2057"/>
      <c r="J4" s="2057"/>
    </row>
    <row r="5" spans="3:4" ht="21" customHeight="1">
      <c r="C5" s="184"/>
      <c r="D5" s="184"/>
    </row>
    <row r="6" spans="5:10" ht="12.75" customHeight="1" thickBot="1">
      <c r="E6" s="839"/>
      <c r="F6" s="839"/>
      <c r="G6" s="839"/>
      <c r="H6" s="839"/>
      <c r="I6" s="839"/>
      <c r="J6" s="839" t="s">
        <v>214</v>
      </c>
    </row>
    <row r="7" spans="1:10" ht="38.25" customHeight="1" thickBot="1">
      <c r="A7" s="2052" t="s">
        <v>156</v>
      </c>
      <c r="B7" s="2053"/>
      <c r="C7" s="2054" t="s">
        <v>157</v>
      </c>
      <c r="D7" s="2054"/>
      <c r="E7" s="1328" t="s">
        <v>1071</v>
      </c>
      <c r="F7" s="1328" t="s">
        <v>1072</v>
      </c>
      <c r="G7" s="1328" t="s">
        <v>1157</v>
      </c>
      <c r="H7" s="1328" t="s">
        <v>1178</v>
      </c>
      <c r="I7" s="1328" t="s">
        <v>1250</v>
      </c>
      <c r="J7" s="1328" t="s">
        <v>1267</v>
      </c>
    </row>
    <row r="8" spans="1:10" ht="12.75" customHeight="1" thickBot="1">
      <c r="A8" s="2031" t="s">
        <v>158</v>
      </c>
      <c r="B8" s="2032"/>
      <c r="C8" s="1329" t="s">
        <v>159</v>
      </c>
      <c r="D8" s="1330"/>
      <c r="E8" s="1331" t="s">
        <v>160</v>
      </c>
      <c r="F8" s="1331" t="s">
        <v>161</v>
      </c>
      <c r="G8" s="1331" t="s">
        <v>456</v>
      </c>
      <c r="H8" s="1331" t="s">
        <v>476</v>
      </c>
      <c r="I8" s="1331" t="s">
        <v>701</v>
      </c>
      <c r="J8" s="1331" t="s">
        <v>782</v>
      </c>
    </row>
    <row r="9" spans="1:10" s="10" customFormat="1" ht="26.25" customHeight="1">
      <c r="A9" s="2055" t="s">
        <v>38</v>
      </c>
      <c r="B9" s="2056"/>
      <c r="C9" s="2047" t="s">
        <v>1029</v>
      </c>
      <c r="D9" s="2048"/>
      <c r="E9" s="1332">
        <v>56273</v>
      </c>
      <c r="F9" s="1332"/>
      <c r="G9" s="1332"/>
      <c r="H9" s="1332"/>
      <c r="I9" s="1332"/>
      <c r="J9" s="1332"/>
    </row>
    <row r="10" spans="1:10" s="10" customFormat="1" ht="12.75" customHeight="1">
      <c r="A10" s="2033" t="s">
        <v>40</v>
      </c>
      <c r="B10" s="2034"/>
      <c r="C10" s="465" t="s">
        <v>78</v>
      </c>
      <c r="D10" s="264"/>
      <c r="E10" s="807">
        <f aca="true" t="shared" si="0" ref="E10:J10">SUM(E11:E13)</f>
        <v>1277049</v>
      </c>
      <c r="F10" s="807">
        <f t="shared" si="0"/>
        <v>1277000</v>
      </c>
      <c r="G10" s="807">
        <f t="shared" si="0"/>
        <v>350000</v>
      </c>
      <c r="H10" s="807">
        <f t="shared" si="0"/>
        <v>400020</v>
      </c>
      <c r="I10" s="807">
        <f t="shared" si="0"/>
        <v>590018</v>
      </c>
      <c r="J10" s="807">
        <f t="shared" si="0"/>
        <v>702157</v>
      </c>
    </row>
    <row r="11" spans="1:10" s="269" customFormat="1" ht="12.75" customHeight="1">
      <c r="A11" s="1981" t="s">
        <v>47</v>
      </c>
      <c r="B11" s="1981"/>
      <c r="C11" s="811" t="s">
        <v>629</v>
      </c>
      <c r="D11" s="627"/>
      <c r="E11" s="405">
        <v>1277000</v>
      </c>
      <c r="F11" s="405">
        <v>1277000</v>
      </c>
      <c r="G11" s="405">
        <v>350000</v>
      </c>
      <c r="H11" s="405">
        <v>400000</v>
      </c>
      <c r="I11" s="405">
        <v>550000</v>
      </c>
      <c r="J11" s="405">
        <v>643630</v>
      </c>
    </row>
    <row r="12" spans="1:10" s="269" customFormat="1" ht="12.75" customHeight="1">
      <c r="A12" s="2049" t="s">
        <v>49</v>
      </c>
      <c r="B12" s="2001"/>
      <c r="C12" s="811" t="s">
        <v>783</v>
      </c>
      <c r="D12" s="627"/>
      <c r="E12" s="405">
        <v>0</v>
      </c>
      <c r="F12" s="405">
        <v>0</v>
      </c>
      <c r="G12" s="405">
        <v>0</v>
      </c>
      <c r="H12" s="405">
        <v>0</v>
      </c>
      <c r="I12" s="405">
        <v>0</v>
      </c>
      <c r="J12" s="405">
        <v>0</v>
      </c>
    </row>
    <row r="13" spans="1:10" s="269" customFormat="1" ht="12.75" customHeight="1">
      <c r="A13" s="2049" t="s">
        <v>51</v>
      </c>
      <c r="B13" s="2001"/>
      <c r="C13" s="811" t="s">
        <v>784</v>
      </c>
      <c r="D13" s="627"/>
      <c r="E13" s="405">
        <v>49</v>
      </c>
      <c r="F13" s="405">
        <v>0</v>
      </c>
      <c r="G13" s="405">
        <v>0</v>
      </c>
      <c r="H13" s="405">
        <v>20</v>
      </c>
      <c r="I13" s="405">
        <v>40018</v>
      </c>
      <c r="J13" s="405">
        <v>58527</v>
      </c>
    </row>
    <row r="14" spans="1:10" ht="19.5" customHeight="1" thickBot="1">
      <c r="A14" s="2035" t="s">
        <v>53</v>
      </c>
      <c r="B14" s="2036"/>
      <c r="C14" s="808" t="s">
        <v>479</v>
      </c>
      <c r="D14" s="809"/>
      <c r="E14" s="810">
        <f aca="true" t="shared" si="1" ref="E14:J14">SUM(E10)+E9</f>
        <v>1333322</v>
      </c>
      <c r="F14" s="810">
        <f t="shared" si="1"/>
        <v>1277000</v>
      </c>
      <c r="G14" s="810">
        <f t="shared" si="1"/>
        <v>350000</v>
      </c>
      <c r="H14" s="810">
        <f t="shared" si="1"/>
        <v>400020</v>
      </c>
      <c r="I14" s="810">
        <f t="shared" si="1"/>
        <v>590018</v>
      </c>
      <c r="J14" s="810">
        <f t="shared" si="1"/>
        <v>702157</v>
      </c>
    </row>
    <row r="15" spans="1:10" ht="12.75" customHeight="1">
      <c r="A15" s="2037" t="s">
        <v>55</v>
      </c>
      <c r="B15" s="2038"/>
      <c r="C15" s="172" t="s">
        <v>492</v>
      </c>
      <c r="D15" s="439"/>
      <c r="E15" s="440">
        <f aca="true" t="shared" si="2" ref="E15:J15">SUM(E16:E17)</f>
        <v>24938230</v>
      </c>
      <c r="F15" s="440">
        <f t="shared" si="2"/>
        <v>26630663</v>
      </c>
      <c r="G15" s="440">
        <f t="shared" si="2"/>
        <v>23673049</v>
      </c>
      <c r="H15" s="440">
        <f t="shared" si="2"/>
        <v>23903819</v>
      </c>
      <c r="I15" s="440">
        <f t="shared" si="2"/>
        <v>24081516</v>
      </c>
      <c r="J15" s="440">
        <f t="shared" si="2"/>
        <v>22872127</v>
      </c>
    </row>
    <row r="16" spans="1:10" ht="12.75" customHeight="1">
      <c r="A16" s="2050" t="s">
        <v>57</v>
      </c>
      <c r="B16" s="2051"/>
      <c r="C16" s="185" t="s">
        <v>481</v>
      </c>
      <c r="D16" s="186"/>
      <c r="E16" s="437">
        <v>5050082</v>
      </c>
      <c r="F16" s="437">
        <v>4357233</v>
      </c>
      <c r="G16" s="437">
        <v>4472619</v>
      </c>
      <c r="H16" s="437">
        <v>6201079</v>
      </c>
      <c r="I16" s="437">
        <v>6378776</v>
      </c>
      <c r="J16" s="437">
        <v>6558776</v>
      </c>
    </row>
    <row r="17" spans="1:10" ht="12.75" customHeight="1">
      <c r="A17" s="2039" t="s">
        <v>86</v>
      </c>
      <c r="B17" s="2040"/>
      <c r="C17" s="187" t="s">
        <v>482</v>
      </c>
      <c r="D17" s="174"/>
      <c r="E17" s="438">
        <v>19888148</v>
      </c>
      <c r="F17" s="438">
        <v>22273430</v>
      </c>
      <c r="G17" s="438">
        <v>19200430</v>
      </c>
      <c r="H17" s="438">
        <v>17702740</v>
      </c>
      <c r="I17" s="438">
        <v>17702740</v>
      </c>
      <c r="J17" s="438">
        <v>16313351</v>
      </c>
    </row>
    <row r="18" spans="1:10" ht="12.75" customHeight="1" thickBot="1">
      <c r="A18" s="2039" t="s">
        <v>59</v>
      </c>
      <c r="B18" s="2040"/>
      <c r="C18" s="2046" t="s">
        <v>235</v>
      </c>
      <c r="D18" s="2046"/>
      <c r="E18" s="589">
        <v>321658</v>
      </c>
      <c r="F18" s="589">
        <v>269743</v>
      </c>
      <c r="G18" s="589">
        <v>269743</v>
      </c>
      <c r="H18" s="589">
        <v>269743</v>
      </c>
      <c r="I18" s="589">
        <v>269743</v>
      </c>
      <c r="J18" s="589">
        <v>269743</v>
      </c>
    </row>
    <row r="19" spans="1:10" ht="18" customHeight="1" thickBot="1">
      <c r="A19" s="2044" t="s">
        <v>61</v>
      </c>
      <c r="B19" s="2045"/>
      <c r="C19" s="2041" t="s">
        <v>493</v>
      </c>
      <c r="D19" s="2041"/>
      <c r="E19" s="441">
        <f aca="true" t="shared" si="3" ref="E19:J19">SUM(E15+E18)</f>
        <v>25259888</v>
      </c>
      <c r="F19" s="441">
        <f t="shared" si="3"/>
        <v>26900406</v>
      </c>
      <c r="G19" s="441">
        <f t="shared" si="3"/>
        <v>23942792</v>
      </c>
      <c r="H19" s="441">
        <f t="shared" si="3"/>
        <v>24173562</v>
      </c>
      <c r="I19" s="441">
        <f t="shared" si="3"/>
        <v>24351259</v>
      </c>
      <c r="J19" s="441">
        <f t="shared" si="3"/>
        <v>23141870</v>
      </c>
    </row>
    <row r="20" spans="1:10" s="334" customFormat="1" ht="16.5" thickBot="1">
      <c r="A20" s="2042" t="s">
        <v>63</v>
      </c>
      <c r="B20" s="2043"/>
      <c r="C20" s="442" t="s">
        <v>116</v>
      </c>
      <c r="D20" s="443"/>
      <c r="E20" s="444">
        <f aca="true" t="shared" si="4" ref="E20:J20">SUM(E10+E15+E18)+E9</f>
        <v>26593210</v>
      </c>
      <c r="F20" s="444">
        <f t="shared" si="4"/>
        <v>28177406</v>
      </c>
      <c r="G20" s="444">
        <f t="shared" si="4"/>
        <v>24292792</v>
      </c>
      <c r="H20" s="444">
        <f t="shared" si="4"/>
        <v>24573582</v>
      </c>
      <c r="I20" s="444">
        <f t="shared" si="4"/>
        <v>24941277</v>
      </c>
      <c r="J20" s="444">
        <f t="shared" si="4"/>
        <v>23844027</v>
      </c>
    </row>
    <row r="21" spans="3:10" ht="12.75" customHeight="1" thickBot="1">
      <c r="C21" s="64"/>
      <c r="D21" s="64"/>
      <c r="E21" s="127"/>
      <c r="F21" s="127"/>
      <c r="G21" s="127"/>
      <c r="H21" s="127"/>
      <c r="I21" s="127"/>
      <c r="J21" s="127"/>
    </row>
    <row r="22" spans="1:10" ht="49.5" customHeight="1" thickBot="1">
      <c r="A22" s="2027" t="s">
        <v>156</v>
      </c>
      <c r="B22" s="2028"/>
      <c r="C22" s="348" t="s">
        <v>119</v>
      </c>
      <c r="D22" s="449" t="s">
        <v>494</v>
      </c>
      <c r="E22" s="436" t="s">
        <v>1071</v>
      </c>
      <c r="F22" s="436" t="s">
        <v>1072</v>
      </c>
      <c r="G22" s="436" t="s">
        <v>1157</v>
      </c>
      <c r="H22" s="436" t="s">
        <v>1178</v>
      </c>
      <c r="I22" s="436" t="s">
        <v>1250</v>
      </c>
      <c r="J22" s="436" t="s">
        <v>1267</v>
      </c>
    </row>
    <row r="23" spans="1:10" ht="12.75" customHeight="1" thickBot="1">
      <c r="A23" s="2029"/>
      <c r="B23" s="2030"/>
      <c r="C23" s="460" t="s">
        <v>158</v>
      </c>
      <c r="D23" s="318" t="s">
        <v>159</v>
      </c>
      <c r="E23" s="351" t="s">
        <v>160</v>
      </c>
      <c r="F23" s="351" t="s">
        <v>161</v>
      </c>
      <c r="G23" s="351" t="s">
        <v>456</v>
      </c>
      <c r="H23" s="351" t="s">
        <v>476</v>
      </c>
      <c r="I23" s="351" t="s">
        <v>701</v>
      </c>
      <c r="J23" s="351" t="s">
        <v>782</v>
      </c>
    </row>
    <row r="24" spans="1:10" ht="12.75" customHeight="1">
      <c r="A24" s="456" t="s">
        <v>38</v>
      </c>
      <c r="B24" s="457" t="s">
        <v>164</v>
      </c>
      <c r="C24" s="458" t="s">
        <v>359</v>
      </c>
      <c r="D24" s="459">
        <v>5</v>
      </c>
      <c r="E24" s="432">
        <f aca="true" t="shared" si="5" ref="E24:J24">SUM(E25+E26+E27+E30)</f>
        <v>25147344</v>
      </c>
      <c r="F24" s="432">
        <f t="shared" si="5"/>
        <v>26857406</v>
      </c>
      <c r="G24" s="432">
        <f t="shared" si="5"/>
        <v>22972792</v>
      </c>
      <c r="H24" s="432">
        <f t="shared" si="5"/>
        <v>23253582</v>
      </c>
      <c r="I24" s="432">
        <f t="shared" si="5"/>
        <v>23621277</v>
      </c>
      <c r="J24" s="432">
        <f t="shared" si="5"/>
        <v>22921489</v>
      </c>
    </row>
    <row r="25" spans="1:10" ht="12.75" customHeight="1">
      <c r="A25" s="451" t="s">
        <v>40</v>
      </c>
      <c r="B25" s="287"/>
      <c r="C25" s="288" t="s">
        <v>250</v>
      </c>
      <c r="D25" s="446"/>
      <c r="E25" s="452">
        <v>11818516</v>
      </c>
      <c r="F25" s="452">
        <v>11927834</v>
      </c>
      <c r="G25" s="452">
        <v>12026035</v>
      </c>
      <c r="H25" s="452">
        <v>12222435</v>
      </c>
      <c r="I25" s="452">
        <v>12376285</v>
      </c>
      <c r="J25" s="452">
        <v>13184023</v>
      </c>
    </row>
    <row r="26" spans="1:10" ht="12.75" customHeight="1">
      <c r="A26" s="451" t="s">
        <v>47</v>
      </c>
      <c r="B26" s="287"/>
      <c r="C26" s="288" t="s">
        <v>251</v>
      </c>
      <c r="D26" s="446"/>
      <c r="E26" s="452">
        <v>2031672</v>
      </c>
      <c r="F26" s="452">
        <v>2129572</v>
      </c>
      <c r="G26" s="452">
        <v>2146757</v>
      </c>
      <c r="H26" s="452">
        <v>2181127</v>
      </c>
      <c r="I26" s="452">
        <v>2204974</v>
      </c>
      <c r="J26" s="452">
        <v>2234109</v>
      </c>
    </row>
    <row r="27" spans="1:10" ht="12.75" customHeight="1">
      <c r="A27" s="451" t="s">
        <v>49</v>
      </c>
      <c r="B27" s="287"/>
      <c r="C27" s="288" t="s">
        <v>252</v>
      </c>
      <c r="D27" s="446"/>
      <c r="E27" s="452">
        <v>11297156</v>
      </c>
      <c r="F27" s="452">
        <v>12300000</v>
      </c>
      <c r="G27" s="452">
        <v>8300000</v>
      </c>
      <c r="H27" s="452">
        <v>8350020</v>
      </c>
      <c r="I27" s="452">
        <v>8540018</v>
      </c>
      <c r="J27" s="452">
        <v>7258576</v>
      </c>
    </row>
    <row r="28" spans="1:10" s="198" customFormat="1" ht="12.75" customHeight="1">
      <c r="A28" s="453" t="s">
        <v>51</v>
      </c>
      <c r="B28" s="447"/>
      <c r="C28" s="307" t="s">
        <v>631</v>
      </c>
      <c r="D28" s="448"/>
      <c r="E28" s="454">
        <v>4929886</v>
      </c>
      <c r="F28" s="454">
        <v>6000000</v>
      </c>
      <c r="G28" s="454">
        <v>3320000</v>
      </c>
      <c r="H28" s="454">
        <v>3320000</v>
      </c>
      <c r="I28" s="454">
        <v>3320000</v>
      </c>
      <c r="J28" s="454">
        <v>1469662</v>
      </c>
    </row>
    <row r="29" spans="1:10" s="198" customFormat="1" ht="12.75" customHeight="1">
      <c r="A29" s="453" t="s">
        <v>53</v>
      </c>
      <c r="B29" s="447"/>
      <c r="C29" s="307" t="s">
        <v>912</v>
      </c>
      <c r="D29" s="448"/>
      <c r="E29" s="454">
        <v>300000</v>
      </c>
      <c r="F29" s="454">
        <v>100000</v>
      </c>
      <c r="G29" s="454">
        <v>100000</v>
      </c>
      <c r="H29" s="454">
        <v>100000</v>
      </c>
      <c r="I29" s="454">
        <v>100000</v>
      </c>
      <c r="J29" s="454">
        <v>52460</v>
      </c>
    </row>
    <row r="30" spans="1:10" ht="12.75" customHeight="1">
      <c r="A30" s="451" t="s">
        <v>55</v>
      </c>
      <c r="B30" s="287"/>
      <c r="C30" s="288" t="s">
        <v>249</v>
      </c>
      <c r="D30" s="446"/>
      <c r="E30" s="452">
        <f>SUM('6,7,8 Melléklet'!I48+'6,7,8 Melléklet'!I49+'6,7,8 Melléklet'!I50+'6,7,8 Melléklet'!I51)</f>
        <v>0</v>
      </c>
      <c r="F30" s="452">
        <f>SUM('6,7,8 Melléklet'!D55)</f>
        <v>500000</v>
      </c>
      <c r="G30" s="452">
        <v>500000</v>
      </c>
      <c r="H30" s="452">
        <v>500000</v>
      </c>
      <c r="I30" s="452">
        <v>500000</v>
      </c>
      <c r="J30" s="452">
        <v>244781</v>
      </c>
    </row>
    <row r="31" spans="1:10" s="10" customFormat="1" ht="12.75" customHeight="1">
      <c r="A31" s="455" t="s">
        <v>57</v>
      </c>
      <c r="B31" s="388" t="s">
        <v>166</v>
      </c>
      <c r="C31" s="389" t="s">
        <v>495</v>
      </c>
      <c r="D31" s="416"/>
      <c r="E31" s="412">
        <f aca="true" t="shared" si="6" ref="E31:J31">SUM(E32:E34)</f>
        <v>210210</v>
      </c>
      <c r="F31" s="412">
        <f t="shared" si="6"/>
        <v>220000</v>
      </c>
      <c r="G31" s="412">
        <f t="shared" si="6"/>
        <v>220000</v>
      </c>
      <c r="H31" s="412">
        <f t="shared" si="6"/>
        <v>220000</v>
      </c>
      <c r="I31" s="412">
        <f t="shared" si="6"/>
        <v>220000</v>
      </c>
      <c r="J31" s="412">
        <f t="shared" si="6"/>
        <v>0</v>
      </c>
    </row>
    <row r="32" spans="1:10" ht="12.75" customHeight="1">
      <c r="A32" s="451" t="s">
        <v>86</v>
      </c>
      <c r="B32" s="287"/>
      <c r="C32" s="288" t="s">
        <v>250</v>
      </c>
      <c r="D32" s="446"/>
      <c r="E32" s="452">
        <v>0</v>
      </c>
      <c r="F32" s="452">
        <v>0</v>
      </c>
      <c r="G32" s="452">
        <v>0</v>
      </c>
      <c r="H32" s="452">
        <v>0</v>
      </c>
      <c r="I32" s="452">
        <v>0</v>
      </c>
      <c r="J32" s="452">
        <v>0</v>
      </c>
    </row>
    <row r="33" spans="1:10" ht="12.75" customHeight="1">
      <c r="A33" s="451" t="s">
        <v>59</v>
      </c>
      <c r="B33" s="287"/>
      <c r="C33" s="288" t="s">
        <v>251</v>
      </c>
      <c r="D33" s="446"/>
      <c r="E33" s="452">
        <v>0</v>
      </c>
      <c r="F33" s="452">
        <v>0</v>
      </c>
      <c r="G33" s="452">
        <v>0</v>
      </c>
      <c r="H33" s="452">
        <v>0</v>
      </c>
      <c r="I33" s="452">
        <v>0</v>
      </c>
      <c r="J33" s="452">
        <v>0</v>
      </c>
    </row>
    <row r="34" spans="1:10" ht="12.75" customHeight="1">
      <c r="A34" s="451" t="s">
        <v>61</v>
      </c>
      <c r="B34" s="287"/>
      <c r="C34" s="288" t="s">
        <v>252</v>
      </c>
      <c r="D34" s="446"/>
      <c r="E34" s="452">
        <v>210210</v>
      </c>
      <c r="F34" s="452">
        <v>220000</v>
      </c>
      <c r="G34" s="452">
        <v>220000</v>
      </c>
      <c r="H34" s="452">
        <v>220000</v>
      </c>
      <c r="I34" s="452">
        <v>220000</v>
      </c>
      <c r="J34" s="452">
        <v>0</v>
      </c>
    </row>
    <row r="35" spans="1:10" ht="33" customHeight="1">
      <c r="A35" s="450" t="s">
        <v>63</v>
      </c>
      <c r="B35" s="388" t="s">
        <v>173</v>
      </c>
      <c r="C35" s="445" t="s">
        <v>496</v>
      </c>
      <c r="D35" s="416"/>
      <c r="E35" s="412">
        <f aca="true" t="shared" si="7" ref="E35:J35">SUM(E36:E38)</f>
        <v>1148825</v>
      </c>
      <c r="F35" s="412">
        <f t="shared" si="7"/>
        <v>1100000</v>
      </c>
      <c r="G35" s="412">
        <f t="shared" si="7"/>
        <v>1100000</v>
      </c>
      <c r="H35" s="412">
        <f t="shared" si="7"/>
        <v>1100000</v>
      </c>
      <c r="I35" s="412">
        <f t="shared" si="7"/>
        <v>1100000</v>
      </c>
      <c r="J35" s="412">
        <f t="shared" si="7"/>
        <v>922538</v>
      </c>
    </row>
    <row r="36" spans="1:10" ht="12.75" customHeight="1">
      <c r="A36" s="451" t="s">
        <v>65</v>
      </c>
      <c r="B36" s="287"/>
      <c r="C36" s="288" t="s">
        <v>250</v>
      </c>
      <c r="D36" s="446"/>
      <c r="E36" s="452">
        <v>0</v>
      </c>
      <c r="F36" s="452">
        <v>0</v>
      </c>
      <c r="G36" s="452">
        <v>0</v>
      </c>
      <c r="H36" s="452">
        <v>0</v>
      </c>
      <c r="I36" s="452">
        <v>0</v>
      </c>
      <c r="J36" s="452">
        <v>0</v>
      </c>
    </row>
    <row r="37" spans="1:10" ht="12.75" customHeight="1">
      <c r="A37" s="451" t="s">
        <v>92</v>
      </c>
      <c r="B37" s="287"/>
      <c r="C37" s="288" t="s">
        <v>251</v>
      </c>
      <c r="D37" s="446"/>
      <c r="E37" s="452">
        <v>0</v>
      </c>
      <c r="F37" s="452">
        <v>0</v>
      </c>
      <c r="G37" s="452">
        <v>0</v>
      </c>
      <c r="H37" s="452">
        <v>0</v>
      </c>
      <c r="I37" s="452">
        <v>0</v>
      </c>
      <c r="J37" s="452">
        <v>0</v>
      </c>
    </row>
    <row r="38" spans="1:10" ht="12.75" customHeight="1" thickBot="1">
      <c r="A38" s="461" t="s">
        <v>66</v>
      </c>
      <c r="B38" s="462"/>
      <c r="C38" s="309" t="s">
        <v>252</v>
      </c>
      <c r="D38" s="463"/>
      <c r="E38" s="464">
        <v>1148825</v>
      </c>
      <c r="F38" s="464">
        <v>1100000</v>
      </c>
      <c r="G38" s="464">
        <v>1100000</v>
      </c>
      <c r="H38" s="464">
        <v>1100000</v>
      </c>
      <c r="I38" s="464">
        <v>1100000</v>
      </c>
      <c r="J38" s="464">
        <v>922538</v>
      </c>
    </row>
    <row r="39" spans="1:10" s="334" customFormat="1" ht="32.25" thickBot="1">
      <c r="A39" s="771" t="s">
        <v>67</v>
      </c>
      <c r="B39" s="772" t="s">
        <v>183</v>
      </c>
      <c r="C39" s="773" t="s">
        <v>1008</v>
      </c>
      <c r="D39" s="774">
        <f>SUM(D23:D30)</f>
        <v>5</v>
      </c>
      <c r="E39" s="775">
        <f aca="true" t="shared" si="8" ref="E39:J39">SUM(E40:E43)</f>
        <v>26506379</v>
      </c>
      <c r="F39" s="775">
        <f t="shared" si="8"/>
        <v>28177406</v>
      </c>
      <c r="G39" s="775">
        <f t="shared" si="8"/>
        <v>24292792</v>
      </c>
      <c r="H39" s="775">
        <f t="shared" si="8"/>
        <v>24573582</v>
      </c>
      <c r="I39" s="775">
        <f t="shared" si="8"/>
        <v>24941277</v>
      </c>
      <c r="J39" s="775">
        <f t="shared" si="8"/>
        <v>23844027</v>
      </c>
    </row>
    <row r="40" spans="1:10" ht="12.75" customHeight="1">
      <c r="A40" s="776" t="s">
        <v>68</v>
      </c>
      <c r="B40" s="777"/>
      <c r="C40" s="778" t="s">
        <v>250</v>
      </c>
      <c r="D40" s="779"/>
      <c r="E40" s="780">
        <f aca="true" t="shared" si="9" ref="E40:F42">E25+E32+E36</f>
        <v>11818516</v>
      </c>
      <c r="F40" s="780">
        <f t="shared" si="9"/>
        <v>11927834</v>
      </c>
      <c r="G40" s="780">
        <f aca="true" t="shared" si="10" ref="G40:H42">G25+G32+G36</f>
        <v>12026035</v>
      </c>
      <c r="H40" s="780">
        <f t="shared" si="10"/>
        <v>12222435</v>
      </c>
      <c r="I40" s="780">
        <f aca="true" t="shared" si="11" ref="I40:J42">I25+I32+I36</f>
        <v>12376285</v>
      </c>
      <c r="J40" s="780">
        <f t="shared" si="11"/>
        <v>13184023</v>
      </c>
    </row>
    <row r="41" spans="1:10" ht="12.75" customHeight="1">
      <c r="A41" s="451" t="s">
        <v>70</v>
      </c>
      <c r="B41" s="766"/>
      <c r="C41" s="392" t="s">
        <v>251</v>
      </c>
      <c r="D41" s="767"/>
      <c r="E41" s="781">
        <f t="shared" si="9"/>
        <v>2031672</v>
      </c>
      <c r="F41" s="781">
        <f t="shared" si="9"/>
        <v>2129572</v>
      </c>
      <c r="G41" s="781">
        <f t="shared" si="10"/>
        <v>2146757</v>
      </c>
      <c r="H41" s="781">
        <f t="shared" si="10"/>
        <v>2181127</v>
      </c>
      <c r="I41" s="781">
        <f t="shared" si="11"/>
        <v>2204974</v>
      </c>
      <c r="J41" s="781">
        <f t="shared" si="11"/>
        <v>2234109</v>
      </c>
    </row>
    <row r="42" spans="1:10" ht="12.75" customHeight="1">
      <c r="A42" s="451" t="s">
        <v>97</v>
      </c>
      <c r="B42" s="766"/>
      <c r="C42" s="392" t="s">
        <v>252</v>
      </c>
      <c r="D42" s="767"/>
      <c r="E42" s="781">
        <f t="shared" si="9"/>
        <v>12656191</v>
      </c>
      <c r="F42" s="781">
        <f t="shared" si="9"/>
        <v>13620000</v>
      </c>
      <c r="G42" s="781">
        <f t="shared" si="10"/>
        <v>9620000</v>
      </c>
      <c r="H42" s="781">
        <f t="shared" si="10"/>
        <v>9670020</v>
      </c>
      <c r="I42" s="781">
        <f t="shared" si="11"/>
        <v>9860018</v>
      </c>
      <c r="J42" s="781">
        <f t="shared" si="11"/>
        <v>8181114</v>
      </c>
    </row>
    <row r="43" spans="1:10" ht="12.75" customHeight="1">
      <c r="A43" s="451" t="s">
        <v>99</v>
      </c>
      <c r="B43" s="766"/>
      <c r="C43" s="392" t="s">
        <v>249</v>
      </c>
      <c r="D43" s="767"/>
      <c r="E43" s="782">
        <f aca="true" t="shared" si="12" ref="E43:J43">SUM(E30)</f>
        <v>0</v>
      </c>
      <c r="F43" s="782">
        <f t="shared" si="12"/>
        <v>500000</v>
      </c>
      <c r="G43" s="782">
        <f t="shared" si="12"/>
        <v>500000</v>
      </c>
      <c r="H43" s="782">
        <f t="shared" si="12"/>
        <v>500000</v>
      </c>
      <c r="I43" s="782">
        <f t="shared" si="12"/>
        <v>500000</v>
      </c>
      <c r="J43" s="782">
        <f t="shared" si="12"/>
        <v>244781</v>
      </c>
    </row>
    <row r="44" spans="1:10" s="770" customFormat="1" ht="12.75" customHeight="1">
      <c r="A44" s="783" t="s">
        <v>101</v>
      </c>
      <c r="B44" s="769"/>
      <c r="C44" s="769" t="s">
        <v>778</v>
      </c>
      <c r="D44" s="769"/>
      <c r="E44" s="784">
        <v>86831</v>
      </c>
      <c r="F44" s="784">
        <v>500000</v>
      </c>
      <c r="G44" s="784">
        <v>500000</v>
      </c>
      <c r="H44" s="784">
        <v>500000</v>
      </c>
      <c r="I44" s="784">
        <v>500000</v>
      </c>
      <c r="J44" s="784">
        <v>244781</v>
      </c>
    </row>
    <row r="45" spans="1:10" s="507" customFormat="1" ht="12.75" customHeight="1" thickBot="1">
      <c r="A45" s="785" t="s">
        <v>103</v>
      </c>
      <c r="B45" s="786"/>
      <c r="C45" s="786" t="s">
        <v>779</v>
      </c>
      <c r="D45" s="786"/>
      <c r="E45" s="787"/>
      <c r="F45" s="787"/>
      <c r="G45" s="787"/>
      <c r="H45" s="787"/>
      <c r="I45" s="787"/>
      <c r="J45" s="787"/>
    </row>
  </sheetData>
  <sheetProtection selectLockedCells="1" selectUnlockedCells="1"/>
  <mergeCells count="23">
    <mergeCell ref="A7:B7"/>
    <mergeCell ref="C7:D7"/>
    <mergeCell ref="A9:B9"/>
    <mergeCell ref="A2:J2"/>
    <mergeCell ref="A4:J4"/>
    <mergeCell ref="A1:J1"/>
    <mergeCell ref="E3:G3"/>
    <mergeCell ref="C19:D19"/>
    <mergeCell ref="A20:B20"/>
    <mergeCell ref="A19:B19"/>
    <mergeCell ref="C18:D18"/>
    <mergeCell ref="C9:D9"/>
    <mergeCell ref="A11:B11"/>
    <mergeCell ref="A13:B13"/>
    <mergeCell ref="A12:B12"/>
    <mergeCell ref="A16:B16"/>
    <mergeCell ref="A22:B23"/>
    <mergeCell ref="A8:B8"/>
    <mergeCell ref="A10:B10"/>
    <mergeCell ref="A14:B14"/>
    <mergeCell ref="A15:B15"/>
    <mergeCell ref="A18:B18"/>
    <mergeCell ref="A17:B17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view="pageBreakPreview" zoomScale="98" zoomScaleSheetLayoutView="98" zoomScalePageLayoutView="0" workbookViewId="0" topLeftCell="A1">
      <selection activeCell="E3" sqref="E3:H3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9.140625" style="0" customWidth="1"/>
    <col min="4" max="4" width="7.00390625" style="0" customWidth="1"/>
    <col min="5" max="10" width="20.00390625" style="154" customWidth="1"/>
  </cols>
  <sheetData>
    <row r="1" spans="1:10" s="169" customFormat="1" ht="18" customHeight="1">
      <c r="A1" s="1969" t="s">
        <v>497</v>
      </c>
      <c r="B1" s="1969"/>
      <c r="C1" s="1969"/>
      <c r="D1" s="1969"/>
      <c r="E1" s="1969"/>
      <c r="F1" s="1969"/>
      <c r="G1" s="1969"/>
      <c r="H1" s="1969"/>
      <c r="I1" s="1969"/>
      <c r="J1" s="1969"/>
    </row>
    <row r="2" spans="1:10" ht="12.75" customHeight="1">
      <c r="A2" s="1975" t="s">
        <v>1295</v>
      </c>
      <c r="B2" s="1975"/>
      <c r="C2" s="1975"/>
      <c r="D2" s="1975"/>
      <c r="E2" s="1975"/>
      <c r="F2" s="1975"/>
      <c r="G2" s="1975"/>
      <c r="H2" s="1975"/>
      <c r="I2" s="1975"/>
      <c r="J2" s="1975"/>
    </row>
    <row r="3" spans="1:10" ht="12.75" customHeight="1">
      <c r="A3" s="73"/>
      <c r="B3" s="73"/>
      <c r="C3" s="73"/>
      <c r="D3" s="73"/>
      <c r="E3" s="2059" t="s">
        <v>1296</v>
      </c>
      <c r="F3" s="2059"/>
      <c r="G3" s="2059"/>
      <c r="H3" s="2059"/>
      <c r="I3"/>
      <c r="J3" t="s">
        <v>1309</v>
      </c>
    </row>
    <row r="4" spans="1:10" ht="12.75" customHeight="1">
      <c r="A4" s="73"/>
      <c r="B4" s="73"/>
      <c r="C4" s="73"/>
      <c r="D4" s="73"/>
      <c r="E4"/>
      <c r="F4"/>
      <c r="G4"/>
      <c r="H4"/>
      <c r="I4"/>
      <c r="J4"/>
    </row>
    <row r="5" spans="1:10" ht="42.75" customHeight="1">
      <c r="A5" s="1978" t="s">
        <v>1079</v>
      </c>
      <c r="B5" s="1978"/>
      <c r="C5" s="1978"/>
      <c r="D5" s="1978"/>
      <c r="E5" s="1978"/>
      <c r="F5" s="1978"/>
      <c r="G5" s="1978"/>
      <c r="H5" s="1978"/>
      <c r="I5" s="1978"/>
      <c r="J5" s="1978"/>
    </row>
    <row r="6" spans="3:4" ht="18.75" customHeight="1">
      <c r="C6" s="184"/>
      <c r="D6" s="184"/>
    </row>
    <row r="7" spans="5:10" ht="12.75" customHeight="1" thickBot="1">
      <c r="E7" s="1434"/>
      <c r="F7" s="1434"/>
      <c r="G7" s="1434"/>
      <c r="H7" s="1434"/>
      <c r="I7" s="1434"/>
      <c r="J7" s="1434" t="s">
        <v>214</v>
      </c>
    </row>
    <row r="8" spans="1:10" ht="56.25" customHeight="1" thickBot="1">
      <c r="A8" s="1841" t="s">
        <v>156</v>
      </c>
      <c r="B8" s="1842"/>
      <c r="C8" s="2060" t="s">
        <v>157</v>
      </c>
      <c r="D8" s="2060"/>
      <c r="E8" s="1435" t="s">
        <v>1080</v>
      </c>
      <c r="F8" s="1436" t="s">
        <v>1072</v>
      </c>
      <c r="G8" s="1436" t="s">
        <v>1157</v>
      </c>
      <c r="H8" s="1436" t="s">
        <v>1178</v>
      </c>
      <c r="I8" s="1436" t="s">
        <v>1250</v>
      </c>
      <c r="J8" s="1436" t="s">
        <v>1267</v>
      </c>
    </row>
    <row r="9" spans="1:10" ht="12.75" customHeight="1" thickBot="1">
      <c r="A9" s="2080" t="s">
        <v>158</v>
      </c>
      <c r="B9" s="2081"/>
      <c r="C9" s="2065" t="s">
        <v>159</v>
      </c>
      <c r="D9" s="2065"/>
      <c r="E9" s="188" t="s">
        <v>160</v>
      </c>
      <c r="F9" s="1574" t="s">
        <v>161</v>
      </c>
      <c r="G9" s="1437" t="s">
        <v>456</v>
      </c>
      <c r="H9" s="1437" t="s">
        <v>476</v>
      </c>
      <c r="I9" s="1437" t="s">
        <v>701</v>
      </c>
      <c r="J9" s="1437" t="s">
        <v>782</v>
      </c>
    </row>
    <row r="10" spans="1:10" ht="12.75" customHeight="1">
      <c r="A10" s="2068" t="s">
        <v>38</v>
      </c>
      <c r="B10" s="2069"/>
      <c r="C10" s="189" t="s">
        <v>557</v>
      </c>
      <c r="D10" s="190"/>
      <c r="E10" s="1567">
        <f aca="true" t="shared" si="0" ref="E10:J10">SUM(E11:E15)</f>
        <v>2096933</v>
      </c>
      <c r="F10" s="1575">
        <f t="shared" si="0"/>
        <v>2071000</v>
      </c>
      <c r="G10" s="1438">
        <f t="shared" si="0"/>
        <v>2000008</v>
      </c>
      <c r="H10" s="1438">
        <f t="shared" si="0"/>
        <v>2000031</v>
      </c>
      <c r="I10" s="1438">
        <f t="shared" si="0"/>
        <v>1900040</v>
      </c>
      <c r="J10" s="1438">
        <f t="shared" si="0"/>
        <v>1329246</v>
      </c>
    </row>
    <row r="11" spans="1:10" s="114" customFormat="1" ht="12.75" customHeight="1">
      <c r="A11" s="2078" t="s">
        <v>40</v>
      </c>
      <c r="B11" s="2079"/>
      <c r="C11" s="466" t="s">
        <v>574</v>
      </c>
      <c r="D11" s="467"/>
      <c r="E11" s="1568">
        <v>171000</v>
      </c>
      <c r="F11" s="1576">
        <v>171000</v>
      </c>
      <c r="G11" s="1439">
        <v>100000</v>
      </c>
      <c r="H11" s="1439">
        <v>100000</v>
      </c>
      <c r="I11" s="1439">
        <v>100000</v>
      </c>
      <c r="J11" s="1439">
        <v>2000</v>
      </c>
    </row>
    <row r="12" spans="1:10" s="114" customFormat="1" ht="12.75" customHeight="1">
      <c r="A12" s="2078" t="s">
        <v>47</v>
      </c>
      <c r="B12" s="2079"/>
      <c r="C12" s="466" t="s">
        <v>176</v>
      </c>
      <c r="D12" s="467"/>
      <c r="E12" s="1568">
        <v>1513064</v>
      </c>
      <c r="F12" s="1576">
        <v>1500000</v>
      </c>
      <c r="G12" s="1439">
        <v>1500000</v>
      </c>
      <c r="H12" s="1439">
        <v>1500000</v>
      </c>
      <c r="I12" s="1439">
        <v>1400000</v>
      </c>
      <c r="J12" s="1439">
        <v>1044636</v>
      </c>
    </row>
    <row r="13" spans="1:10" s="114" customFormat="1" ht="12.75" customHeight="1">
      <c r="A13" s="2078" t="s">
        <v>49</v>
      </c>
      <c r="B13" s="2079"/>
      <c r="C13" s="466" t="s">
        <v>179</v>
      </c>
      <c r="D13" s="467"/>
      <c r="E13" s="1568">
        <v>412847</v>
      </c>
      <c r="F13" s="1576">
        <v>400000</v>
      </c>
      <c r="G13" s="1439">
        <v>400000</v>
      </c>
      <c r="H13" s="1439">
        <v>400000</v>
      </c>
      <c r="I13" s="1439">
        <v>400000</v>
      </c>
      <c r="J13" s="1439">
        <v>282588</v>
      </c>
    </row>
    <row r="14" spans="1:10" s="114" customFormat="1" ht="12.75" customHeight="1">
      <c r="A14" s="2088" t="s">
        <v>51</v>
      </c>
      <c r="B14" s="2089"/>
      <c r="C14" s="675" t="s">
        <v>180</v>
      </c>
      <c r="D14" s="676"/>
      <c r="E14" s="1569">
        <v>0</v>
      </c>
      <c r="F14" s="1577">
        <v>0</v>
      </c>
      <c r="G14" s="1440">
        <v>0</v>
      </c>
      <c r="H14" s="1440">
        <v>1</v>
      </c>
      <c r="I14" s="1440">
        <v>2</v>
      </c>
      <c r="J14" s="1440">
        <v>1</v>
      </c>
    </row>
    <row r="15" spans="1:10" s="114" customFormat="1" ht="12.75" customHeight="1">
      <c r="A15" s="2066" t="s">
        <v>53</v>
      </c>
      <c r="B15" s="2067"/>
      <c r="C15" s="2070" t="s">
        <v>181</v>
      </c>
      <c r="D15" s="2071"/>
      <c r="E15" s="1570">
        <v>22</v>
      </c>
      <c r="F15" s="1578"/>
      <c r="G15" s="1120">
        <v>8</v>
      </c>
      <c r="H15" s="1120">
        <v>30</v>
      </c>
      <c r="I15" s="1120">
        <v>38</v>
      </c>
      <c r="J15" s="1120">
        <v>21</v>
      </c>
    </row>
    <row r="16" spans="1:10" s="114" customFormat="1" ht="12.75" customHeight="1">
      <c r="A16" s="2066" t="s">
        <v>55</v>
      </c>
      <c r="B16" s="2067"/>
      <c r="C16" s="922" t="s">
        <v>696</v>
      </c>
      <c r="D16" s="922"/>
      <c r="E16" s="1570">
        <v>0</v>
      </c>
      <c r="F16" s="1578">
        <v>0</v>
      </c>
      <c r="G16" s="1120">
        <v>0</v>
      </c>
      <c r="H16" s="1120">
        <v>0</v>
      </c>
      <c r="I16" s="1120">
        <v>0</v>
      </c>
      <c r="J16" s="1120">
        <v>0</v>
      </c>
    </row>
    <row r="17" spans="1:10" s="114" customFormat="1" ht="12.75" customHeight="1">
      <c r="A17" s="2092" t="s">
        <v>57</v>
      </c>
      <c r="B17" s="2093"/>
      <c r="C17" s="1998" t="s">
        <v>1251</v>
      </c>
      <c r="D17" s="1999"/>
      <c r="E17" s="1570"/>
      <c r="F17" s="1578"/>
      <c r="G17" s="1120"/>
      <c r="H17" s="1120"/>
      <c r="I17" s="1132">
        <v>100000</v>
      </c>
      <c r="J17" s="1132">
        <f>SUM(J18)</f>
        <v>145000</v>
      </c>
    </row>
    <row r="18" spans="1:10" s="1669" customFormat="1" ht="12.75" customHeight="1">
      <c r="A18" s="2094" t="s">
        <v>86</v>
      </c>
      <c r="B18" s="2071"/>
      <c r="C18" s="1669" t="s">
        <v>172</v>
      </c>
      <c r="E18" s="1670"/>
      <c r="F18" s="1671"/>
      <c r="G18" s="1672"/>
      <c r="H18" s="1672"/>
      <c r="I18" s="1672">
        <v>100000</v>
      </c>
      <c r="J18" s="1672">
        <v>145000</v>
      </c>
    </row>
    <row r="19" spans="1:10" ht="12.75" customHeight="1">
      <c r="A19" s="2090" t="s">
        <v>59</v>
      </c>
      <c r="B19" s="2091"/>
      <c r="C19" s="1998" t="s">
        <v>786</v>
      </c>
      <c r="D19" s="1999"/>
      <c r="E19" s="1571">
        <f aca="true" t="shared" si="1" ref="E19:J19">SUM(E20:E21)</f>
        <v>3143412</v>
      </c>
      <c r="F19" s="1270">
        <f t="shared" si="1"/>
        <v>0</v>
      </c>
      <c r="G19" s="1132">
        <f t="shared" si="1"/>
        <v>0</v>
      </c>
      <c r="H19" s="1132">
        <f t="shared" si="1"/>
        <v>0</v>
      </c>
      <c r="I19" s="1132">
        <f t="shared" si="1"/>
        <v>0</v>
      </c>
      <c r="J19" s="1132">
        <f t="shared" si="1"/>
        <v>0</v>
      </c>
    </row>
    <row r="20" spans="1:10" s="507" customFormat="1" ht="12.75" customHeight="1">
      <c r="A20" s="2072" t="s">
        <v>61</v>
      </c>
      <c r="B20" s="2073"/>
      <c r="C20" s="2087" t="s">
        <v>1030</v>
      </c>
      <c r="D20" s="2073"/>
      <c r="E20" s="1572">
        <v>1368484</v>
      </c>
      <c r="F20" s="1579"/>
      <c r="G20" s="802"/>
      <c r="H20" s="802"/>
      <c r="I20" s="802"/>
      <c r="J20" s="802"/>
    </row>
    <row r="21" spans="1:10" s="507" customFormat="1" ht="12.75" customHeight="1">
      <c r="A21" s="2072" t="s">
        <v>63</v>
      </c>
      <c r="B21" s="2073"/>
      <c r="C21" s="2087" t="s">
        <v>1031</v>
      </c>
      <c r="D21" s="2073"/>
      <c r="E21" s="1572">
        <v>1774928</v>
      </c>
      <c r="F21" s="1579"/>
      <c r="G21" s="802"/>
      <c r="H21" s="802"/>
      <c r="I21" s="802"/>
      <c r="J21" s="802"/>
    </row>
    <row r="22" spans="1:10" s="91" customFormat="1" ht="17.25" customHeight="1" thickBot="1">
      <c r="A22" s="2104" t="s">
        <v>65</v>
      </c>
      <c r="B22" s="2105"/>
      <c r="C22" s="2064" t="s">
        <v>479</v>
      </c>
      <c r="D22" s="2064"/>
      <c r="E22" s="1573">
        <f>SUM(E10+E19)</f>
        <v>5240345</v>
      </c>
      <c r="F22" s="1580">
        <f>SUM(F10+F19)</f>
        <v>2071000</v>
      </c>
      <c r="G22" s="1338">
        <f>SUM(G10+G19)</f>
        <v>2000008</v>
      </c>
      <c r="H22" s="1338">
        <f>SUM(H10+H19)</f>
        <v>2000031</v>
      </c>
      <c r="I22" s="1338">
        <f>SUM(I10+I19)+I17</f>
        <v>2000040</v>
      </c>
      <c r="J22" s="1338">
        <f>SUM(J10+J19)+J17</f>
        <v>1474246</v>
      </c>
    </row>
    <row r="23" spans="1:10" ht="12.75" customHeight="1">
      <c r="A23" s="2095" t="s">
        <v>92</v>
      </c>
      <c r="B23" s="2096"/>
      <c r="C23" s="172" t="s">
        <v>235</v>
      </c>
      <c r="D23" s="439"/>
      <c r="E23" s="590">
        <v>267350</v>
      </c>
      <c r="F23" s="1441">
        <v>203352</v>
      </c>
      <c r="G23" s="1441">
        <v>203352</v>
      </c>
      <c r="H23" s="1441">
        <v>203352</v>
      </c>
      <c r="I23" s="1441">
        <v>203352</v>
      </c>
      <c r="J23" s="1441">
        <v>202352</v>
      </c>
    </row>
    <row r="24" spans="1:10" ht="12.75" customHeight="1">
      <c r="A24" s="2097" t="s">
        <v>66</v>
      </c>
      <c r="B24" s="2098"/>
      <c r="C24" s="171" t="s">
        <v>492</v>
      </c>
      <c r="D24" s="170"/>
      <c r="E24" s="191">
        <f aca="true" t="shared" si="2" ref="E24:J24">SUM(E26+E25)</f>
        <v>82145676</v>
      </c>
      <c r="F24" s="1442">
        <f t="shared" si="2"/>
        <v>96944100</v>
      </c>
      <c r="G24" s="1442">
        <f t="shared" si="2"/>
        <v>103285149</v>
      </c>
      <c r="H24" s="1442">
        <f t="shared" si="2"/>
        <v>103285149</v>
      </c>
      <c r="I24" s="1442">
        <f t="shared" si="2"/>
        <v>103285149</v>
      </c>
      <c r="J24" s="1442">
        <f t="shared" si="2"/>
        <v>99534945</v>
      </c>
    </row>
    <row r="25" spans="1:10" s="114" customFormat="1" ht="12.75" customHeight="1">
      <c r="A25" s="2102" t="s">
        <v>67</v>
      </c>
      <c r="B25" s="2103"/>
      <c r="C25" s="2063" t="s">
        <v>481</v>
      </c>
      <c r="D25" s="2063"/>
      <c r="E25" s="191">
        <v>69013291</v>
      </c>
      <c r="F25" s="1442">
        <f>SUM('12. melléklet'!G28)</f>
        <v>61975191</v>
      </c>
      <c r="G25" s="1442">
        <f>SUM('12. melléklet'!H28)</f>
        <v>75331491</v>
      </c>
      <c r="H25" s="1442">
        <v>75719241</v>
      </c>
      <c r="I25" s="1442">
        <v>75719241</v>
      </c>
      <c r="J25" s="1442">
        <v>75719241</v>
      </c>
    </row>
    <row r="26" spans="1:10" s="114" customFormat="1" ht="12.75" customHeight="1" thickBot="1">
      <c r="A26" s="2082" t="s">
        <v>68</v>
      </c>
      <c r="B26" s="2083"/>
      <c r="C26" s="2101" t="s">
        <v>499</v>
      </c>
      <c r="D26" s="2101"/>
      <c r="E26" s="196">
        <v>13132385</v>
      </c>
      <c r="F26" s="1443">
        <v>34968909</v>
      </c>
      <c r="G26" s="1443">
        <v>27953658</v>
      </c>
      <c r="H26" s="1443">
        <v>27565908</v>
      </c>
      <c r="I26" s="1443">
        <v>27565908</v>
      </c>
      <c r="J26" s="1443">
        <v>23815704</v>
      </c>
    </row>
    <row r="27" spans="1:10" s="10" customFormat="1" ht="19.5" customHeight="1" thickBot="1">
      <c r="A27" s="2106" t="s">
        <v>70</v>
      </c>
      <c r="B27" s="2107"/>
      <c r="C27" s="2041" t="s">
        <v>493</v>
      </c>
      <c r="D27" s="2041"/>
      <c r="E27" s="414">
        <f aca="true" t="shared" si="3" ref="E27:J27">SUM(E23+E24)</f>
        <v>82413026</v>
      </c>
      <c r="F27" s="414">
        <f t="shared" si="3"/>
        <v>97147452</v>
      </c>
      <c r="G27" s="414">
        <f t="shared" si="3"/>
        <v>103488501</v>
      </c>
      <c r="H27" s="414">
        <f t="shared" si="3"/>
        <v>103488501</v>
      </c>
      <c r="I27" s="414">
        <f t="shared" si="3"/>
        <v>103488501</v>
      </c>
      <c r="J27" s="414">
        <f t="shared" si="3"/>
        <v>99737297</v>
      </c>
    </row>
    <row r="28" spans="1:10" ht="21" customHeight="1" thickBot="1">
      <c r="A28" s="2108" t="s">
        <v>97</v>
      </c>
      <c r="B28" s="2109"/>
      <c r="C28" s="1444" t="s">
        <v>116</v>
      </c>
      <c r="D28" s="1445"/>
      <c r="E28" s="1446">
        <f aca="true" t="shared" si="4" ref="E28:J28">SUM(E22+E27)</f>
        <v>87653371</v>
      </c>
      <c r="F28" s="1447">
        <f t="shared" si="4"/>
        <v>99218452</v>
      </c>
      <c r="G28" s="1447">
        <f t="shared" si="4"/>
        <v>105488509</v>
      </c>
      <c r="H28" s="1447">
        <f t="shared" si="4"/>
        <v>105488532</v>
      </c>
      <c r="I28" s="1447">
        <f t="shared" si="4"/>
        <v>105488541</v>
      </c>
      <c r="J28" s="1447">
        <f t="shared" si="4"/>
        <v>101211543</v>
      </c>
    </row>
    <row r="29" spans="1:10" ht="21" customHeight="1">
      <c r="A29" s="192"/>
      <c r="B29" s="192"/>
      <c r="C29" s="193"/>
      <c r="D29" s="193"/>
      <c r="E29" s="194"/>
      <c r="F29" s="194"/>
      <c r="G29" s="194"/>
      <c r="H29" s="194"/>
      <c r="I29" s="194"/>
      <c r="J29" s="194"/>
    </row>
    <row r="30" ht="12.75" customHeight="1" thickBot="1"/>
    <row r="31" spans="1:10" ht="63.75" customHeight="1" thickBot="1">
      <c r="A31" s="2031" t="s">
        <v>156</v>
      </c>
      <c r="B31" s="2086"/>
      <c r="C31" s="1254" t="s">
        <v>246</v>
      </c>
      <c r="D31" s="1255" t="s">
        <v>494</v>
      </c>
      <c r="E31" s="1265" t="s">
        <v>1071</v>
      </c>
      <c r="F31" s="1265" t="s">
        <v>1072</v>
      </c>
      <c r="G31" s="1265" t="s">
        <v>1157</v>
      </c>
      <c r="H31" s="1265" t="s">
        <v>1178</v>
      </c>
      <c r="I31" s="1265" t="s">
        <v>1250</v>
      </c>
      <c r="J31" s="1265" t="s">
        <v>1267</v>
      </c>
    </row>
    <row r="32" spans="1:10" ht="12.75" customHeight="1" thickBot="1">
      <c r="A32" s="2031" t="s">
        <v>158</v>
      </c>
      <c r="B32" s="2086"/>
      <c r="C32" s="1254" t="s">
        <v>500</v>
      </c>
      <c r="D32" s="1255" t="s">
        <v>160</v>
      </c>
      <c r="E32" s="1266" t="s">
        <v>161</v>
      </c>
      <c r="F32" s="1266" t="s">
        <v>456</v>
      </c>
      <c r="G32" s="1266" t="s">
        <v>476</v>
      </c>
      <c r="H32" s="1266" t="s">
        <v>701</v>
      </c>
      <c r="I32" s="1266" t="s">
        <v>782</v>
      </c>
      <c r="J32" s="1266" t="s">
        <v>785</v>
      </c>
    </row>
    <row r="33" spans="1:10" ht="12.75" customHeight="1">
      <c r="A33" s="2099" t="s">
        <v>38</v>
      </c>
      <c r="B33" s="2100"/>
      <c r="C33" s="177" t="s">
        <v>262</v>
      </c>
      <c r="D33" s="1256">
        <v>13</v>
      </c>
      <c r="E33" s="1575">
        <f aca="true" t="shared" si="5" ref="E33:J33">SUM(E34:E37)</f>
        <v>79448699</v>
      </c>
      <c r="F33" s="1575">
        <f t="shared" si="5"/>
        <v>90169179</v>
      </c>
      <c r="G33" s="1267">
        <f t="shared" si="5"/>
        <v>96002136</v>
      </c>
      <c r="H33" s="1267">
        <f t="shared" si="5"/>
        <v>96002159</v>
      </c>
      <c r="I33" s="1267">
        <f t="shared" si="5"/>
        <v>96002168</v>
      </c>
      <c r="J33" s="1267">
        <f t="shared" si="5"/>
        <v>91978641</v>
      </c>
    </row>
    <row r="34" spans="1:10" ht="12.75" customHeight="1">
      <c r="A34" s="2084" t="s">
        <v>40</v>
      </c>
      <c r="B34" s="2085"/>
      <c r="C34" s="17" t="s">
        <v>250</v>
      </c>
      <c r="D34" s="1257"/>
      <c r="E34" s="1268">
        <v>55599520</v>
      </c>
      <c r="F34" s="1268">
        <v>65521837</v>
      </c>
      <c r="G34" s="1268">
        <v>70724296</v>
      </c>
      <c r="H34" s="1268">
        <v>70724296</v>
      </c>
      <c r="I34" s="1268">
        <v>70724296</v>
      </c>
      <c r="J34" s="1268">
        <v>69420547</v>
      </c>
    </row>
    <row r="35" spans="1:10" ht="12.75" customHeight="1">
      <c r="A35" s="2084" t="s">
        <v>47</v>
      </c>
      <c r="B35" s="2085"/>
      <c r="C35" s="17" t="s">
        <v>251</v>
      </c>
      <c r="D35" s="1257"/>
      <c r="E35" s="1268">
        <v>10842346</v>
      </c>
      <c r="F35" s="1268">
        <v>11697342</v>
      </c>
      <c r="G35" s="1268">
        <v>12327832</v>
      </c>
      <c r="H35" s="1268">
        <v>12327832</v>
      </c>
      <c r="I35" s="1268">
        <v>12327832</v>
      </c>
      <c r="J35" s="1268">
        <v>11607350</v>
      </c>
    </row>
    <row r="36" spans="1:10" ht="12.75" customHeight="1">
      <c r="A36" s="2084" t="s">
        <v>49</v>
      </c>
      <c r="B36" s="2085"/>
      <c r="C36" s="17" t="s">
        <v>252</v>
      </c>
      <c r="D36" s="1257"/>
      <c r="E36" s="1268">
        <v>12341153</v>
      </c>
      <c r="F36" s="1268">
        <v>12350000</v>
      </c>
      <c r="G36" s="1268">
        <v>12350008</v>
      </c>
      <c r="H36" s="1268">
        <v>12350031</v>
      </c>
      <c r="I36" s="1268">
        <v>12350040</v>
      </c>
      <c r="J36" s="1268">
        <v>10409765</v>
      </c>
    </row>
    <row r="37" spans="1:10" ht="12.75" customHeight="1">
      <c r="A37" s="2084" t="s">
        <v>51</v>
      </c>
      <c r="B37" s="2085"/>
      <c r="C37" s="17" t="s">
        <v>249</v>
      </c>
      <c r="D37" s="1257"/>
      <c r="E37" s="1397">
        <v>665680</v>
      </c>
      <c r="F37" s="1397">
        <f>SUM('6,7,8 Melléklet'!D26)</f>
        <v>600000</v>
      </c>
      <c r="G37" s="1397">
        <f>SUM('6,7,8 Melléklet'!E26)</f>
        <v>600000</v>
      </c>
      <c r="H37" s="1397">
        <f>SUM('6,7,8 Melléklet'!F26)</f>
        <v>600000</v>
      </c>
      <c r="I37" s="1397">
        <f>SUM('6,7,8 Melléklet'!G26)</f>
        <v>600000</v>
      </c>
      <c r="J37" s="1397">
        <v>540979</v>
      </c>
    </row>
    <row r="38" spans="1:10" ht="12.75" customHeight="1">
      <c r="A38" s="2110" t="s">
        <v>53</v>
      </c>
      <c r="B38" s="2111"/>
      <c r="C38" s="9" t="s">
        <v>501</v>
      </c>
      <c r="D38" s="1258">
        <v>1</v>
      </c>
      <c r="E38" s="1269">
        <f aca="true" t="shared" si="6" ref="E38:J38">SUM(E39:E41)</f>
        <v>5061260</v>
      </c>
      <c r="F38" s="1269">
        <f t="shared" si="6"/>
        <v>9049273</v>
      </c>
      <c r="G38" s="1269">
        <f t="shared" si="6"/>
        <v>9486373</v>
      </c>
      <c r="H38" s="1269">
        <f t="shared" si="6"/>
        <v>9486373</v>
      </c>
      <c r="I38" s="1269">
        <f t="shared" si="6"/>
        <v>9486373</v>
      </c>
      <c r="J38" s="1269">
        <f t="shared" si="6"/>
        <v>9232902</v>
      </c>
    </row>
    <row r="39" spans="1:10" ht="12.75" customHeight="1">
      <c r="A39" s="2084" t="s">
        <v>55</v>
      </c>
      <c r="B39" s="2085"/>
      <c r="C39" s="17" t="s">
        <v>250</v>
      </c>
      <c r="D39" s="1257"/>
      <c r="E39" s="1268">
        <f>SUM(4216699)</f>
        <v>4216699</v>
      </c>
      <c r="F39" s="1268">
        <v>7702507</v>
      </c>
      <c r="G39" s="1268">
        <v>8074507</v>
      </c>
      <c r="H39" s="1268">
        <v>8074507</v>
      </c>
      <c r="I39" s="1268">
        <v>8074507</v>
      </c>
      <c r="J39" s="1268">
        <v>7953959</v>
      </c>
    </row>
    <row r="40" spans="1:10" ht="12.75" customHeight="1">
      <c r="A40" s="2084" t="s">
        <v>57</v>
      </c>
      <c r="B40" s="2085"/>
      <c r="C40" s="17" t="s">
        <v>251</v>
      </c>
      <c r="D40" s="1257"/>
      <c r="E40" s="1268">
        <f>SUM(844561)</f>
        <v>844561</v>
      </c>
      <c r="F40" s="1268">
        <v>1346766</v>
      </c>
      <c r="G40" s="1268">
        <v>1411866</v>
      </c>
      <c r="H40" s="1268">
        <v>1411866</v>
      </c>
      <c r="I40" s="1268">
        <v>1411866</v>
      </c>
      <c r="J40" s="1268">
        <v>1278943</v>
      </c>
    </row>
    <row r="41" spans="1:10" ht="12.75" customHeight="1">
      <c r="A41" s="2084" t="s">
        <v>86</v>
      </c>
      <c r="B41" s="2085"/>
      <c r="C41" s="17" t="s">
        <v>252</v>
      </c>
      <c r="D41" s="1257"/>
      <c r="E41" s="1268">
        <v>0</v>
      </c>
      <c r="F41" s="1268">
        <v>0</v>
      </c>
      <c r="G41" s="1268">
        <v>0</v>
      </c>
      <c r="H41" s="1268">
        <v>0</v>
      </c>
      <c r="I41" s="1268">
        <v>0</v>
      </c>
      <c r="J41" s="1268">
        <v>0</v>
      </c>
    </row>
    <row r="42" spans="1:10" s="10" customFormat="1" ht="12.75" customHeight="1">
      <c r="A42" s="2061" t="s">
        <v>59</v>
      </c>
      <c r="B42" s="2062"/>
      <c r="C42" s="389" t="s">
        <v>1020</v>
      </c>
      <c r="D42" s="1169"/>
      <c r="E42" s="1270">
        <f aca="true" t="shared" si="7" ref="E42:J42">SUM(E43:E45)</f>
        <v>1368484</v>
      </c>
      <c r="F42" s="1270">
        <f t="shared" si="7"/>
        <v>0</v>
      </c>
      <c r="G42" s="1270">
        <f t="shared" si="7"/>
        <v>0</v>
      </c>
      <c r="H42" s="1270">
        <f t="shared" si="7"/>
        <v>0</v>
      </c>
      <c r="I42" s="1270">
        <f t="shared" si="7"/>
        <v>0</v>
      </c>
      <c r="J42" s="1270">
        <f t="shared" si="7"/>
        <v>0</v>
      </c>
    </row>
    <row r="43" spans="1:10" ht="12.75" customHeight="1">
      <c r="A43" s="2074" t="s">
        <v>61</v>
      </c>
      <c r="B43" s="2075"/>
      <c r="C43" s="17" t="s">
        <v>250</v>
      </c>
      <c r="D43" s="1167"/>
      <c r="E43" s="1271">
        <v>1043973</v>
      </c>
      <c r="F43" s="1271"/>
      <c r="G43" s="1271"/>
      <c r="H43" s="1271"/>
      <c r="I43" s="1271"/>
      <c r="J43" s="1271"/>
    </row>
    <row r="44" spans="1:10" ht="12.75" customHeight="1">
      <c r="A44" s="2076" t="s">
        <v>63</v>
      </c>
      <c r="B44" s="2077"/>
      <c r="C44" s="136" t="s">
        <v>251</v>
      </c>
      <c r="D44" s="1261"/>
      <c r="E44" s="1272">
        <v>209229</v>
      </c>
      <c r="F44" s="1272"/>
      <c r="G44" s="1272"/>
      <c r="H44" s="1272"/>
      <c r="I44" s="1272"/>
      <c r="J44" s="1272"/>
    </row>
    <row r="45" spans="1:10" ht="12.75" customHeight="1">
      <c r="A45" s="2074" t="s">
        <v>65</v>
      </c>
      <c r="B45" s="2075"/>
      <c r="C45" s="288" t="s">
        <v>252</v>
      </c>
      <c r="D45" s="1167"/>
      <c r="E45" s="1271">
        <v>115282</v>
      </c>
      <c r="F45" s="1271"/>
      <c r="G45" s="1128"/>
      <c r="H45" s="1128"/>
      <c r="I45" s="1128"/>
      <c r="J45" s="1128"/>
    </row>
    <row r="46" spans="1:10" ht="12.75" customHeight="1">
      <c r="A46" s="2114" t="s">
        <v>92</v>
      </c>
      <c r="B46" s="2115"/>
      <c r="C46" s="389" t="s">
        <v>1031</v>
      </c>
      <c r="D46" s="1167"/>
      <c r="E46" s="1270">
        <f aca="true" t="shared" si="8" ref="E46:J46">SUM(E47:E49)</f>
        <v>1774928</v>
      </c>
      <c r="F46" s="1270">
        <f t="shared" si="8"/>
        <v>0</v>
      </c>
      <c r="G46" s="1132">
        <f t="shared" si="8"/>
        <v>0</v>
      </c>
      <c r="H46" s="1132">
        <f t="shared" si="8"/>
        <v>0</v>
      </c>
      <c r="I46" s="1132">
        <f t="shared" si="8"/>
        <v>0</v>
      </c>
      <c r="J46" s="1132">
        <f t="shared" si="8"/>
        <v>0</v>
      </c>
    </row>
    <row r="47" spans="1:10" ht="12.75" customHeight="1">
      <c r="A47" s="2114" t="s">
        <v>66</v>
      </c>
      <c r="B47" s="2115"/>
      <c r="C47" s="288" t="s">
        <v>250</v>
      </c>
      <c r="D47" s="1167"/>
      <c r="E47" s="1271">
        <v>1357453</v>
      </c>
      <c r="F47" s="1271"/>
      <c r="G47" s="1128"/>
      <c r="H47" s="1128"/>
      <c r="I47" s="1128"/>
      <c r="J47" s="1128"/>
    </row>
    <row r="48" spans="1:10" ht="12.75" customHeight="1">
      <c r="A48" s="2114" t="s">
        <v>67</v>
      </c>
      <c r="B48" s="2115"/>
      <c r="C48" s="288" t="s">
        <v>251</v>
      </c>
      <c r="D48" s="1167"/>
      <c r="E48" s="1271">
        <v>255484</v>
      </c>
      <c r="F48" s="1271"/>
      <c r="G48" s="1128"/>
      <c r="H48" s="1128"/>
      <c r="I48" s="1128"/>
      <c r="J48" s="1128"/>
    </row>
    <row r="49" spans="1:10" ht="12.75" customHeight="1" thickBot="1">
      <c r="A49" s="2116" t="s">
        <v>68</v>
      </c>
      <c r="B49" s="2117"/>
      <c r="C49" s="309" t="s">
        <v>252</v>
      </c>
      <c r="D49" s="1261"/>
      <c r="E49" s="1581">
        <v>161991</v>
      </c>
      <c r="F49" s="1581"/>
      <c r="G49" s="1133"/>
      <c r="H49" s="1133"/>
      <c r="I49" s="1133"/>
      <c r="J49" s="1133"/>
    </row>
    <row r="50" spans="1:10" ht="36.75" customHeight="1" thickBot="1">
      <c r="A50" s="2120" t="s">
        <v>70</v>
      </c>
      <c r="B50" s="2121"/>
      <c r="C50" s="1095" t="s">
        <v>238</v>
      </c>
      <c r="D50" s="1262">
        <f>SUM(D33:D38)</f>
        <v>14</v>
      </c>
      <c r="E50" s="1273">
        <f aca="true" t="shared" si="9" ref="E50:J50">SUM(E51:E54)</f>
        <v>87653371</v>
      </c>
      <c r="F50" s="1273">
        <f t="shared" si="9"/>
        <v>99218452</v>
      </c>
      <c r="G50" s="1273">
        <f t="shared" si="9"/>
        <v>105488509</v>
      </c>
      <c r="H50" s="1273">
        <f t="shared" si="9"/>
        <v>105488532</v>
      </c>
      <c r="I50" s="1273">
        <f t="shared" si="9"/>
        <v>105488541</v>
      </c>
      <c r="J50" s="1273">
        <f t="shared" si="9"/>
        <v>101211543</v>
      </c>
    </row>
    <row r="51" spans="1:10" ht="12.75" customHeight="1">
      <c r="A51" s="2122" t="s">
        <v>97</v>
      </c>
      <c r="B51" s="2123"/>
      <c r="C51" s="789" t="s">
        <v>250</v>
      </c>
      <c r="D51" s="1159"/>
      <c r="E51" s="1274">
        <f>SUM(E34+E39)+E43+E47</f>
        <v>62217645</v>
      </c>
      <c r="F51" s="1274">
        <f aca="true" t="shared" si="10" ref="F51:G53">SUM(F34+F39)</f>
        <v>73224344</v>
      </c>
      <c r="G51" s="1274">
        <f t="shared" si="10"/>
        <v>78798803</v>
      </c>
      <c r="H51" s="1274">
        <f aca="true" t="shared" si="11" ref="H51:I53">SUM(H34+H39)</f>
        <v>78798803</v>
      </c>
      <c r="I51" s="1274">
        <f t="shared" si="11"/>
        <v>78798803</v>
      </c>
      <c r="J51" s="1274">
        <f>SUM(J34+J39)</f>
        <v>77374506</v>
      </c>
    </row>
    <row r="52" spans="1:10" ht="12.75" customHeight="1">
      <c r="A52" s="2124" t="s">
        <v>99</v>
      </c>
      <c r="B52" s="2125"/>
      <c r="C52" s="764" t="s">
        <v>251</v>
      </c>
      <c r="D52" s="1161"/>
      <c r="E52" s="1275">
        <f>SUM(E35+E40)+E44+E48</f>
        <v>12151620</v>
      </c>
      <c r="F52" s="1275">
        <f t="shared" si="10"/>
        <v>13044108</v>
      </c>
      <c r="G52" s="1275">
        <f t="shared" si="10"/>
        <v>13739698</v>
      </c>
      <c r="H52" s="1275">
        <f t="shared" si="11"/>
        <v>13739698</v>
      </c>
      <c r="I52" s="1275">
        <f t="shared" si="11"/>
        <v>13739698</v>
      </c>
      <c r="J52" s="1275">
        <f>SUM(J35+J40)</f>
        <v>12886293</v>
      </c>
    </row>
    <row r="53" spans="1:10" ht="12.75" customHeight="1">
      <c r="A53" s="2074" t="s">
        <v>101</v>
      </c>
      <c r="B53" s="2075"/>
      <c r="C53" s="392" t="s">
        <v>252</v>
      </c>
      <c r="D53" s="1263"/>
      <c r="E53" s="1276">
        <f>SUM(E36+E41)+E45+E49</f>
        <v>12618426</v>
      </c>
      <c r="F53" s="1276">
        <f t="shared" si="10"/>
        <v>12350000</v>
      </c>
      <c r="G53" s="1276">
        <f t="shared" si="10"/>
        <v>12350008</v>
      </c>
      <c r="H53" s="1276">
        <f t="shared" si="11"/>
        <v>12350031</v>
      </c>
      <c r="I53" s="1276">
        <f t="shared" si="11"/>
        <v>12350040</v>
      </c>
      <c r="J53" s="1276">
        <f>SUM(J36+J41)</f>
        <v>10409765</v>
      </c>
    </row>
    <row r="54" spans="1:10" ht="12.75" customHeight="1">
      <c r="A54" s="2074" t="s">
        <v>103</v>
      </c>
      <c r="B54" s="2075"/>
      <c r="C54" s="392" t="s">
        <v>259</v>
      </c>
      <c r="D54" s="1263"/>
      <c r="E54" s="1276">
        <f aca="true" t="shared" si="12" ref="E54:J54">SUM(E37)</f>
        <v>665680</v>
      </c>
      <c r="F54" s="1276">
        <f t="shared" si="12"/>
        <v>600000</v>
      </c>
      <c r="G54" s="1276">
        <f t="shared" si="12"/>
        <v>600000</v>
      </c>
      <c r="H54" s="1276">
        <f t="shared" si="12"/>
        <v>600000</v>
      </c>
      <c r="I54" s="1276">
        <f t="shared" si="12"/>
        <v>600000</v>
      </c>
      <c r="J54" s="1276">
        <f t="shared" si="12"/>
        <v>540979</v>
      </c>
    </row>
    <row r="55" spans="1:10" s="770" customFormat="1" ht="12.75" customHeight="1">
      <c r="A55" s="2112" t="s">
        <v>105</v>
      </c>
      <c r="B55" s="2113"/>
      <c r="C55" s="769" t="s">
        <v>778</v>
      </c>
      <c r="D55" s="1264"/>
      <c r="E55" s="1277">
        <f aca="true" t="shared" si="13" ref="E55:J55">SUM(E54)</f>
        <v>665680</v>
      </c>
      <c r="F55" s="1277">
        <f t="shared" si="13"/>
        <v>600000</v>
      </c>
      <c r="G55" s="1277">
        <f t="shared" si="13"/>
        <v>600000</v>
      </c>
      <c r="H55" s="1277">
        <f t="shared" si="13"/>
        <v>600000</v>
      </c>
      <c r="I55" s="1277">
        <f t="shared" si="13"/>
        <v>600000</v>
      </c>
      <c r="J55" s="1277">
        <f t="shared" si="13"/>
        <v>540979</v>
      </c>
    </row>
    <row r="56" spans="1:10" s="507" customFormat="1" ht="12.75" customHeight="1" thickBot="1">
      <c r="A56" s="2118" t="s">
        <v>107</v>
      </c>
      <c r="B56" s="2119"/>
      <c r="C56" s="786" t="s">
        <v>779</v>
      </c>
      <c r="D56" s="1163"/>
      <c r="E56" s="1278"/>
      <c r="F56" s="1278"/>
      <c r="G56" s="1278"/>
      <c r="H56" s="1278"/>
      <c r="I56" s="1278"/>
      <c r="J56" s="1278"/>
    </row>
  </sheetData>
  <sheetProtection selectLockedCells="1" selectUnlockedCells="1"/>
  <mergeCells count="62">
    <mergeCell ref="A5:J5"/>
    <mergeCell ref="A2:J2"/>
    <mergeCell ref="A1:J1"/>
    <mergeCell ref="A37:B37"/>
    <mergeCell ref="A56:B56"/>
    <mergeCell ref="A50:B5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45:B45"/>
    <mergeCell ref="C27:D27"/>
    <mergeCell ref="A28:B28"/>
    <mergeCell ref="A31:B31"/>
    <mergeCell ref="A41:B41"/>
    <mergeCell ref="A38:B38"/>
    <mergeCell ref="A39:B39"/>
    <mergeCell ref="A34:B34"/>
    <mergeCell ref="A35:B35"/>
    <mergeCell ref="A36:B36"/>
    <mergeCell ref="A21:B21"/>
    <mergeCell ref="A23:B23"/>
    <mergeCell ref="A24:B24"/>
    <mergeCell ref="A33:B33"/>
    <mergeCell ref="C26:D26"/>
    <mergeCell ref="C19:D19"/>
    <mergeCell ref="C21:D21"/>
    <mergeCell ref="A25:B25"/>
    <mergeCell ref="A22:B22"/>
    <mergeCell ref="A27:B27"/>
    <mergeCell ref="A11:B11"/>
    <mergeCell ref="C20:D20"/>
    <mergeCell ref="C17:D17"/>
    <mergeCell ref="A14:B14"/>
    <mergeCell ref="A19:B19"/>
    <mergeCell ref="A17:B17"/>
    <mergeCell ref="A18:B18"/>
    <mergeCell ref="A20:B20"/>
    <mergeCell ref="A43:B43"/>
    <mergeCell ref="A44:B44"/>
    <mergeCell ref="A12:B12"/>
    <mergeCell ref="A13:B13"/>
    <mergeCell ref="A8:B8"/>
    <mergeCell ref="A9:B9"/>
    <mergeCell ref="A26:B26"/>
    <mergeCell ref="A40:B40"/>
    <mergeCell ref="A32:B32"/>
    <mergeCell ref="E3:H3"/>
    <mergeCell ref="C8:D8"/>
    <mergeCell ref="A42:B42"/>
    <mergeCell ref="C25:D25"/>
    <mergeCell ref="C22:D22"/>
    <mergeCell ref="C9:D9"/>
    <mergeCell ref="A15:B15"/>
    <mergeCell ref="A10:B10"/>
    <mergeCell ref="C15:D15"/>
    <mergeCell ref="A16:B16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18" customWidth="1"/>
    <col min="2" max="2" width="14.7109375" style="18" customWidth="1"/>
    <col min="3" max="16384" width="9.140625" style="18" customWidth="1"/>
  </cols>
  <sheetData>
    <row r="1" ht="12.75" customHeight="1">
      <c r="B1" s="19" t="s">
        <v>21</v>
      </c>
    </row>
    <row r="2" spans="1:2" ht="12.75" customHeight="1">
      <c r="A2" s="1830" t="s">
        <v>22</v>
      </c>
      <c r="B2" s="1830"/>
    </row>
    <row r="3" ht="12.75" customHeight="1">
      <c r="B3" s="19"/>
    </row>
    <row r="4" ht="12.75" customHeight="1">
      <c r="A4" s="20" t="s">
        <v>23</v>
      </c>
    </row>
    <row r="6" ht="12.75" customHeight="1">
      <c r="B6" s="21" t="s">
        <v>4</v>
      </c>
    </row>
    <row r="7" spans="1:2" ht="15" customHeight="1">
      <c r="A7" s="22" t="s">
        <v>24</v>
      </c>
      <c r="B7" s="22" t="s">
        <v>25</v>
      </c>
    </row>
    <row r="8" spans="1:2" ht="12.75" customHeight="1">
      <c r="A8" s="23" t="s">
        <v>26</v>
      </c>
      <c r="B8" s="23">
        <v>350</v>
      </c>
    </row>
    <row r="9" spans="1:2" ht="12.75" customHeight="1">
      <c r="A9" s="24" t="s">
        <v>27</v>
      </c>
      <c r="B9" s="24">
        <v>500</v>
      </c>
    </row>
    <row r="10" spans="1:2" ht="12.75" customHeight="1">
      <c r="A10" s="24" t="s">
        <v>28</v>
      </c>
      <c r="B10" s="24">
        <v>100</v>
      </c>
    </row>
    <row r="11" spans="1:2" ht="12.75" customHeight="1">
      <c r="A11" s="22" t="s">
        <v>29</v>
      </c>
      <c r="B11" s="22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77"/>
  <sheetViews>
    <sheetView view="pageBreakPreview" zoomScaleSheetLayoutView="100" zoomScalePageLayoutView="0" workbookViewId="0" topLeftCell="A1">
      <selection activeCell="H20" sqref="H20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10" width="19.28125" style="154" customWidth="1"/>
  </cols>
  <sheetData>
    <row r="1" spans="1:10" ht="18" customHeight="1">
      <c r="A1" s="1979" t="s">
        <v>503</v>
      </c>
      <c r="B1" s="1979"/>
      <c r="C1" s="1979"/>
      <c r="D1" s="1979"/>
      <c r="E1" s="1979"/>
      <c r="F1" s="1979"/>
      <c r="G1" s="1979"/>
      <c r="H1" s="1979"/>
      <c r="I1" s="1979"/>
      <c r="J1"/>
    </row>
    <row r="2" spans="1:10" ht="18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2.75" customHeight="1">
      <c r="A3" s="1975" t="s">
        <v>1295</v>
      </c>
      <c r="B3" s="1975"/>
      <c r="C3" s="1975"/>
      <c r="D3" s="1975"/>
      <c r="E3" s="1975"/>
      <c r="F3" s="1975"/>
      <c r="G3" s="1975"/>
      <c r="H3" s="1975"/>
      <c r="I3" s="1975"/>
      <c r="J3" s="1975"/>
    </row>
    <row r="4" spans="1:10" ht="12.75" customHeight="1">
      <c r="A4" s="73"/>
      <c r="B4" s="73"/>
      <c r="C4" s="73"/>
      <c r="D4" s="73"/>
      <c r="E4" s="2059" t="s">
        <v>1296</v>
      </c>
      <c r="F4" s="2059"/>
      <c r="G4" s="2059"/>
      <c r="H4"/>
      <c r="I4"/>
      <c r="J4" t="s">
        <v>491</v>
      </c>
    </row>
    <row r="5" spans="1:10" ht="33" customHeight="1">
      <c r="A5" s="1978" t="s">
        <v>1097</v>
      </c>
      <c r="B5" s="1978"/>
      <c r="C5" s="1978"/>
      <c r="D5" s="1978"/>
      <c r="E5" s="1978"/>
      <c r="F5" s="1978"/>
      <c r="G5" s="1978"/>
      <c r="H5" s="1978"/>
      <c r="I5" s="1978"/>
      <c r="J5" s="1978"/>
    </row>
    <row r="6" spans="3:4" ht="18.75" customHeight="1">
      <c r="C6" s="184"/>
      <c r="D6" s="184"/>
    </row>
    <row r="7" spans="5:10" ht="12.75" customHeight="1" thickBot="1">
      <c r="E7" s="840"/>
      <c r="F7" s="840"/>
      <c r="G7" s="840"/>
      <c r="H7" s="840"/>
      <c r="I7" s="840"/>
      <c r="J7" s="840" t="s">
        <v>214</v>
      </c>
    </row>
    <row r="8" spans="1:10" ht="54" customHeight="1" thickBot="1">
      <c r="A8" s="1841" t="s">
        <v>156</v>
      </c>
      <c r="B8" s="1842"/>
      <c r="C8" s="2146" t="s">
        <v>157</v>
      </c>
      <c r="D8" s="2146"/>
      <c r="E8" s="349" t="s">
        <v>1071</v>
      </c>
      <c r="F8" s="349" t="s">
        <v>1098</v>
      </c>
      <c r="G8" s="349" t="s">
        <v>1157</v>
      </c>
      <c r="H8" s="349" t="s">
        <v>1178</v>
      </c>
      <c r="I8" s="349" t="s">
        <v>1250</v>
      </c>
      <c r="J8" s="349" t="s">
        <v>1267</v>
      </c>
    </row>
    <row r="9" spans="1:10" ht="12.75" customHeight="1">
      <c r="A9" s="2136" t="s">
        <v>158</v>
      </c>
      <c r="B9" s="2137"/>
      <c r="C9" s="2135" t="s">
        <v>159</v>
      </c>
      <c r="D9" s="2135"/>
      <c r="E9" s="532" t="s">
        <v>160</v>
      </c>
      <c r="F9" s="532" t="s">
        <v>161</v>
      </c>
      <c r="G9" s="532" t="s">
        <v>456</v>
      </c>
      <c r="H9" s="532" t="s">
        <v>476</v>
      </c>
      <c r="I9" s="532" t="s">
        <v>701</v>
      </c>
      <c r="J9" s="532" t="s">
        <v>782</v>
      </c>
    </row>
    <row r="10" spans="1:10" s="10" customFormat="1" ht="12.75" customHeight="1">
      <c r="A10" s="1504" t="s">
        <v>38</v>
      </c>
      <c r="B10" s="818" t="s">
        <v>164</v>
      </c>
      <c r="C10" s="2144" t="s">
        <v>786</v>
      </c>
      <c r="D10" s="2145"/>
      <c r="E10" s="815">
        <f aca="true" t="shared" si="0" ref="E10:J10">SUM(E11)</f>
        <v>1090635</v>
      </c>
      <c r="F10" s="1505">
        <f t="shared" si="0"/>
        <v>0</v>
      </c>
      <c r="G10" s="1505">
        <f t="shared" si="0"/>
        <v>0</v>
      </c>
      <c r="H10" s="1505">
        <f t="shared" si="0"/>
        <v>0</v>
      </c>
      <c r="I10" s="1505">
        <f t="shared" si="0"/>
        <v>1387847</v>
      </c>
      <c r="J10" s="1505">
        <f t="shared" si="0"/>
        <v>1387847</v>
      </c>
    </row>
    <row r="11" spans="1:10" s="114" customFormat="1" ht="12.75" customHeight="1">
      <c r="A11" s="1506" t="s">
        <v>40</v>
      </c>
      <c r="B11" s="817"/>
      <c r="C11" s="2147" t="s">
        <v>787</v>
      </c>
      <c r="D11" s="2148"/>
      <c r="E11" s="816">
        <v>1090635</v>
      </c>
      <c r="F11" s="1507"/>
      <c r="G11" s="1507"/>
      <c r="H11" s="1507"/>
      <c r="I11" s="1507">
        <v>1387847</v>
      </c>
      <c r="J11" s="1507">
        <v>1387847</v>
      </c>
    </row>
    <row r="12" spans="1:10" ht="12.75" customHeight="1">
      <c r="A12" s="812" t="s">
        <v>47</v>
      </c>
      <c r="B12" s="813" t="s">
        <v>166</v>
      </c>
      <c r="C12" s="189" t="s">
        <v>234</v>
      </c>
      <c r="D12" s="190"/>
      <c r="E12" s="814">
        <f aca="true" t="shared" si="1" ref="E12:J12">SUM(E13:E19)</f>
        <v>24961549</v>
      </c>
      <c r="F12" s="814">
        <f t="shared" si="1"/>
        <v>24947500</v>
      </c>
      <c r="G12" s="814">
        <f t="shared" si="1"/>
        <v>21773674</v>
      </c>
      <c r="H12" s="814">
        <f t="shared" si="1"/>
        <v>21773727</v>
      </c>
      <c r="I12" s="814">
        <f t="shared" si="1"/>
        <v>21773777</v>
      </c>
      <c r="J12" s="814">
        <f t="shared" si="1"/>
        <v>37365910</v>
      </c>
    </row>
    <row r="13" spans="1:10" s="114" customFormat="1" ht="12.75" customHeight="1">
      <c r="A13" s="480" t="s">
        <v>49</v>
      </c>
      <c r="B13" s="197"/>
      <c r="C13" s="2127" t="s">
        <v>633</v>
      </c>
      <c r="D13" s="2128"/>
      <c r="E13" s="481">
        <v>209291</v>
      </c>
      <c r="F13" s="481">
        <v>210000</v>
      </c>
      <c r="G13" s="481">
        <v>100000</v>
      </c>
      <c r="H13" s="481">
        <v>100000</v>
      </c>
      <c r="I13" s="481">
        <v>100000</v>
      </c>
      <c r="J13" s="481">
        <v>377134</v>
      </c>
    </row>
    <row r="14" spans="1:10" s="114" customFormat="1" ht="12.75" customHeight="1">
      <c r="A14" s="480"/>
      <c r="B14" s="197"/>
      <c r="C14" s="1191" t="s">
        <v>1009</v>
      </c>
      <c r="D14" s="1192"/>
      <c r="E14" s="481">
        <v>16545</v>
      </c>
      <c r="F14" s="481">
        <v>16500</v>
      </c>
      <c r="G14" s="481">
        <v>16500</v>
      </c>
      <c r="H14" s="481">
        <v>16500</v>
      </c>
      <c r="I14" s="481">
        <v>16500</v>
      </c>
      <c r="J14" s="481">
        <v>11996600</v>
      </c>
    </row>
    <row r="15" spans="1:10" s="114" customFormat="1" ht="12.75" customHeight="1">
      <c r="A15" s="480" t="s">
        <v>51</v>
      </c>
      <c r="B15" s="197"/>
      <c r="C15" s="2127" t="s">
        <v>634</v>
      </c>
      <c r="D15" s="2128"/>
      <c r="E15" s="481">
        <v>121100</v>
      </c>
      <c r="F15" s="481">
        <v>121000</v>
      </c>
      <c r="G15" s="481">
        <v>121000</v>
      </c>
      <c r="H15" s="481">
        <v>121000</v>
      </c>
      <c r="I15" s="481">
        <v>121000</v>
      </c>
      <c r="J15" s="481">
        <v>51400</v>
      </c>
    </row>
    <row r="16" spans="1:10" s="114" customFormat="1" ht="12.75" customHeight="1">
      <c r="A16" s="480" t="s">
        <v>53</v>
      </c>
      <c r="B16" s="197"/>
      <c r="C16" s="2127" t="s">
        <v>635</v>
      </c>
      <c r="D16" s="2128"/>
      <c r="E16" s="1182">
        <v>19307971</v>
      </c>
      <c r="F16" s="1182">
        <v>19300000</v>
      </c>
      <c r="G16" s="1182">
        <v>16887501</v>
      </c>
      <c r="H16" s="1182">
        <v>16887501</v>
      </c>
      <c r="I16" s="1182">
        <v>16887501</v>
      </c>
      <c r="J16" s="1182">
        <v>16996505</v>
      </c>
    </row>
    <row r="17" spans="1:10" s="114" customFormat="1" ht="12.75" customHeight="1">
      <c r="A17" s="480" t="s">
        <v>55</v>
      </c>
      <c r="B17" s="197"/>
      <c r="C17" s="2127" t="s">
        <v>636</v>
      </c>
      <c r="D17" s="2128"/>
      <c r="E17" s="1182">
        <v>5306389</v>
      </c>
      <c r="F17" s="1182">
        <v>5300000</v>
      </c>
      <c r="G17" s="1182">
        <v>4648625</v>
      </c>
      <c r="H17" s="1182">
        <v>4648625</v>
      </c>
      <c r="I17" s="1182">
        <v>4648625</v>
      </c>
      <c r="J17" s="1182">
        <v>7943862</v>
      </c>
    </row>
    <row r="18" spans="1:10" s="114" customFormat="1" ht="12.75" customHeight="1">
      <c r="A18" s="482" t="s">
        <v>57</v>
      </c>
      <c r="B18" s="484"/>
      <c r="C18" s="677" t="s">
        <v>702</v>
      </c>
      <c r="D18" s="678"/>
      <c r="E18" s="483">
        <v>253</v>
      </c>
      <c r="F18" s="483">
        <v>0</v>
      </c>
      <c r="G18" s="483">
        <v>47</v>
      </c>
      <c r="H18" s="483">
        <v>100</v>
      </c>
      <c r="I18" s="483">
        <v>150</v>
      </c>
      <c r="J18" s="483">
        <v>408</v>
      </c>
    </row>
    <row r="19" spans="1:10" s="114" customFormat="1" ht="12.75" customHeight="1" thickBot="1">
      <c r="A19" s="482" t="s">
        <v>86</v>
      </c>
      <c r="B19" s="484"/>
      <c r="C19" s="2138" t="s">
        <v>637</v>
      </c>
      <c r="D19" s="2139"/>
      <c r="E19" s="483">
        <v>0</v>
      </c>
      <c r="F19" s="483">
        <v>0</v>
      </c>
      <c r="G19" s="483">
        <v>1</v>
      </c>
      <c r="H19" s="483">
        <v>1</v>
      </c>
      <c r="I19" s="483">
        <v>1</v>
      </c>
      <c r="J19" s="483">
        <v>1</v>
      </c>
    </row>
    <row r="20" spans="1:10" s="477" customFormat="1" ht="20.25" customHeight="1" thickBot="1">
      <c r="A20" s="475" t="s">
        <v>59</v>
      </c>
      <c r="B20" s="476"/>
      <c r="C20" s="2129" t="s">
        <v>479</v>
      </c>
      <c r="D20" s="2130"/>
      <c r="E20" s="468">
        <f aca="true" t="shared" si="2" ref="E20:J20">SUM(E12)+E10</f>
        <v>26052184</v>
      </c>
      <c r="F20" s="1508">
        <f t="shared" si="2"/>
        <v>24947500</v>
      </c>
      <c r="G20" s="1508">
        <f t="shared" si="2"/>
        <v>21773674</v>
      </c>
      <c r="H20" s="1508">
        <f t="shared" si="2"/>
        <v>21773727</v>
      </c>
      <c r="I20" s="1508">
        <f t="shared" si="2"/>
        <v>23161624</v>
      </c>
      <c r="J20" s="1508">
        <f t="shared" si="2"/>
        <v>38753757</v>
      </c>
    </row>
    <row r="21" spans="1:10" s="198" customFormat="1" ht="12.75" customHeight="1">
      <c r="A21" s="544" t="s">
        <v>61</v>
      </c>
      <c r="B21" s="545" t="s">
        <v>166</v>
      </c>
      <c r="C21" s="2131" t="s">
        <v>498</v>
      </c>
      <c r="D21" s="2132"/>
      <c r="E21" s="913">
        <v>1347397</v>
      </c>
      <c r="F21" s="913">
        <v>530936</v>
      </c>
      <c r="G21" s="913">
        <v>530936</v>
      </c>
      <c r="H21" s="913">
        <v>530936</v>
      </c>
      <c r="I21" s="913">
        <v>530936</v>
      </c>
      <c r="J21" s="913">
        <v>530936</v>
      </c>
    </row>
    <row r="22" spans="1:10" ht="12.75" customHeight="1">
      <c r="A22" s="485" t="s">
        <v>63</v>
      </c>
      <c r="B22" s="197" t="s">
        <v>173</v>
      </c>
      <c r="C22" s="2140" t="s">
        <v>492</v>
      </c>
      <c r="D22" s="2141"/>
      <c r="E22" s="541">
        <f aca="true" t="shared" si="3" ref="E22:J22">SUM(E23:E24)</f>
        <v>70028771</v>
      </c>
      <c r="F22" s="541">
        <f t="shared" si="3"/>
        <v>77694289</v>
      </c>
      <c r="G22" s="541">
        <f t="shared" si="3"/>
        <v>77728012</v>
      </c>
      <c r="H22" s="541">
        <f t="shared" si="3"/>
        <v>77790991</v>
      </c>
      <c r="I22" s="541">
        <f t="shared" si="3"/>
        <v>77836650</v>
      </c>
      <c r="J22" s="541">
        <f t="shared" si="3"/>
        <v>77555435</v>
      </c>
    </row>
    <row r="23" spans="1:10" ht="12.75" customHeight="1">
      <c r="A23" s="482" t="s">
        <v>65</v>
      </c>
      <c r="B23" s="199"/>
      <c r="C23" s="173" t="s">
        <v>481</v>
      </c>
      <c r="D23" s="200"/>
      <c r="E23" s="542">
        <v>27049315</v>
      </c>
      <c r="F23" s="542">
        <f>SUM(250000+7370379+14796520)</f>
        <v>22416899</v>
      </c>
      <c r="G23" s="542">
        <v>22450622</v>
      </c>
      <c r="H23" s="542">
        <v>23972641</v>
      </c>
      <c r="I23" s="542">
        <v>24018300</v>
      </c>
      <c r="J23" s="542">
        <v>24018300</v>
      </c>
    </row>
    <row r="24" spans="1:10" ht="12.75" customHeight="1" thickBot="1">
      <c r="A24" s="546" t="s">
        <v>92</v>
      </c>
      <c r="B24" s="547"/>
      <c r="C24" s="2143" t="s">
        <v>482</v>
      </c>
      <c r="D24" s="2143"/>
      <c r="E24" s="543">
        <v>42979456</v>
      </c>
      <c r="F24" s="543">
        <v>55277390</v>
      </c>
      <c r="G24" s="543">
        <v>55277390</v>
      </c>
      <c r="H24" s="543">
        <v>53818350</v>
      </c>
      <c r="I24" s="543">
        <v>53818350</v>
      </c>
      <c r="J24" s="543">
        <v>53537135</v>
      </c>
    </row>
    <row r="25" spans="1:10" s="415" customFormat="1" ht="18.75" customHeight="1" thickBot="1">
      <c r="A25" s="478" t="s">
        <v>66</v>
      </c>
      <c r="B25" s="479"/>
      <c r="C25" s="2142" t="s">
        <v>493</v>
      </c>
      <c r="D25" s="2142"/>
      <c r="E25" s="469">
        <f aca="true" t="shared" si="4" ref="E25:J25">SUM(E21+E22)</f>
        <v>71376168</v>
      </c>
      <c r="F25" s="469">
        <f t="shared" si="4"/>
        <v>78225225</v>
      </c>
      <c r="G25" s="469">
        <f t="shared" si="4"/>
        <v>78258948</v>
      </c>
      <c r="H25" s="469">
        <f t="shared" si="4"/>
        <v>78321927</v>
      </c>
      <c r="I25" s="469">
        <f t="shared" si="4"/>
        <v>78367586</v>
      </c>
      <c r="J25" s="469">
        <f t="shared" si="4"/>
        <v>78086371</v>
      </c>
    </row>
    <row r="26" spans="1:10" s="415" customFormat="1" ht="21" customHeight="1" thickBot="1">
      <c r="A26" s="471" t="s">
        <v>67</v>
      </c>
      <c r="B26" s="472"/>
      <c r="C26" s="473" t="s">
        <v>116</v>
      </c>
      <c r="D26" s="474"/>
      <c r="E26" s="470">
        <f aca="true" t="shared" si="5" ref="E26:J26">SUM(E20+E25)</f>
        <v>97428352</v>
      </c>
      <c r="F26" s="470">
        <f t="shared" si="5"/>
        <v>103172725</v>
      </c>
      <c r="G26" s="470">
        <f t="shared" si="5"/>
        <v>100032622</v>
      </c>
      <c r="H26" s="470">
        <f t="shared" si="5"/>
        <v>100095654</v>
      </c>
      <c r="I26" s="470">
        <f t="shared" si="5"/>
        <v>101529210</v>
      </c>
      <c r="J26" s="470">
        <f t="shared" si="5"/>
        <v>116840128</v>
      </c>
    </row>
    <row r="27" ht="12.75" customHeight="1" thickBot="1"/>
    <row r="28" spans="1:10" ht="36.75" customHeight="1">
      <c r="A28" s="1845" t="s">
        <v>156</v>
      </c>
      <c r="B28" s="1846"/>
      <c r="C28" s="386" t="s">
        <v>504</v>
      </c>
      <c r="D28" s="386" t="s">
        <v>494</v>
      </c>
      <c r="E28" s="349" t="s">
        <v>1071</v>
      </c>
      <c r="F28" s="349" t="s">
        <v>1098</v>
      </c>
      <c r="G28" s="349" t="s">
        <v>1157</v>
      </c>
      <c r="H28" s="349" t="s">
        <v>1178</v>
      </c>
      <c r="I28" s="349" t="s">
        <v>1250</v>
      </c>
      <c r="J28" s="349" t="s">
        <v>1267</v>
      </c>
    </row>
    <row r="29" spans="1:10" ht="12.75" customHeight="1" thickBot="1">
      <c r="A29" s="2133" t="s">
        <v>158</v>
      </c>
      <c r="B29" s="2134"/>
      <c r="C29" s="201" t="s">
        <v>159</v>
      </c>
      <c r="D29" s="201" t="s">
        <v>160</v>
      </c>
      <c r="E29" s="532" t="s">
        <v>161</v>
      </c>
      <c r="F29" s="532" t="s">
        <v>456</v>
      </c>
      <c r="G29" s="532" t="s">
        <v>476</v>
      </c>
      <c r="H29" s="532" t="s">
        <v>701</v>
      </c>
      <c r="I29" s="532" t="s">
        <v>782</v>
      </c>
      <c r="J29" s="532" t="s">
        <v>785</v>
      </c>
    </row>
    <row r="30" spans="1:10" ht="34.5" customHeight="1">
      <c r="A30" s="487" t="s">
        <v>38</v>
      </c>
      <c r="B30" s="202" t="s">
        <v>164</v>
      </c>
      <c r="C30" s="203" t="s">
        <v>373</v>
      </c>
      <c r="D30" s="204">
        <v>5</v>
      </c>
      <c r="E30" s="533">
        <f aca="true" t="shared" si="6" ref="E30:J30">SUM(E31:E33)</f>
        <v>36066279</v>
      </c>
      <c r="F30" s="533">
        <f t="shared" si="6"/>
        <v>37122932</v>
      </c>
      <c r="G30" s="533">
        <f t="shared" si="6"/>
        <v>33949106</v>
      </c>
      <c r="H30" s="533">
        <f t="shared" si="6"/>
        <v>33949106</v>
      </c>
      <c r="I30" s="533">
        <f t="shared" si="6"/>
        <v>33949106</v>
      </c>
      <c r="J30" s="533">
        <f t="shared" si="6"/>
        <v>33949106</v>
      </c>
    </row>
    <row r="31" spans="1:10" ht="12.75" customHeight="1">
      <c r="A31" s="488" t="s">
        <v>40</v>
      </c>
      <c r="B31" s="79"/>
      <c r="C31" s="17" t="s">
        <v>250</v>
      </c>
      <c r="D31" s="141"/>
      <c r="E31" s="534">
        <v>11685043</v>
      </c>
      <c r="F31" s="534">
        <v>13005271</v>
      </c>
      <c r="G31" s="534">
        <v>13005271</v>
      </c>
      <c r="H31" s="534">
        <v>13005271</v>
      </c>
      <c r="I31" s="534">
        <v>13005271</v>
      </c>
      <c r="J31" s="534">
        <v>13005271</v>
      </c>
    </row>
    <row r="32" spans="1:10" ht="12.75" customHeight="1">
      <c r="A32" s="488" t="s">
        <v>47</v>
      </c>
      <c r="B32" s="79"/>
      <c r="C32" s="17" t="s">
        <v>251</v>
      </c>
      <c r="D32" s="141"/>
      <c r="E32" s="534">
        <v>2381236</v>
      </c>
      <c r="F32" s="534">
        <v>2117661</v>
      </c>
      <c r="G32" s="534">
        <v>2117661</v>
      </c>
      <c r="H32" s="534">
        <v>2117661</v>
      </c>
      <c r="I32" s="534">
        <v>2117661</v>
      </c>
      <c r="J32" s="534">
        <v>2117661</v>
      </c>
    </row>
    <row r="33" spans="1:10" ht="12.75" customHeight="1">
      <c r="A33" s="488" t="s">
        <v>49</v>
      </c>
      <c r="B33" s="79"/>
      <c r="C33" s="17" t="s">
        <v>252</v>
      </c>
      <c r="D33" s="141"/>
      <c r="E33" s="534">
        <v>22000000</v>
      </c>
      <c r="F33" s="534">
        <v>22000000</v>
      </c>
      <c r="G33" s="534">
        <v>18826174</v>
      </c>
      <c r="H33" s="534">
        <v>18826174</v>
      </c>
      <c r="I33" s="534">
        <v>18826174</v>
      </c>
      <c r="J33" s="534">
        <v>18826174</v>
      </c>
    </row>
    <row r="34" spans="1:10" ht="12.75" customHeight="1">
      <c r="A34" s="488" t="s">
        <v>51</v>
      </c>
      <c r="B34" s="79"/>
      <c r="C34" s="17" t="s">
        <v>613</v>
      </c>
      <c r="D34" s="141"/>
      <c r="E34" s="534">
        <v>0</v>
      </c>
      <c r="F34" s="534">
        <v>0</v>
      </c>
      <c r="G34" s="534">
        <v>0</v>
      </c>
      <c r="H34" s="534">
        <v>0</v>
      </c>
      <c r="I34" s="534">
        <v>0</v>
      </c>
      <c r="J34" s="534">
        <v>0</v>
      </c>
    </row>
    <row r="35" spans="1:10" s="10" customFormat="1" ht="27.75" customHeight="1">
      <c r="A35" s="488" t="s">
        <v>53</v>
      </c>
      <c r="B35" s="61" t="s">
        <v>166</v>
      </c>
      <c r="C35" s="139" t="s">
        <v>505</v>
      </c>
      <c r="D35" s="140">
        <v>1</v>
      </c>
      <c r="E35" s="535">
        <f aca="true" t="shared" si="7" ref="E35:J35">SUM(E36:E39)</f>
        <v>9729409</v>
      </c>
      <c r="F35" s="535">
        <f t="shared" si="7"/>
        <v>10619798</v>
      </c>
      <c r="G35" s="535">
        <f t="shared" si="7"/>
        <v>10619798</v>
      </c>
      <c r="H35" s="535">
        <f t="shared" si="7"/>
        <v>10619798</v>
      </c>
      <c r="I35" s="535">
        <f t="shared" si="7"/>
        <v>10619798</v>
      </c>
      <c r="J35" s="535">
        <f t="shared" si="7"/>
        <v>10619798</v>
      </c>
    </row>
    <row r="36" spans="1:10" ht="12.75" customHeight="1">
      <c r="A36" s="488" t="s">
        <v>55</v>
      </c>
      <c r="B36" s="79"/>
      <c r="C36" s="17" t="s">
        <v>250</v>
      </c>
      <c r="D36" s="141"/>
      <c r="E36" s="534">
        <v>3094751</v>
      </c>
      <c r="F36" s="534">
        <v>3972889</v>
      </c>
      <c r="G36" s="534">
        <v>3972889</v>
      </c>
      <c r="H36" s="534">
        <v>3972889</v>
      </c>
      <c r="I36" s="534">
        <v>3972889</v>
      </c>
      <c r="J36" s="534">
        <v>3972889</v>
      </c>
    </row>
    <row r="37" spans="1:10" ht="12.75" customHeight="1">
      <c r="A37" s="488" t="s">
        <v>57</v>
      </c>
      <c r="B37" s="79"/>
      <c r="C37" s="17" t="s">
        <v>251</v>
      </c>
      <c r="D37" s="141"/>
      <c r="E37" s="534">
        <v>634658</v>
      </c>
      <c r="F37" s="534">
        <v>646909</v>
      </c>
      <c r="G37" s="534">
        <v>646909</v>
      </c>
      <c r="H37" s="534">
        <v>646909</v>
      </c>
      <c r="I37" s="534">
        <v>646909</v>
      </c>
      <c r="J37" s="534">
        <v>646909</v>
      </c>
    </row>
    <row r="38" spans="1:10" ht="12.75" customHeight="1">
      <c r="A38" s="488" t="s">
        <v>86</v>
      </c>
      <c r="B38" s="79"/>
      <c r="C38" s="17" t="s">
        <v>252</v>
      </c>
      <c r="D38" s="141"/>
      <c r="E38" s="534">
        <v>6000000</v>
      </c>
      <c r="F38" s="534">
        <v>6000000</v>
      </c>
      <c r="G38" s="534">
        <v>6000000</v>
      </c>
      <c r="H38" s="534">
        <v>6000000</v>
      </c>
      <c r="I38" s="534">
        <v>6000000</v>
      </c>
      <c r="J38" s="534">
        <v>6000000</v>
      </c>
    </row>
    <row r="39" spans="1:10" ht="12.75" customHeight="1">
      <c r="A39" s="488" t="s">
        <v>59</v>
      </c>
      <c r="B39" s="79"/>
      <c r="C39" s="17" t="s">
        <v>613</v>
      </c>
      <c r="D39" s="141"/>
      <c r="E39" s="534"/>
      <c r="F39" s="534"/>
      <c r="G39" s="534"/>
      <c r="H39" s="534"/>
      <c r="I39" s="534"/>
      <c r="J39" s="534"/>
    </row>
    <row r="40" spans="1:10" s="10" customFormat="1" ht="28.5" customHeight="1">
      <c r="A40" s="488" t="s">
        <v>61</v>
      </c>
      <c r="B40" s="61" t="s">
        <v>173</v>
      </c>
      <c r="C40" s="139" t="s">
        <v>383</v>
      </c>
      <c r="D40" s="140">
        <v>0</v>
      </c>
      <c r="E40" s="535">
        <f aca="true" t="shared" si="8" ref="E40:J40">SUM(E41:E44)</f>
        <v>0</v>
      </c>
      <c r="F40" s="535">
        <f t="shared" si="8"/>
        <v>0</v>
      </c>
      <c r="G40" s="535">
        <f t="shared" si="8"/>
        <v>0</v>
      </c>
      <c r="H40" s="535">
        <f t="shared" si="8"/>
        <v>0</v>
      </c>
      <c r="I40" s="535">
        <f t="shared" si="8"/>
        <v>0</v>
      </c>
      <c r="J40" s="535">
        <f t="shared" si="8"/>
        <v>0</v>
      </c>
    </row>
    <row r="41" spans="1:10" ht="12.75" customHeight="1">
      <c r="A41" s="488" t="s">
        <v>63</v>
      </c>
      <c r="B41" s="79"/>
      <c r="C41" s="17" t="s">
        <v>250</v>
      </c>
      <c r="D41" s="141"/>
      <c r="E41" s="534">
        <v>0</v>
      </c>
      <c r="F41" s="534">
        <v>0</v>
      </c>
      <c r="G41" s="534">
        <v>0</v>
      </c>
      <c r="H41" s="534">
        <v>0</v>
      </c>
      <c r="I41" s="534">
        <v>0</v>
      </c>
      <c r="J41" s="534">
        <v>0</v>
      </c>
    </row>
    <row r="42" spans="1:10" ht="12.75" customHeight="1">
      <c r="A42" s="488" t="s">
        <v>65</v>
      </c>
      <c r="B42" s="79"/>
      <c r="C42" s="17" t="s">
        <v>251</v>
      </c>
      <c r="D42" s="141"/>
      <c r="E42" s="534">
        <v>0</v>
      </c>
      <c r="F42" s="534">
        <v>0</v>
      </c>
      <c r="G42" s="534">
        <v>0</v>
      </c>
      <c r="H42" s="534">
        <v>0</v>
      </c>
      <c r="I42" s="534">
        <v>0</v>
      </c>
      <c r="J42" s="534">
        <v>0</v>
      </c>
    </row>
    <row r="43" spans="1:10" ht="12.75" customHeight="1">
      <c r="A43" s="488" t="s">
        <v>92</v>
      </c>
      <c r="B43" s="79"/>
      <c r="C43" s="17" t="s">
        <v>252</v>
      </c>
      <c r="D43" s="141"/>
      <c r="E43" s="534">
        <v>0</v>
      </c>
      <c r="F43" s="534">
        <v>0</v>
      </c>
      <c r="G43" s="534">
        <v>0</v>
      </c>
      <c r="H43" s="534">
        <v>0</v>
      </c>
      <c r="I43" s="534">
        <v>0</v>
      </c>
      <c r="J43" s="534">
        <v>0</v>
      </c>
    </row>
    <row r="44" spans="1:10" ht="12.75" customHeight="1">
      <c r="A44" s="488" t="s">
        <v>66</v>
      </c>
      <c r="B44" s="79"/>
      <c r="C44" s="17" t="s">
        <v>613</v>
      </c>
      <c r="D44" s="141"/>
      <c r="E44" s="534">
        <v>0</v>
      </c>
      <c r="F44" s="534">
        <v>0</v>
      </c>
      <c r="G44" s="534">
        <v>0</v>
      </c>
      <c r="H44" s="534">
        <v>0</v>
      </c>
      <c r="I44" s="534">
        <v>0</v>
      </c>
      <c r="J44" s="534">
        <v>0</v>
      </c>
    </row>
    <row r="45" spans="1:10" ht="12.75" customHeight="1">
      <c r="A45" s="488" t="s">
        <v>67</v>
      </c>
      <c r="B45" s="61" t="s">
        <v>182</v>
      </c>
      <c r="C45" s="139" t="s">
        <v>506</v>
      </c>
      <c r="D45" s="140">
        <v>0</v>
      </c>
      <c r="E45" s="535">
        <f aca="true" t="shared" si="9" ref="E45:J45">SUM(E48:E49)</f>
        <v>500000</v>
      </c>
      <c r="F45" s="535">
        <f t="shared" si="9"/>
        <v>500000</v>
      </c>
      <c r="G45" s="535">
        <f t="shared" si="9"/>
        <v>500000</v>
      </c>
      <c r="H45" s="535">
        <f t="shared" si="9"/>
        <v>500000</v>
      </c>
      <c r="I45" s="535">
        <f t="shared" si="9"/>
        <v>500000</v>
      </c>
      <c r="J45" s="535">
        <f t="shared" si="9"/>
        <v>500000</v>
      </c>
    </row>
    <row r="46" spans="1:10" ht="12.75" customHeight="1">
      <c r="A46" s="488" t="s">
        <v>68</v>
      </c>
      <c r="B46" s="61"/>
      <c r="C46" s="17" t="s">
        <v>445</v>
      </c>
      <c r="D46" s="140"/>
      <c r="E46" s="534">
        <v>0</v>
      </c>
      <c r="F46" s="534">
        <v>0</v>
      </c>
      <c r="G46" s="534">
        <v>0</v>
      </c>
      <c r="H46" s="534">
        <v>0</v>
      </c>
      <c r="I46" s="534">
        <v>0</v>
      </c>
      <c r="J46" s="534">
        <v>0</v>
      </c>
    </row>
    <row r="47" spans="1:10" ht="12.75" customHeight="1">
      <c r="A47" s="488" t="s">
        <v>70</v>
      </c>
      <c r="B47" s="79"/>
      <c r="C47" s="17" t="s">
        <v>251</v>
      </c>
      <c r="D47" s="141"/>
      <c r="E47" s="534">
        <v>0</v>
      </c>
      <c r="F47" s="534">
        <v>0</v>
      </c>
      <c r="G47" s="534">
        <v>0</v>
      </c>
      <c r="H47" s="534">
        <v>0</v>
      </c>
      <c r="I47" s="534">
        <v>0</v>
      </c>
      <c r="J47" s="534">
        <v>0</v>
      </c>
    </row>
    <row r="48" spans="1:10" ht="12.75" customHeight="1">
      <c r="A48" s="488" t="s">
        <v>97</v>
      </c>
      <c r="B48" s="79"/>
      <c r="C48" s="17" t="s">
        <v>252</v>
      </c>
      <c r="D48" s="141"/>
      <c r="E48" s="534">
        <v>500000</v>
      </c>
      <c r="F48" s="534">
        <v>500000</v>
      </c>
      <c r="G48" s="534">
        <v>500000</v>
      </c>
      <c r="H48" s="534">
        <v>500000</v>
      </c>
      <c r="I48" s="534">
        <v>500000</v>
      </c>
      <c r="J48" s="534">
        <v>500000</v>
      </c>
    </row>
    <row r="49" spans="1:10" ht="12.75" customHeight="1">
      <c r="A49" s="488" t="s">
        <v>99</v>
      </c>
      <c r="B49" s="79"/>
      <c r="C49" s="17" t="s">
        <v>613</v>
      </c>
      <c r="D49" s="141"/>
      <c r="E49" s="534">
        <v>0</v>
      </c>
      <c r="F49" s="534">
        <v>0</v>
      </c>
      <c r="G49" s="534">
        <v>0</v>
      </c>
      <c r="H49" s="534">
        <v>0</v>
      </c>
      <c r="I49" s="534">
        <v>0</v>
      </c>
      <c r="J49" s="534">
        <v>0</v>
      </c>
    </row>
    <row r="50" spans="1:10" ht="12.75" customHeight="1">
      <c r="A50" s="488" t="s">
        <v>101</v>
      </c>
      <c r="B50" s="61" t="s">
        <v>183</v>
      </c>
      <c r="C50" s="139" t="s">
        <v>507</v>
      </c>
      <c r="D50" s="140">
        <v>0</v>
      </c>
      <c r="E50" s="535">
        <f aca="true" t="shared" si="10" ref="E50:J50">SUM(E51:E54)</f>
        <v>430000</v>
      </c>
      <c r="F50" s="535">
        <f t="shared" si="10"/>
        <v>430000</v>
      </c>
      <c r="G50" s="535">
        <f t="shared" si="10"/>
        <v>430000</v>
      </c>
      <c r="H50" s="535">
        <f t="shared" si="10"/>
        <v>430000</v>
      </c>
      <c r="I50" s="535">
        <f t="shared" si="10"/>
        <v>430000</v>
      </c>
      <c r="J50" s="535">
        <f t="shared" si="10"/>
        <v>430000</v>
      </c>
    </row>
    <row r="51" spans="1:10" ht="12.75" customHeight="1">
      <c r="A51" s="488" t="s">
        <v>103</v>
      </c>
      <c r="B51" s="61"/>
      <c r="C51" s="17" t="s">
        <v>250</v>
      </c>
      <c r="D51" s="140"/>
      <c r="E51" s="534">
        <v>0</v>
      </c>
      <c r="F51" s="534">
        <v>0</v>
      </c>
      <c r="G51" s="534">
        <v>0</v>
      </c>
      <c r="H51" s="534">
        <v>0</v>
      </c>
      <c r="I51" s="534">
        <v>0</v>
      </c>
      <c r="J51" s="534">
        <v>0</v>
      </c>
    </row>
    <row r="52" spans="1:10" ht="12.75" customHeight="1">
      <c r="A52" s="488" t="s">
        <v>105</v>
      </c>
      <c r="B52" s="79"/>
      <c r="C52" s="17" t="s">
        <v>251</v>
      </c>
      <c r="D52" s="205"/>
      <c r="E52" s="534">
        <v>0</v>
      </c>
      <c r="F52" s="534">
        <v>0</v>
      </c>
      <c r="G52" s="534">
        <v>0</v>
      </c>
      <c r="H52" s="534">
        <v>0</v>
      </c>
      <c r="I52" s="534">
        <v>0</v>
      </c>
      <c r="J52" s="534">
        <v>0</v>
      </c>
    </row>
    <row r="53" spans="1:10" ht="12.75" customHeight="1">
      <c r="A53" s="488" t="s">
        <v>107</v>
      </c>
      <c r="B53" s="79"/>
      <c r="C53" s="17" t="s">
        <v>252</v>
      </c>
      <c r="D53" s="205"/>
      <c r="E53" s="534">
        <v>430000</v>
      </c>
      <c r="F53" s="534">
        <v>430000</v>
      </c>
      <c r="G53" s="534">
        <v>430000</v>
      </c>
      <c r="H53" s="534">
        <v>430000</v>
      </c>
      <c r="I53" s="534">
        <v>430000</v>
      </c>
      <c r="J53" s="534">
        <v>430000</v>
      </c>
    </row>
    <row r="54" spans="1:10" ht="12.75" customHeight="1">
      <c r="A54" s="488" t="s">
        <v>109</v>
      </c>
      <c r="B54" s="79"/>
      <c r="C54" s="17" t="s">
        <v>613</v>
      </c>
      <c r="D54" s="205"/>
      <c r="E54" s="534">
        <v>0</v>
      </c>
      <c r="F54" s="534">
        <v>0</v>
      </c>
      <c r="G54" s="534">
        <v>0</v>
      </c>
      <c r="H54" s="534">
        <v>0</v>
      </c>
      <c r="I54" s="534">
        <v>0</v>
      </c>
      <c r="J54" s="534">
        <v>0</v>
      </c>
    </row>
    <row r="55" spans="1:10" ht="12.75" customHeight="1">
      <c r="A55" s="488" t="s">
        <v>111</v>
      </c>
      <c r="B55" s="61" t="s">
        <v>184</v>
      </c>
      <c r="C55" s="139" t="s">
        <v>1260</v>
      </c>
      <c r="D55" s="206">
        <v>14</v>
      </c>
      <c r="E55" s="535">
        <f aca="true" t="shared" si="11" ref="E55:J55">SUM(E56:E59)</f>
        <v>46777419</v>
      </c>
      <c r="F55" s="535">
        <f t="shared" si="11"/>
        <v>52889995</v>
      </c>
      <c r="G55" s="535">
        <f t="shared" si="11"/>
        <v>52923718</v>
      </c>
      <c r="H55" s="535">
        <f t="shared" si="11"/>
        <v>52986750</v>
      </c>
      <c r="I55" s="535">
        <f t="shared" si="11"/>
        <v>54420306</v>
      </c>
      <c r="J55" s="535">
        <f t="shared" si="11"/>
        <v>69731224</v>
      </c>
    </row>
    <row r="56" spans="1:10" ht="12.75" customHeight="1">
      <c r="A56" s="488" t="s">
        <v>113</v>
      </c>
      <c r="B56" s="79"/>
      <c r="C56" s="17" t="s">
        <v>250</v>
      </c>
      <c r="D56" s="205"/>
      <c r="E56" s="534">
        <v>25830006</v>
      </c>
      <c r="F56" s="534">
        <v>33961377</v>
      </c>
      <c r="G56" s="534">
        <v>33990077</v>
      </c>
      <c r="H56" s="534">
        <v>34043677</v>
      </c>
      <c r="I56" s="534">
        <v>35284808</v>
      </c>
      <c r="J56" s="534">
        <v>32481878</v>
      </c>
    </row>
    <row r="57" spans="1:10" ht="12.75" customHeight="1">
      <c r="A57" s="488" t="s">
        <v>115</v>
      </c>
      <c r="B57" s="79"/>
      <c r="C57" s="17" t="s">
        <v>251</v>
      </c>
      <c r="D57" s="205"/>
      <c r="E57" s="534">
        <v>4886324</v>
      </c>
      <c r="F57" s="534">
        <v>5728618</v>
      </c>
      <c r="G57" s="534">
        <v>5733641</v>
      </c>
      <c r="H57" s="534">
        <v>5743020</v>
      </c>
      <c r="I57" s="534">
        <v>5935395</v>
      </c>
      <c r="J57" s="534">
        <v>5942592</v>
      </c>
    </row>
    <row r="58" spans="1:10" ht="12.75" customHeight="1">
      <c r="A58" s="488" t="s">
        <v>117</v>
      </c>
      <c r="B58" s="79"/>
      <c r="C58" s="17" t="s">
        <v>252</v>
      </c>
      <c r="D58" s="205"/>
      <c r="E58" s="534">
        <v>15557501</v>
      </c>
      <c r="F58" s="534">
        <v>12200000</v>
      </c>
      <c r="G58" s="534">
        <v>12200000</v>
      </c>
      <c r="H58" s="534">
        <v>12200053</v>
      </c>
      <c r="I58" s="534">
        <v>12200103</v>
      </c>
      <c r="J58" s="534">
        <v>24003224</v>
      </c>
    </row>
    <row r="59" spans="1:10" ht="12.75" customHeight="1">
      <c r="A59" s="488" t="s">
        <v>118</v>
      </c>
      <c r="B59" s="79"/>
      <c r="C59" s="17" t="s">
        <v>249</v>
      </c>
      <c r="D59" s="205"/>
      <c r="E59" s="1413">
        <v>503588</v>
      </c>
      <c r="F59" s="1413">
        <f>SUM('6,7,8 Melléklet'!D34)</f>
        <v>1000000</v>
      </c>
      <c r="G59" s="1413">
        <f>SUM('6,7,8 Melléklet'!E34)</f>
        <v>1000000</v>
      </c>
      <c r="H59" s="1413">
        <v>1000000</v>
      </c>
      <c r="I59" s="1413">
        <v>1000000</v>
      </c>
      <c r="J59" s="1413">
        <v>7303530</v>
      </c>
    </row>
    <row r="60" spans="1:10" ht="12.75" customHeight="1">
      <c r="A60" s="488" t="s">
        <v>120</v>
      </c>
      <c r="B60" s="208" t="s">
        <v>186</v>
      </c>
      <c r="C60" s="209" t="s">
        <v>398</v>
      </c>
      <c r="D60" s="210">
        <v>0</v>
      </c>
      <c r="E60" s="535">
        <f aca="true" t="shared" si="12" ref="E60:J60">SUM(E61:E63)</f>
        <v>640000</v>
      </c>
      <c r="F60" s="535">
        <f t="shared" si="12"/>
        <v>640000</v>
      </c>
      <c r="G60" s="535">
        <f t="shared" si="12"/>
        <v>640000</v>
      </c>
      <c r="H60" s="535">
        <f t="shared" si="12"/>
        <v>640000</v>
      </c>
      <c r="I60" s="535">
        <f t="shared" si="12"/>
        <v>640000</v>
      </c>
      <c r="J60" s="535">
        <f t="shared" si="12"/>
        <v>640000</v>
      </c>
    </row>
    <row r="61" spans="1:10" ht="12.75" customHeight="1">
      <c r="A61" s="488" t="s">
        <v>122</v>
      </c>
      <c r="B61" s="145"/>
      <c r="C61" s="147" t="s">
        <v>250</v>
      </c>
      <c r="D61" s="211"/>
      <c r="E61" s="534">
        <v>0</v>
      </c>
      <c r="F61" s="534">
        <v>0</v>
      </c>
      <c r="G61" s="534">
        <v>0</v>
      </c>
      <c r="H61" s="534">
        <v>0</v>
      </c>
      <c r="I61" s="534">
        <v>0</v>
      </c>
      <c r="J61" s="534">
        <v>0</v>
      </c>
    </row>
    <row r="62" spans="1:10" ht="12.75" customHeight="1">
      <c r="A62" s="488" t="s">
        <v>124</v>
      </c>
      <c r="B62" s="145"/>
      <c r="C62" s="147" t="s">
        <v>251</v>
      </c>
      <c r="D62" s="211"/>
      <c r="E62" s="534">
        <v>0</v>
      </c>
      <c r="F62" s="534">
        <v>0</v>
      </c>
      <c r="G62" s="534">
        <v>0</v>
      </c>
      <c r="H62" s="534">
        <v>0</v>
      </c>
      <c r="I62" s="534">
        <v>0</v>
      </c>
      <c r="J62" s="534">
        <v>0</v>
      </c>
    </row>
    <row r="63" spans="1:10" ht="12.75" customHeight="1">
      <c r="A63" s="488" t="s">
        <v>126</v>
      </c>
      <c r="B63" s="145"/>
      <c r="C63" s="147" t="s">
        <v>252</v>
      </c>
      <c r="D63" s="211"/>
      <c r="E63" s="534">
        <v>640000</v>
      </c>
      <c r="F63" s="534">
        <v>640000</v>
      </c>
      <c r="G63" s="534">
        <v>640000</v>
      </c>
      <c r="H63" s="534">
        <v>640000</v>
      </c>
      <c r="I63" s="534">
        <v>640000</v>
      </c>
      <c r="J63" s="534">
        <v>640000</v>
      </c>
    </row>
    <row r="64" spans="1:10" ht="12.75" customHeight="1">
      <c r="A64" s="488" t="s">
        <v>128</v>
      </c>
      <c r="B64" s="61" t="s">
        <v>189</v>
      </c>
      <c r="C64" s="9" t="s">
        <v>1259</v>
      </c>
      <c r="D64" s="207">
        <v>0</v>
      </c>
      <c r="E64" s="537">
        <f aca="true" t="shared" si="13" ref="E64:J64">SUM(E65:E65)</f>
        <v>720000</v>
      </c>
      <c r="F64" s="537">
        <f t="shared" si="13"/>
        <v>720000</v>
      </c>
      <c r="G64" s="537">
        <f t="shared" si="13"/>
        <v>720000</v>
      </c>
      <c r="H64" s="537">
        <f t="shared" si="13"/>
        <v>720000</v>
      </c>
      <c r="I64" s="537">
        <f t="shared" si="13"/>
        <v>720000</v>
      </c>
      <c r="J64" s="537">
        <f t="shared" si="13"/>
        <v>720000</v>
      </c>
    </row>
    <row r="65" spans="1:10" ht="12.75" customHeight="1">
      <c r="A65" s="488" t="s">
        <v>130</v>
      </c>
      <c r="B65" s="79"/>
      <c r="C65" s="17" t="s">
        <v>509</v>
      </c>
      <c r="D65" s="141"/>
      <c r="E65" s="536">
        <v>720000</v>
      </c>
      <c r="F65" s="536">
        <v>720000</v>
      </c>
      <c r="G65" s="536">
        <v>720000</v>
      </c>
      <c r="H65" s="536">
        <v>720000</v>
      </c>
      <c r="I65" s="536">
        <v>720000</v>
      </c>
      <c r="J65" s="536">
        <v>720000</v>
      </c>
    </row>
    <row r="66" spans="1:10" ht="25.5" customHeight="1">
      <c r="A66" s="488" t="s">
        <v>131</v>
      </c>
      <c r="B66" s="61" t="s">
        <v>191</v>
      </c>
      <c r="C66" s="84" t="s">
        <v>275</v>
      </c>
      <c r="D66" s="140">
        <v>1</v>
      </c>
      <c r="E66" s="537">
        <v>2565245</v>
      </c>
      <c r="F66" s="537">
        <f>SUM(F67:F69)</f>
        <v>250000</v>
      </c>
      <c r="G66" s="537">
        <f>SUM(G67:G69)</f>
        <v>250000</v>
      </c>
      <c r="H66" s="537">
        <f>SUM(H67:H69)</f>
        <v>250000</v>
      </c>
      <c r="I66" s="537">
        <f>SUM(I67:I69)</f>
        <v>250000</v>
      </c>
      <c r="J66" s="537">
        <f>SUM(J67:J69)</f>
        <v>250000</v>
      </c>
    </row>
    <row r="67" spans="1:10" ht="12.75" customHeight="1">
      <c r="A67" s="488" t="s">
        <v>133</v>
      </c>
      <c r="B67" s="79"/>
      <c r="C67" s="17" t="s">
        <v>250</v>
      </c>
      <c r="D67" s="141"/>
      <c r="E67" s="536">
        <v>2183187</v>
      </c>
      <c r="F67" s="536">
        <v>212766</v>
      </c>
      <c r="G67" s="536">
        <v>212766</v>
      </c>
      <c r="H67" s="536">
        <v>212766</v>
      </c>
      <c r="I67" s="536">
        <v>212766</v>
      </c>
      <c r="J67" s="536">
        <v>212766</v>
      </c>
    </row>
    <row r="68" spans="1:10" ht="12.75" customHeight="1">
      <c r="A68" s="489" t="s">
        <v>135</v>
      </c>
      <c r="B68" s="142"/>
      <c r="C68" s="136" t="s">
        <v>251</v>
      </c>
      <c r="D68" s="486"/>
      <c r="E68" s="538">
        <v>382058</v>
      </c>
      <c r="F68" s="538">
        <v>37234</v>
      </c>
      <c r="G68" s="538">
        <v>37234</v>
      </c>
      <c r="H68" s="538">
        <v>37234</v>
      </c>
      <c r="I68" s="538">
        <v>37234</v>
      </c>
      <c r="J68" s="538">
        <v>37234</v>
      </c>
    </row>
    <row r="69" spans="1:10" ht="12.75" customHeight="1">
      <c r="A69" s="451" t="s">
        <v>137</v>
      </c>
      <c r="B69" s="287"/>
      <c r="C69" s="288" t="s">
        <v>252</v>
      </c>
      <c r="D69" s="530"/>
      <c r="E69" s="539">
        <v>0</v>
      </c>
      <c r="F69" s="539">
        <v>0</v>
      </c>
      <c r="G69" s="539">
        <v>0</v>
      </c>
      <c r="H69" s="539">
        <v>0</v>
      </c>
      <c r="I69" s="539">
        <v>0</v>
      </c>
      <c r="J69" s="539">
        <v>0</v>
      </c>
    </row>
    <row r="70" spans="1:10" ht="12.75" customHeight="1" thickBot="1">
      <c r="A70" s="461" t="s">
        <v>139</v>
      </c>
      <c r="B70" s="462"/>
      <c r="C70" s="136" t="s">
        <v>613</v>
      </c>
      <c r="D70" s="531"/>
      <c r="E70" s="540">
        <v>0</v>
      </c>
      <c r="F70" s="540">
        <v>0</v>
      </c>
      <c r="G70" s="540">
        <v>0</v>
      </c>
      <c r="H70" s="540">
        <v>0</v>
      </c>
      <c r="I70" s="540">
        <v>0</v>
      </c>
      <c r="J70" s="540">
        <v>0</v>
      </c>
    </row>
    <row r="71" spans="1:10" s="491" customFormat="1" ht="48" customHeight="1" thickBot="1">
      <c r="A71" s="549" t="s">
        <v>141</v>
      </c>
      <c r="B71" s="490"/>
      <c r="C71" s="2126" t="s">
        <v>510</v>
      </c>
      <c r="D71" s="2126"/>
      <c r="E71" s="548">
        <f aca="true" t="shared" si="14" ref="E71:J71">SUM(E30+E35+E40+E45+E50+E55+E60+E64+E66)</f>
        <v>97428352</v>
      </c>
      <c r="F71" s="548">
        <f t="shared" si="14"/>
        <v>103172725</v>
      </c>
      <c r="G71" s="548">
        <f t="shared" si="14"/>
        <v>100032622</v>
      </c>
      <c r="H71" s="548">
        <f t="shared" si="14"/>
        <v>100095654</v>
      </c>
      <c r="I71" s="548">
        <f t="shared" si="14"/>
        <v>101529210</v>
      </c>
      <c r="J71" s="548">
        <f t="shared" si="14"/>
        <v>116840128</v>
      </c>
    </row>
    <row r="72" spans="1:10" ht="12.75" customHeight="1">
      <c r="A72" s="796" t="s">
        <v>143</v>
      </c>
      <c r="B72" s="797"/>
      <c r="C72" s="789" t="s">
        <v>488</v>
      </c>
      <c r="D72" s="798">
        <v>20</v>
      </c>
      <c r="E72" s="799">
        <f aca="true" t="shared" si="15" ref="E72:I73">SUM(E31+E36+E41+E46+E51+E56+E61+E67)</f>
        <v>42792987</v>
      </c>
      <c r="F72" s="799">
        <f t="shared" si="15"/>
        <v>51152303</v>
      </c>
      <c r="G72" s="799">
        <f t="shared" si="15"/>
        <v>51181003</v>
      </c>
      <c r="H72" s="799">
        <f t="shared" si="15"/>
        <v>51234603</v>
      </c>
      <c r="I72" s="799">
        <f t="shared" si="15"/>
        <v>52475734</v>
      </c>
      <c r="J72" s="799">
        <f>SUM(J31+J36+J41+J46+J51+J56+J61+J67)</f>
        <v>49672804</v>
      </c>
    </row>
    <row r="73" spans="1:10" ht="12.75" customHeight="1">
      <c r="A73" s="489" t="s">
        <v>145</v>
      </c>
      <c r="B73" s="763"/>
      <c r="C73" s="793" t="s">
        <v>251</v>
      </c>
      <c r="D73" s="765"/>
      <c r="E73" s="794">
        <f t="shared" si="15"/>
        <v>8284276</v>
      </c>
      <c r="F73" s="794">
        <f t="shared" si="15"/>
        <v>8530422</v>
      </c>
      <c r="G73" s="794">
        <f t="shared" si="15"/>
        <v>8535445</v>
      </c>
      <c r="H73" s="794">
        <f t="shared" si="15"/>
        <v>8544824</v>
      </c>
      <c r="I73" s="794">
        <f t="shared" si="15"/>
        <v>8737199</v>
      </c>
      <c r="J73" s="794">
        <f>SUM(J32+J37+J42+J47+J52+J57+J62+J68)</f>
        <v>8744396</v>
      </c>
    </row>
    <row r="74" spans="1:10" ht="12.75" customHeight="1">
      <c r="A74" s="451" t="s">
        <v>147</v>
      </c>
      <c r="B74" s="766"/>
      <c r="C74" s="795" t="s">
        <v>622</v>
      </c>
      <c r="D74" s="767"/>
      <c r="E74" s="800">
        <f aca="true" t="shared" si="16" ref="E74:J74">SUM(E33+E38+E43+E48+E53+E58+E63+E69)+E65</f>
        <v>45847501</v>
      </c>
      <c r="F74" s="800">
        <f t="shared" si="16"/>
        <v>42490000</v>
      </c>
      <c r="G74" s="800">
        <f t="shared" si="16"/>
        <v>39316174</v>
      </c>
      <c r="H74" s="800">
        <f t="shared" si="16"/>
        <v>39316227</v>
      </c>
      <c r="I74" s="800">
        <f t="shared" si="16"/>
        <v>39316277</v>
      </c>
      <c r="J74" s="800">
        <f t="shared" si="16"/>
        <v>51119398</v>
      </c>
    </row>
    <row r="75" spans="1:10" ht="12.75" customHeight="1">
      <c r="A75" s="451" t="s">
        <v>149</v>
      </c>
      <c r="B75" s="766"/>
      <c r="C75" s="392" t="s">
        <v>249</v>
      </c>
      <c r="D75" s="767"/>
      <c r="E75" s="800">
        <f aca="true" t="shared" si="17" ref="E75:J75">SUM(E34+E39+E44+E49+E54+E59)</f>
        <v>503588</v>
      </c>
      <c r="F75" s="800">
        <f t="shared" si="17"/>
        <v>1000000</v>
      </c>
      <c r="G75" s="800">
        <f t="shared" si="17"/>
        <v>1000000</v>
      </c>
      <c r="H75" s="800">
        <f t="shared" si="17"/>
        <v>1000000</v>
      </c>
      <c r="I75" s="800">
        <f t="shared" si="17"/>
        <v>1000000</v>
      </c>
      <c r="J75" s="800">
        <f t="shared" si="17"/>
        <v>7303530</v>
      </c>
    </row>
    <row r="76" spans="1:10" s="507" customFormat="1" ht="12.75" customHeight="1">
      <c r="A76" s="801" t="s">
        <v>151</v>
      </c>
      <c r="B76" s="734"/>
      <c r="C76" s="734" t="s">
        <v>778</v>
      </c>
      <c r="D76" s="734"/>
      <c r="E76" s="802">
        <v>503588</v>
      </c>
      <c r="F76" s="802">
        <v>1000000</v>
      </c>
      <c r="G76" s="802">
        <v>1000000</v>
      </c>
      <c r="H76" s="802">
        <v>1000000</v>
      </c>
      <c r="I76" s="802">
        <v>1000000</v>
      </c>
      <c r="J76" s="802">
        <v>7303530</v>
      </c>
    </row>
    <row r="77" spans="1:10" s="507" customFormat="1" ht="12.75" customHeight="1" thickBot="1">
      <c r="A77" s="785" t="s">
        <v>205</v>
      </c>
      <c r="B77" s="786"/>
      <c r="C77" s="786" t="s">
        <v>779</v>
      </c>
      <c r="D77" s="786"/>
      <c r="E77" s="792"/>
      <c r="F77" s="792"/>
      <c r="G77" s="792"/>
      <c r="H77" s="792"/>
      <c r="I77" s="792"/>
      <c r="J77" s="792"/>
    </row>
  </sheetData>
  <sheetProtection selectLockedCells="1" selectUnlockedCells="1"/>
  <mergeCells count="23">
    <mergeCell ref="A1:I1"/>
    <mergeCell ref="C10:D10"/>
    <mergeCell ref="C8:D8"/>
    <mergeCell ref="A8:B8"/>
    <mergeCell ref="C11:D11"/>
    <mergeCell ref="A5:J5"/>
    <mergeCell ref="A3:J3"/>
    <mergeCell ref="E4:G4"/>
    <mergeCell ref="A29:B29"/>
    <mergeCell ref="A28:B28"/>
    <mergeCell ref="C9:D9"/>
    <mergeCell ref="A9:B9"/>
    <mergeCell ref="C19:D19"/>
    <mergeCell ref="C22:D22"/>
    <mergeCell ref="C25:D25"/>
    <mergeCell ref="C24:D24"/>
    <mergeCell ref="C71:D71"/>
    <mergeCell ref="C13:D13"/>
    <mergeCell ref="C15:D15"/>
    <mergeCell ref="C16:D16"/>
    <mergeCell ref="C17:D17"/>
    <mergeCell ref="C20:D20"/>
    <mergeCell ref="C21:D21"/>
  </mergeCells>
  <printOptions horizontalCentered="1"/>
  <pageMargins left="0.1968503937007874" right="0.1968503937007874" top="0.2755905511811024" bottom="0.2755905511811024" header="0.5118110236220472" footer="0.7874015748031497"/>
  <pageSetup horizontalDpi="600" verticalDpi="600" orientation="portrait" paperSize="9" scale="63" r:id="rId1"/>
  <headerFooter alignWithMargins="0"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2"/>
  <sheetViews>
    <sheetView view="pageBreakPreview" zoomScale="97" zoomScaleSheetLayoutView="97" zoomScalePageLayoutView="0" workbookViewId="0" topLeftCell="A1">
      <selection activeCell="G10" sqref="G10:G11"/>
    </sheetView>
  </sheetViews>
  <sheetFormatPr defaultColWidth="11.57421875" defaultRowHeight="12.75" customHeight="1"/>
  <cols>
    <col min="1" max="1" width="4.00390625" style="962" customWidth="1"/>
    <col min="2" max="2" width="4.28125" style="962" customWidth="1"/>
    <col min="3" max="3" width="40.421875" style="962" customWidth="1"/>
    <col min="4" max="4" width="4.28125" style="962" customWidth="1"/>
    <col min="5" max="8" width="17.00390625" style="962" customWidth="1"/>
    <col min="9" max="10" width="17.00390625" style="655" customWidth="1"/>
    <col min="11" max="16384" width="11.57421875" style="962" customWidth="1"/>
  </cols>
  <sheetData>
    <row r="1" spans="1:10" s="961" customFormat="1" ht="18" customHeight="1">
      <c r="A1" s="2219" t="s">
        <v>511</v>
      </c>
      <c r="B1" s="2219"/>
      <c r="C1" s="2219"/>
      <c r="D1" s="2219"/>
      <c r="E1" s="2219"/>
      <c r="F1" s="2219"/>
      <c r="G1" s="2219"/>
      <c r="H1" s="2219"/>
      <c r="I1" s="2219"/>
      <c r="J1" s="2219"/>
    </row>
    <row r="2" spans="1:10" ht="12.75" customHeight="1">
      <c r="A2" s="2218" t="s">
        <v>1295</v>
      </c>
      <c r="B2" s="2218"/>
      <c r="C2" s="2218"/>
      <c r="D2" s="2218"/>
      <c r="E2" s="2218"/>
      <c r="F2" s="2218"/>
      <c r="G2" s="2218"/>
      <c r="H2" s="2218"/>
      <c r="I2" s="2218"/>
      <c r="J2" s="2218"/>
    </row>
    <row r="3" spans="3:10" ht="12" customHeight="1">
      <c r="C3" s="963"/>
      <c r="D3" s="2220" t="s">
        <v>1296</v>
      </c>
      <c r="E3" s="2220"/>
      <c r="F3" s="2220"/>
      <c r="G3" s="2220"/>
      <c r="H3" s="963"/>
      <c r="I3" s="1686"/>
      <c r="J3" s="1753" t="s">
        <v>497</v>
      </c>
    </row>
    <row r="4" spans="1:10" ht="18" customHeight="1">
      <c r="A4" s="2217" t="s">
        <v>1078</v>
      </c>
      <c r="B4" s="2217"/>
      <c r="C4" s="2217"/>
      <c r="D4" s="2217"/>
      <c r="E4" s="2217"/>
      <c r="F4" s="2217"/>
      <c r="G4" s="2217"/>
      <c r="H4" s="2217"/>
      <c r="I4" s="2217"/>
      <c r="J4" s="2217"/>
    </row>
    <row r="5" spans="5:10" ht="24.75" customHeight="1">
      <c r="E5" s="963"/>
      <c r="F5" s="963"/>
      <c r="G5" s="963"/>
      <c r="H5" s="963"/>
      <c r="I5" s="1686"/>
      <c r="J5" s="1753"/>
    </row>
    <row r="6" spans="1:10" ht="12.75" customHeight="1" thickBot="1">
      <c r="A6" s="2213"/>
      <c r="B6" s="2213"/>
      <c r="C6" s="2213"/>
      <c r="D6" s="964"/>
      <c r="E6" s="965"/>
      <c r="F6" s="965"/>
      <c r="G6" s="965"/>
      <c r="H6" s="965"/>
      <c r="I6" s="1687"/>
      <c r="J6" s="1687" t="s">
        <v>214</v>
      </c>
    </row>
    <row r="7" spans="1:10" ht="42.75" customHeight="1">
      <c r="A7" s="2214" t="s">
        <v>156</v>
      </c>
      <c r="B7" s="2215"/>
      <c r="C7" s="2216" t="s">
        <v>157</v>
      </c>
      <c r="D7" s="2216"/>
      <c r="E7" s="495" t="s">
        <v>1071</v>
      </c>
      <c r="F7" s="495" t="s">
        <v>1072</v>
      </c>
      <c r="G7" s="495" t="s">
        <v>1157</v>
      </c>
      <c r="H7" s="495" t="s">
        <v>1178</v>
      </c>
      <c r="I7" s="1688" t="s">
        <v>1250</v>
      </c>
      <c r="J7" s="1688" t="s">
        <v>1267</v>
      </c>
    </row>
    <row r="8" spans="1:10" ht="12.75" customHeight="1" thickBot="1">
      <c r="A8" s="2207" t="s">
        <v>158</v>
      </c>
      <c r="B8" s="2208"/>
      <c r="C8" s="2209" t="s">
        <v>159</v>
      </c>
      <c r="D8" s="2209"/>
      <c r="E8" s="498" t="s">
        <v>160</v>
      </c>
      <c r="F8" s="498" t="s">
        <v>161</v>
      </c>
      <c r="G8" s="498" t="s">
        <v>456</v>
      </c>
      <c r="H8" s="498" t="s">
        <v>476</v>
      </c>
      <c r="I8" s="1689" t="s">
        <v>701</v>
      </c>
      <c r="J8" s="1689" t="s">
        <v>782</v>
      </c>
    </row>
    <row r="9" spans="1:10" s="969" customFormat="1" ht="29.25" customHeight="1">
      <c r="A9" s="966" t="s">
        <v>38</v>
      </c>
      <c r="B9" s="967"/>
      <c r="C9" s="2210" t="s">
        <v>569</v>
      </c>
      <c r="D9" s="2210"/>
      <c r="E9" s="968">
        <v>64654837</v>
      </c>
      <c r="F9" s="968">
        <f>SUM('12. melléklet'!G28)</f>
        <v>61975191</v>
      </c>
      <c r="G9" s="968">
        <f>SUM('12. melléklet'!H28)</f>
        <v>75331491</v>
      </c>
      <c r="H9" s="968">
        <v>75719241</v>
      </c>
      <c r="I9" s="1690">
        <v>75719241</v>
      </c>
      <c r="J9" s="1690">
        <v>75919433</v>
      </c>
    </row>
    <row r="10" spans="1:10" s="969" customFormat="1" ht="27.75" customHeight="1">
      <c r="A10" s="1655" t="s">
        <v>40</v>
      </c>
      <c r="B10" s="970"/>
      <c r="C10" s="2211" t="s">
        <v>570</v>
      </c>
      <c r="D10" s="2212"/>
      <c r="E10" s="971">
        <v>71348150</v>
      </c>
      <c r="F10" s="971">
        <f>SUM('12. melléklet'!G38)</f>
        <v>71578420</v>
      </c>
      <c r="G10" s="971">
        <f>SUM('12. melléklet'!H38)</f>
        <v>71578420</v>
      </c>
      <c r="H10" s="971">
        <v>76658570</v>
      </c>
      <c r="I10" s="1691">
        <v>76658570</v>
      </c>
      <c r="J10" s="1691">
        <v>79063350</v>
      </c>
    </row>
    <row r="11" spans="1:10" s="969" customFormat="1" ht="27.75" customHeight="1">
      <c r="A11" s="1656" t="s">
        <v>47</v>
      </c>
      <c r="B11" s="1654"/>
      <c r="C11" s="2199" t="s">
        <v>1208</v>
      </c>
      <c r="D11" s="2200"/>
      <c r="E11" s="971"/>
      <c r="F11" s="971"/>
      <c r="G11" s="971"/>
      <c r="H11" s="971">
        <v>41769100</v>
      </c>
      <c r="I11" s="1691">
        <v>41769100</v>
      </c>
      <c r="J11" s="1691">
        <v>50678791</v>
      </c>
    </row>
    <row r="12" spans="1:10" s="969" customFormat="1" ht="25.5" customHeight="1">
      <c r="A12" s="972" t="s">
        <v>49</v>
      </c>
      <c r="B12" s="973"/>
      <c r="C12" s="2199" t="s">
        <v>1209</v>
      </c>
      <c r="D12" s="2200"/>
      <c r="E12" s="971">
        <v>73996115</v>
      </c>
      <c r="F12" s="971">
        <f>SUM('12. melléklet'!G49)</f>
        <v>68387414</v>
      </c>
      <c r="G12" s="971">
        <f>SUM('12. melléklet'!H49)</f>
        <v>70287414</v>
      </c>
      <c r="H12" s="971">
        <v>32209354</v>
      </c>
      <c r="I12" s="1691">
        <v>32209354</v>
      </c>
      <c r="J12" s="1691">
        <v>27930365</v>
      </c>
    </row>
    <row r="13" spans="1:10" s="969" customFormat="1" ht="29.25" customHeight="1">
      <c r="A13" s="974" t="s">
        <v>51</v>
      </c>
      <c r="B13" s="975"/>
      <c r="C13" s="2199" t="s">
        <v>571</v>
      </c>
      <c r="D13" s="2200"/>
      <c r="E13" s="971">
        <v>5050082</v>
      </c>
      <c r="F13" s="971">
        <f>SUM('12. melléklet'!G51)</f>
        <v>4357233</v>
      </c>
      <c r="G13" s="971">
        <f>SUM('12. melléklet'!H51)</f>
        <v>4357233</v>
      </c>
      <c r="H13" s="971">
        <v>5854923</v>
      </c>
      <c r="I13" s="1691">
        <v>5854923</v>
      </c>
      <c r="J13" s="1691">
        <v>6558782</v>
      </c>
    </row>
    <row r="14" spans="1:10" s="969" customFormat="1" ht="29.25" customHeight="1">
      <c r="A14" s="974" t="s">
        <v>53</v>
      </c>
      <c r="B14" s="975"/>
      <c r="C14" s="2199" t="s">
        <v>572</v>
      </c>
      <c r="D14" s="2200"/>
      <c r="E14" s="976">
        <v>9078450</v>
      </c>
      <c r="F14" s="976">
        <v>0</v>
      </c>
      <c r="G14" s="976">
        <v>0</v>
      </c>
      <c r="H14" s="976">
        <v>0</v>
      </c>
      <c r="I14" s="1692">
        <v>1447800</v>
      </c>
      <c r="J14" s="1692">
        <v>1447800</v>
      </c>
    </row>
    <row r="15" spans="1:10" s="969" customFormat="1" ht="12">
      <c r="A15" s="974" t="s">
        <v>55</v>
      </c>
      <c r="B15" s="975"/>
      <c r="C15" s="2199" t="s">
        <v>573</v>
      </c>
      <c r="D15" s="2200"/>
      <c r="E15" s="1300">
        <v>0</v>
      </c>
      <c r="F15" s="1300">
        <v>0</v>
      </c>
      <c r="G15" s="1300">
        <v>0</v>
      </c>
      <c r="H15" s="1300">
        <v>0</v>
      </c>
      <c r="I15" s="1693">
        <v>0</v>
      </c>
      <c r="J15" s="1693">
        <v>0</v>
      </c>
    </row>
    <row r="16" spans="1:10" ht="12.75">
      <c r="A16" s="977" t="s">
        <v>57</v>
      </c>
      <c r="B16" s="978"/>
      <c r="C16" s="2201" t="s">
        <v>788</v>
      </c>
      <c r="D16" s="2202"/>
      <c r="E16" s="1297">
        <f aca="true" t="shared" si="0" ref="E16:J16">SUM(E9:E15)</f>
        <v>224127634</v>
      </c>
      <c r="F16" s="1297">
        <f t="shared" si="0"/>
        <v>206298258</v>
      </c>
      <c r="G16" s="1297">
        <f t="shared" si="0"/>
        <v>221554558</v>
      </c>
      <c r="H16" s="1297">
        <f t="shared" si="0"/>
        <v>232211188</v>
      </c>
      <c r="I16" s="1694">
        <f t="shared" si="0"/>
        <v>233658988</v>
      </c>
      <c r="J16" s="1694">
        <f t="shared" si="0"/>
        <v>241598521</v>
      </c>
    </row>
    <row r="17" spans="1:10" ht="25.5" customHeight="1">
      <c r="A17" s="977" t="s">
        <v>86</v>
      </c>
      <c r="B17" s="978"/>
      <c r="C17" s="2203" t="s">
        <v>789</v>
      </c>
      <c r="D17" s="2204"/>
      <c r="E17" s="1297">
        <v>18593775</v>
      </c>
      <c r="F17" s="1297">
        <v>250000</v>
      </c>
      <c r="G17" s="1297">
        <v>250000</v>
      </c>
      <c r="H17" s="1297">
        <v>1512404</v>
      </c>
      <c r="I17" s="1694">
        <v>2234101</v>
      </c>
      <c r="J17" s="1694">
        <v>3103905</v>
      </c>
    </row>
    <row r="18" spans="1:10" s="981" customFormat="1" ht="12">
      <c r="A18" s="979" t="s">
        <v>59</v>
      </c>
      <c r="B18" s="980"/>
      <c r="C18" s="2205" t="s">
        <v>591</v>
      </c>
      <c r="D18" s="2206"/>
      <c r="E18" s="982"/>
      <c r="F18" s="982"/>
      <c r="G18" s="982"/>
      <c r="H18" s="982"/>
      <c r="I18" s="1695"/>
      <c r="J18" s="1695"/>
    </row>
    <row r="19" spans="1:10" s="981" customFormat="1" ht="12">
      <c r="A19" s="979" t="s">
        <v>61</v>
      </c>
      <c r="B19" s="980"/>
      <c r="C19" s="2205" t="s">
        <v>1210</v>
      </c>
      <c r="D19" s="2206"/>
      <c r="E19" s="982"/>
      <c r="F19" s="982"/>
      <c r="G19" s="982"/>
      <c r="H19" s="982">
        <v>1048888</v>
      </c>
      <c r="I19" s="1695">
        <v>1540959</v>
      </c>
      <c r="J19" s="1695">
        <v>2066324</v>
      </c>
    </row>
    <row r="20" spans="1:10" s="981" customFormat="1" ht="12">
      <c r="A20" s="979" t="s">
        <v>63</v>
      </c>
      <c r="B20" s="980"/>
      <c r="C20" s="2186" t="s">
        <v>790</v>
      </c>
      <c r="D20" s="2187"/>
      <c r="E20" s="982">
        <v>2565245</v>
      </c>
      <c r="F20" s="982">
        <v>250000</v>
      </c>
      <c r="G20" s="982">
        <v>250000</v>
      </c>
      <c r="H20" s="982">
        <v>463516</v>
      </c>
      <c r="I20" s="1695">
        <v>693142</v>
      </c>
      <c r="J20" s="1695">
        <v>1037581</v>
      </c>
    </row>
    <row r="21" spans="1:10" s="981" customFormat="1" ht="12">
      <c r="A21" s="979" t="s">
        <v>65</v>
      </c>
      <c r="B21" s="980"/>
      <c r="C21" s="2188" t="s">
        <v>791</v>
      </c>
      <c r="D21" s="2189"/>
      <c r="E21" s="982">
        <v>15626686</v>
      </c>
      <c r="F21" s="982"/>
      <c r="G21" s="982"/>
      <c r="H21" s="982"/>
      <c r="I21" s="1695"/>
      <c r="J21" s="1695"/>
    </row>
    <row r="22" spans="1:10" s="986" customFormat="1" ht="33" customHeight="1">
      <c r="A22" s="983" t="s">
        <v>92</v>
      </c>
      <c r="B22" s="984" t="s">
        <v>164</v>
      </c>
      <c r="C22" s="2190" t="s">
        <v>792</v>
      </c>
      <c r="D22" s="2191"/>
      <c r="E22" s="1296">
        <f aca="true" t="shared" si="1" ref="E22:J22">SUM(E16+E17)</f>
        <v>242721409</v>
      </c>
      <c r="F22" s="1296">
        <f t="shared" si="1"/>
        <v>206548258</v>
      </c>
      <c r="G22" s="1296">
        <f t="shared" si="1"/>
        <v>221804558</v>
      </c>
      <c r="H22" s="1296">
        <f t="shared" si="1"/>
        <v>233723592</v>
      </c>
      <c r="I22" s="1696">
        <f t="shared" si="1"/>
        <v>235893089</v>
      </c>
      <c r="J22" s="1696">
        <f t="shared" si="1"/>
        <v>244702426</v>
      </c>
    </row>
    <row r="23" spans="1:10" s="990" customFormat="1" ht="33" customHeight="1">
      <c r="A23" s="987" t="s">
        <v>66</v>
      </c>
      <c r="B23" s="988"/>
      <c r="C23" s="2192" t="s">
        <v>794</v>
      </c>
      <c r="D23" s="2193"/>
      <c r="E23" s="989">
        <v>86558434</v>
      </c>
      <c r="F23" s="989">
        <f>SUM(F24)</f>
        <v>0</v>
      </c>
      <c r="G23" s="989">
        <f>SUM(G24)+G28</f>
        <v>204583492</v>
      </c>
      <c r="H23" s="989">
        <f>SUM(H24:H28)</f>
        <v>225628568</v>
      </c>
      <c r="I23" s="1697">
        <f>SUM(I24:I28)</f>
        <v>225628568</v>
      </c>
      <c r="J23" s="1697">
        <f>SUM(J24:J30)</f>
        <v>243628561</v>
      </c>
    </row>
    <row r="24" spans="1:10" s="994" customFormat="1" ht="12">
      <c r="A24" s="991" t="s">
        <v>67</v>
      </c>
      <c r="B24" s="992"/>
      <c r="C24" s="2194" t="s">
        <v>1212</v>
      </c>
      <c r="D24" s="2195"/>
      <c r="E24" s="993">
        <v>86558434</v>
      </c>
      <c r="F24" s="993">
        <v>0</v>
      </c>
      <c r="G24" s="993">
        <v>199148770</v>
      </c>
      <c r="H24" s="993">
        <v>199148770</v>
      </c>
      <c r="I24" s="1698">
        <v>199148770</v>
      </c>
      <c r="J24" s="1698">
        <v>199148770</v>
      </c>
    </row>
    <row r="25" spans="1:10" s="994" customFormat="1" ht="12">
      <c r="A25" s="991" t="s">
        <v>68</v>
      </c>
      <c r="B25" s="992"/>
      <c r="C25" s="2197" t="s">
        <v>1213</v>
      </c>
      <c r="D25" s="2198"/>
      <c r="E25" s="993"/>
      <c r="F25" s="993"/>
      <c r="G25" s="993"/>
      <c r="H25" s="993">
        <v>2977923</v>
      </c>
      <c r="I25" s="1698">
        <v>2977923</v>
      </c>
      <c r="J25" s="1698">
        <v>2977923</v>
      </c>
    </row>
    <row r="26" spans="1:10" s="994" customFormat="1" ht="12">
      <c r="A26" s="991" t="s">
        <v>70</v>
      </c>
      <c r="B26" s="992"/>
      <c r="C26" s="2197" t="s">
        <v>1214</v>
      </c>
      <c r="D26" s="2198"/>
      <c r="E26" s="993"/>
      <c r="F26" s="993"/>
      <c r="G26" s="993"/>
      <c r="H26" s="993">
        <v>16970000</v>
      </c>
      <c r="I26" s="1698">
        <v>16970000</v>
      </c>
      <c r="J26" s="1698">
        <v>16970000</v>
      </c>
    </row>
    <row r="27" spans="1:10" s="994" customFormat="1" ht="12">
      <c r="A27" s="991" t="s">
        <v>97</v>
      </c>
      <c r="B27" s="992"/>
      <c r="C27" s="2197" t="s">
        <v>1215</v>
      </c>
      <c r="D27" s="2198"/>
      <c r="E27" s="993"/>
      <c r="F27" s="993"/>
      <c r="G27" s="993"/>
      <c r="H27" s="993">
        <v>1097153</v>
      </c>
      <c r="I27" s="1698">
        <v>1097153</v>
      </c>
      <c r="J27" s="1698">
        <v>1097153</v>
      </c>
    </row>
    <row r="28" spans="1:10" s="994" customFormat="1" ht="24">
      <c r="A28" s="991" t="s">
        <v>99</v>
      </c>
      <c r="B28" s="992"/>
      <c r="C28" s="907" t="s">
        <v>1211</v>
      </c>
      <c r="D28" s="908"/>
      <c r="E28" s="993"/>
      <c r="F28" s="993">
        <v>0</v>
      </c>
      <c r="G28" s="993">
        <v>5434722</v>
      </c>
      <c r="H28" s="993">
        <v>5434722</v>
      </c>
      <c r="I28" s="1698">
        <v>5434722</v>
      </c>
      <c r="J28" s="1698">
        <v>5434722</v>
      </c>
    </row>
    <row r="29" spans="1:10" s="994" customFormat="1" ht="12">
      <c r="A29" s="991" t="s">
        <v>101</v>
      </c>
      <c r="B29" s="992"/>
      <c r="C29" s="907" t="s">
        <v>1287</v>
      </c>
      <c r="D29" s="908"/>
      <c r="E29" s="993"/>
      <c r="F29" s="993"/>
      <c r="G29" s="993"/>
      <c r="H29" s="993"/>
      <c r="I29" s="1698"/>
      <c r="J29" s="1698">
        <v>2999994</v>
      </c>
    </row>
    <row r="30" spans="1:10" s="994" customFormat="1" ht="24">
      <c r="A30" s="991" t="s">
        <v>103</v>
      </c>
      <c r="B30" s="992"/>
      <c r="C30" s="907" t="s">
        <v>1288</v>
      </c>
      <c r="D30" s="908"/>
      <c r="E30" s="993"/>
      <c r="F30" s="993"/>
      <c r="G30" s="993"/>
      <c r="H30" s="993"/>
      <c r="I30" s="1698"/>
      <c r="J30" s="1698">
        <v>14999999</v>
      </c>
    </row>
    <row r="31" spans="1:10" s="214" customFormat="1" ht="27" customHeight="1">
      <c r="A31" s="995" t="s">
        <v>105</v>
      </c>
      <c r="B31" s="996" t="s">
        <v>166</v>
      </c>
      <c r="C31" s="2196" t="s">
        <v>793</v>
      </c>
      <c r="D31" s="2196"/>
      <c r="E31" s="985">
        <f aca="true" t="shared" si="2" ref="E31:J31">SUM(E23)</f>
        <v>86558434</v>
      </c>
      <c r="F31" s="985">
        <f t="shared" si="2"/>
        <v>0</v>
      </c>
      <c r="G31" s="985">
        <f t="shared" si="2"/>
        <v>204583492</v>
      </c>
      <c r="H31" s="985">
        <f t="shared" si="2"/>
        <v>225628568</v>
      </c>
      <c r="I31" s="1699">
        <f t="shared" si="2"/>
        <v>225628568</v>
      </c>
      <c r="J31" s="1699">
        <f t="shared" si="2"/>
        <v>243628561</v>
      </c>
    </row>
    <row r="32" spans="1:10" s="998" customFormat="1" ht="12">
      <c r="A32" s="974" t="s">
        <v>107</v>
      </c>
      <c r="B32" s="997"/>
      <c r="C32" s="2176" t="s">
        <v>586</v>
      </c>
      <c r="D32" s="2177"/>
      <c r="E32" s="971">
        <v>7416968</v>
      </c>
      <c r="F32" s="971">
        <v>7000000</v>
      </c>
      <c r="G32" s="971">
        <v>7000000</v>
      </c>
      <c r="H32" s="971">
        <v>7000000</v>
      </c>
      <c r="I32" s="1691">
        <v>7000000</v>
      </c>
      <c r="J32" s="1691">
        <v>8449347</v>
      </c>
    </row>
    <row r="33" spans="1:10" s="998" customFormat="1" ht="12">
      <c r="A33" s="974" t="s">
        <v>109</v>
      </c>
      <c r="B33" s="997"/>
      <c r="C33" s="2178" t="s">
        <v>587</v>
      </c>
      <c r="D33" s="2179"/>
      <c r="E33" s="971">
        <v>178695853</v>
      </c>
      <c r="F33" s="971">
        <v>170000000</v>
      </c>
      <c r="G33" s="971">
        <v>149699463</v>
      </c>
      <c r="H33" s="971">
        <v>149699463</v>
      </c>
      <c r="I33" s="1691">
        <v>149699463</v>
      </c>
      <c r="J33" s="1691">
        <v>147879068</v>
      </c>
    </row>
    <row r="34" spans="1:10" s="998" customFormat="1" ht="12">
      <c r="A34" s="974">
        <v>26</v>
      </c>
      <c r="B34" s="997"/>
      <c r="C34" s="2178" t="s">
        <v>588</v>
      </c>
      <c r="D34" s="2179"/>
      <c r="E34" s="971">
        <v>10879813</v>
      </c>
      <c r="F34" s="971">
        <v>10700000</v>
      </c>
      <c r="G34" s="971">
        <v>0</v>
      </c>
      <c r="H34" s="971">
        <v>0</v>
      </c>
      <c r="I34" s="1691">
        <v>0</v>
      </c>
      <c r="J34" s="1691">
        <v>0</v>
      </c>
    </row>
    <row r="35" spans="1:10" s="998" customFormat="1" ht="26.25" customHeight="1">
      <c r="A35" s="974" t="s">
        <v>113</v>
      </c>
      <c r="B35" s="997"/>
      <c r="C35" s="2180" t="s">
        <v>589</v>
      </c>
      <c r="D35" s="2181"/>
      <c r="E35" s="971">
        <v>0</v>
      </c>
      <c r="F35" s="971"/>
      <c r="G35" s="971"/>
      <c r="H35" s="971"/>
      <c r="I35" s="1691"/>
      <c r="J35" s="1691"/>
    </row>
    <row r="36" spans="1:10" s="998" customFormat="1" ht="17.25" customHeight="1">
      <c r="A36" s="974" t="s">
        <v>115</v>
      </c>
      <c r="B36" s="997"/>
      <c r="C36" s="2182" t="s">
        <v>590</v>
      </c>
      <c r="D36" s="2183"/>
      <c r="E36" s="971">
        <v>275818</v>
      </c>
      <c r="F36" s="971">
        <v>250000</v>
      </c>
      <c r="G36" s="971">
        <v>250000</v>
      </c>
      <c r="H36" s="971">
        <v>350000</v>
      </c>
      <c r="I36" s="1691">
        <v>350000</v>
      </c>
      <c r="J36" s="1691">
        <v>724993</v>
      </c>
    </row>
    <row r="37" spans="1:10" s="214" customFormat="1" ht="12.75">
      <c r="A37" s="995" t="s">
        <v>117</v>
      </c>
      <c r="B37" s="996" t="s">
        <v>173</v>
      </c>
      <c r="C37" s="2184" t="s">
        <v>796</v>
      </c>
      <c r="D37" s="2185"/>
      <c r="E37" s="1296">
        <f aca="true" t="shared" si="3" ref="E37:J37">SUM(E32:E36)</f>
        <v>197268452</v>
      </c>
      <c r="F37" s="1296">
        <f t="shared" si="3"/>
        <v>187950000</v>
      </c>
      <c r="G37" s="1296">
        <f t="shared" si="3"/>
        <v>156949463</v>
      </c>
      <c r="H37" s="1296">
        <f t="shared" si="3"/>
        <v>157049463</v>
      </c>
      <c r="I37" s="1696">
        <f t="shared" si="3"/>
        <v>157049463</v>
      </c>
      <c r="J37" s="1696">
        <f t="shared" si="3"/>
        <v>157053408</v>
      </c>
    </row>
    <row r="38" spans="1:10" s="214" customFormat="1" ht="12.75">
      <c r="A38" s="977" t="s">
        <v>118</v>
      </c>
      <c r="B38" s="996"/>
      <c r="C38" s="2168" t="s">
        <v>574</v>
      </c>
      <c r="D38" s="2169"/>
      <c r="E38" s="1297">
        <v>3655726</v>
      </c>
      <c r="F38" s="1297">
        <v>3600000</v>
      </c>
      <c r="G38" s="1297">
        <v>2500000</v>
      </c>
      <c r="H38" s="1297">
        <v>3000000</v>
      </c>
      <c r="I38" s="1694">
        <v>4000000</v>
      </c>
      <c r="J38" s="1694">
        <v>4654268</v>
      </c>
    </row>
    <row r="39" spans="1:10" s="214" customFormat="1" ht="12.75">
      <c r="A39" s="977" t="s">
        <v>120</v>
      </c>
      <c r="B39" s="996"/>
      <c r="C39" s="2170" t="s">
        <v>176</v>
      </c>
      <c r="D39" s="2171"/>
      <c r="E39" s="1297">
        <v>5179339</v>
      </c>
      <c r="F39" s="1297">
        <v>5179000</v>
      </c>
      <c r="G39" s="1297">
        <v>5179000</v>
      </c>
      <c r="H39" s="1297">
        <v>4000000</v>
      </c>
      <c r="I39" s="1694">
        <v>4000000</v>
      </c>
      <c r="J39" s="1694">
        <v>4394154</v>
      </c>
    </row>
    <row r="40" spans="1:10" s="214" customFormat="1" ht="12.75">
      <c r="A40" s="977" t="s">
        <v>122</v>
      </c>
      <c r="B40" s="996"/>
      <c r="C40" s="2170" t="s">
        <v>177</v>
      </c>
      <c r="D40" s="2171"/>
      <c r="E40" s="1297">
        <v>247860</v>
      </c>
      <c r="F40" s="1297">
        <v>240000</v>
      </c>
      <c r="G40" s="1297">
        <v>150000</v>
      </c>
      <c r="H40" s="1297">
        <v>300000</v>
      </c>
      <c r="I40" s="1694">
        <v>300000</v>
      </c>
      <c r="J40" s="1694">
        <v>509647</v>
      </c>
    </row>
    <row r="41" spans="1:10" s="214" customFormat="1" ht="12.75">
      <c r="A41" s="977" t="s">
        <v>124</v>
      </c>
      <c r="B41" s="996"/>
      <c r="C41" s="2170" t="s">
        <v>179</v>
      </c>
      <c r="D41" s="2171"/>
      <c r="E41" s="1297">
        <v>10002449</v>
      </c>
      <c r="F41" s="1297">
        <v>10000000</v>
      </c>
      <c r="G41" s="1297">
        <v>10000000</v>
      </c>
      <c r="H41" s="1297">
        <v>9600000</v>
      </c>
      <c r="I41" s="1694">
        <v>7000000</v>
      </c>
      <c r="J41" s="1694">
        <v>9856427</v>
      </c>
    </row>
    <row r="42" spans="1:10" s="214" customFormat="1" ht="12.75">
      <c r="A42" s="977" t="s">
        <v>126</v>
      </c>
      <c r="B42" s="996"/>
      <c r="C42" s="999" t="s">
        <v>695</v>
      </c>
      <c r="D42" s="1000"/>
      <c r="E42" s="1297"/>
      <c r="F42" s="1297"/>
      <c r="G42" s="1297"/>
      <c r="H42" s="1297"/>
      <c r="I42" s="1694"/>
      <c r="J42" s="1694"/>
    </row>
    <row r="43" spans="1:10" ht="12.75">
      <c r="A43" s="977" t="s">
        <v>128</v>
      </c>
      <c r="B43" s="978"/>
      <c r="C43" s="2172" t="s">
        <v>585</v>
      </c>
      <c r="D43" s="2173"/>
      <c r="E43" s="1297">
        <v>55</v>
      </c>
      <c r="F43" s="1297">
        <v>0</v>
      </c>
      <c r="G43" s="1297">
        <v>26</v>
      </c>
      <c r="H43" s="1297">
        <v>100</v>
      </c>
      <c r="I43" s="1694">
        <v>100</v>
      </c>
      <c r="J43" s="1694">
        <v>119</v>
      </c>
    </row>
    <row r="44" spans="1:10" ht="12.75">
      <c r="A44" s="977" t="s">
        <v>130</v>
      </c>
      <c r="B44" s="978"/>
      <c r="C44" s="1001" t="s">
        <v>795</v>
      </c>
      <c r="D44" s="1002"/>
      <c r="E44" s="1297">
        <v>113750</v>
      </c>
      <c r="F44" s="1297">
        <v>0</v>
      </c>
      <c r="G44" s="1297">
        <v>0</v>
      </c>
      <c r="H44" s="1297">
        <v>0</v>
      </c>
      <c r="I44" s="1694">
        <v>0</v>
      </c>
      <c r="J44" s="1694">
        <v>0</v>
      </c>
    </row>
    <row r="45" spans="1:10" ht="12.75" customHeight="1">
      <c r="A45" s="977" t="s">
        <v>131</v>
      </c>
      <c r="B45" s="978"/>
      <c r="C45" s="2174" t="s">
        <v>181</v>
      </c>
      <c r="D45" s="2175"/>
      <c r="E45" s="1297">
        <v>3407335</v>
      </c>
      <c r="F45" s="1297">
        <v>2000000</v>
      </c>
      <c r="G45" s="1297">
        <v>1000000</v>
      </c>
      <c r="H45" s="1297">
        <v>100000</v>
      </c>
      <c r="I45" s="1694">
        <v>250000</v>
      </c>
      <c r="J45" s="1694">
        <v>217483</v>
      </c>
    </row>
    <row r="46" spans="1:10" s="214" customFormat="1" ht="12.75">
      <c r="A46" s="995" t="s">
        <v>133</v>
      </c>
      <c r="B46" s="1003" t="s">
        <v>182</v>
      </c>
      <c r="C46" s="2159" t="s">
        <v>797</v>
      </c>
      <c r="D46" s="2160"/>
      <c r="E46" s="1298">
        <f aca="true" t="shared" si="4" ref="E46:J46">SUM(E38:E45)</f>
        <v>22606514</v>
      </c>
      <c r="F46" s="1298">
        <f t="shared" si="4"/>
        <v>21019000</v>
      </c>
      <c r="G46" s="1298">
        <f t="shared" si="4"/>
        <v>18829026</v>
      </c>
      <c r="H46" s="1298">
        <f t="shared" si="4"/>
        <v>17000100</v>
      </c>
      <c r="I46" s="1700">
        <f t="shared" si="4"/>
        <v>15550100</v>
      </c>
      <c r="J46" s="1700">
        <f t="shared" si="4"/>
        <v>19632098</v>
      </c>
    </row>
    <row r="47" spans="1:10" s="214" customFormat="1" ht="12.75" customHeight="1">
      <c r="A47" s="995" t="s">
        <v>135</v>
      </c>
      <c r="B47" s="1003" t="s">
        <v>183</v>
      </c>
      <c r="C47" s="2161" t="s">
        <v>798</v>
      </c>
      <c r="D47" s="2161"/>
      <c r="E47" s="1299">
        <v>31616633</v>
      </c>
      <c r="F47" s="1299">
        <f>SUM(F48:F61)</f>
        <v>14000000</v>
      </c>
      <c r="G47" s="1299">
        <v>16968160</v>
      </c>
      <c r="H47" s="1299">
        <f>SUM(H48:H61)</f>
        <v>22893160</v>
      </c>
      <c r="I47" s="1696">
        <f>SUM(I48:I61)</f>
        <v>22893160</v>
      </c>
      <c r="J47" s="1696">
        <f>SUM(J48:J61)</f>
        <v>31357376</v>
      </c>
    </row>
    <row r="48" spans="1:10" s="969" customFormat="1" ht="12.75" customHeight="1">
      <c r="A48" s="974" t="s">
        <v>137</v>
      </c>
      <c r="B48" s="975"/>
      <c r="C48" s="1004" t="s">
        <v>935</v>
      </c>
      <c r="D48" s="1005"/>
      <c r="E48" s="1006">
        <v>30082773</v>
      </c>
      <c r="F48" s="1006"/>
      <c r="G48" s="1006">
        <f>2643750+324410</f>
        <v>2968160</v>
      </c>
      <c r="H48" s="1006"/>
      <c r="I48" s="1691"/>
      <c r="J48" s="1691"/>
    </row>
    <row r="49" spans="1:10" s="969" customFormat="1" ht="12.75" customHeight="1">
      <c r="A49" s="974" t="s">
        <v>139</v>
      </c>
      <c r="B49" s="975"/>
      <c r="C49" s="1004" t="s">
        <v>1217</v>
      </c>
      <c r="D49" s="1005"/>
      <c r="E49" s="1006"/>
      <c r="F49" s="1006"/>
      <c r="G49" s="1006"/>
      <c r="H49" s="1006">
        <v>100000</v>
      </c>
      <c r="I49" s="1691">
        <v>100000</v>
      </c>
      <c r="J49" s="1691">
        <v>100000</v>
      </c>
    </row>
    <row r="50" spans="1:10" s="969" customFormat="1" ht="12.75" customHeight="1">
      <c r="A50" s="974" t="s">
        <v>141</v>
      </c>
      <c r="B50" s="975"/>
      <c r="C50" s="1004" t="s">
        <v>1216</v>
      </c>
      <c r="D50" s="1005"/>
      <c r="E50" s="1006"/>
      <c r="F50" s="1006"/>
      <c r="G50" s="1006"/>
      <c r="H50" s="1006">
        <v>3938</v>
      </c>
      <c r="I50" s="1691">
        <v>3938</v>
      </c>
      <c r="J50" s="1691">
        <v>3938</v>
      </c>
    </row>
    <row r="51" spans="1:10" s="969" customFormat="1" ht="12.75" customHeight="1">
      <c r="A51" s="974" t="s">
        <v>143</v>
      </c>
      <c r="B51" s="975"/>
      <c r="C51" s="1004" t="s">
        <v>1218</v>
      </c>
      <c r="D51" s="1005"/>
      <c r="E51" s="1006"/>
      <c r="F51" s="1006"/>
      <c r="G51" s="1006"/>
      <c r="H51" s="1006">
        <v>181102</v>
      </c>
      <c r="I51" s="1691">
        <v>181102</v>
      </c>
      <c r="J51" s="1691">
        <v>181102</v>
      </c>
    </row>
    <row r="52" spans="1:10" s="969" customFormat="1" ht="12.75" customHeight="1">
      <c r="A52" s="974" t="s">
        <v>145</v>
      </c>
      <c r="B52" s="975"/>
      <c r="C52" s="1004" t="s">
        <v>1219</v>
      </c>
      <c r="D52" s="1005"/>
      <c r="E52" s="1006"/>
      <c r="F52" s="1006"/>
      <c r="G52" s="1006"/>
      <c r="H52" s="1006">
        <v>39370</v>
      </c>
      <c r="I52" s="1691">
        <v>39370</v>
      </c>
      <c r="J52" s="1691">
        <v>39370</v>
      </c>
    </row>
    <row r="53" spans="1:10" s="969" customFormat="1" ht="12.75" customHeight="1">
      <c r="A53" s="974" t="s">
        <v>147</v>
      </c>
      <c r="B53" s="975"/>
      <c r="C53" s="1004" t="s">
        <v>1220</v>
      </c>
      <c r="D53" s="1005"/>
      <c r="E53" s="1006"/>
      <c r="F53" s="1006"/>
      <c r="G53" s="1006"/>
      <c r="H53" s="1006">
        <v>2643750</v>
      </c>
      <c r="I53" s="1691">
        <v>2643750</v>
      </c>
      <c r="J53" s="1691">
        <v>2643750</v>
      </c>
    </row>
    <row r="54" spans="1:10" s="969" customFormat="1" ht="12.75" customHeight="1">
      <c r="A54" s="974" t="s">
        <v>149</v>
      </c>
      <c r="B54" s="975"/>
      <c r="C54" s="1004" t="s">
        <v>1221</v>
      </c>
      <c r="D54" s="1005"/>
      <c r="E54" s="1006"/>
      <c r="F54" s="1006"/>
      <c r="G54" s="1006"/>
      <c r="H54" s="1006">
        <v>2703750</v>
      </c>
      <c r="I54" s="1691">
        <v>2703750</v>
      </c>
      <c r="J54" s="1691">
        <v>2703750</v>
      </c>
    </row>
    <row r="55" spans="1:10" s="969" customFormat="1" ht="12.75" customHeight="1">
      <c r="A55" s="974" t="s">
        <v>151</v>
      </c>
      <c r="B55" s="975"/>
      <c r="C55" s="1004" t="s">
        <v>1222</v>
      </c>
      <c r="D55" s="1005"/>
      <c r="E55" s="1006"/>
      <c r="F55" s="1006"/>
      <c r="G55" s="1006"/>
      <c r="H55" s="1006">
        <v>3221250</v>
      </c>
      <c r="I55" s="1691">
        <v>3221250</v>
      </c>
      <c r="J55" s="1691"/>
    </row>
    <row r="56" spans="1:10" s="969" customFormat="1" ht="12.75" customHeight="1">
      <c r="A56" s="974" t="s">
        <v>205</v>
      </c>
      <c r="B56" s="975"/>
      <c r="C56" s="1004" t="s">
        <v>1289</v>
      </c>
      <c r="D56" s="1005"/>
      <c r="E56" s="1006"/>
      <c r="F56" s="1006"/>
      <c r="G56" s="1006"/>
      <c r="H56" s="1006"/>
      <c r="I56" s="1691"/>
      <c r="J56" s="1691">
        <v>5571500</v>
      </c>
    </row>
    <row r="57" spans="1:10" s="969" customFormat="1" ht="12.75" customHeight="1">
      <c r="A57" s="974" t="s">
        <v>207</v>
      </c>
      <c r="B57" s="975"/>
      <c r="C57" s="1004" t="s">
        <v>1290</v>
      </c>
      <c r="D57" s="1005"/>
      <c r="E57" s="1006"/>
      <c r="F57" s="1006"/>
      <c r="G57" s="1006"/>
      <c r="H57" s="1006"/>
      <c r="I57" s="1691"/>
      <c r="J57" s="1691">
        <v>1635226</v>
      </c>
    </row>
    <row r="58" spans="1:10" s="969" customFormat="1" ht="12.75" customHeight="1">
      <c r="A58" s="974" t="s">
        <v>261</v>
      </c>
      <c r="B58" s="975"/>
      <c r="C58" s="1004" t="s">
        <v>1291</v>
      </c>
      <c r="D58" s="1005"/>
      <c r="E58" s="1006"/>
      <c r="F58" s="1006"/>
      <c r="G58" s="1006"/>
      <c r="H58" s="1006"/>
      <c r="I58" s="1691"/>
      <c r="J58" s="1691">
        <v>18400000</v>
      </c>
    </row>
    <row r="59" spans="1:10" s="969" customFormat="1" ht="12.75" customHeight="1">
      <c r="A59" s="974" t="s">
        <v>208</v>
      </c>
      <c r="B59" s="975"/>
      <c r="C59" s="1004" t="s">
        <v>1292</v>
      </c>
      <c r="D59" s="1005"/>
      <c r="E59" s="1006"/>
      <c r="F59" s="1006"/>
      <c r="G59" s="1006"/>
      <c r="H59" s="1006"/>
      <c r="I59" s="1691"/>
      <c r="J59" s="1691">
        <v>78740</v>
      </c>
    </row>
    <row r="60" spans="1:10" s="969" customFormat="1" ht="12.75" customHeight="1">
      <c r="A60" s="974" t="s">
        <v>210</v>
      </c>
      <c r="B60" s="975"/>
      <c r="C60" s="1004" t="s">
        <v>799</v>
      </c>
      <c r="D60" s="1005"/>
      <c r="E60" s="1006">
        <v>1533860</v>
      </c>
      <c r="F60" s="1006"/>
      <c r="G60" s="1006"/>
      <c r="H60" s="1006"/>
      <c r="I60" s="1691"/>
      <c r="J60" s="1691"/>
    </row>
    <row r="61" spans="1:10" s="969" customFormat="1" ht="12.75" customHeight="1">
      <c r="A61" s="974" t="s">
        <v>263</v>
      </c>
      <c r="B61" s="975"/>
      <c r="C61" s="1004" t="s">
        <v>1021</v>
      </c>
      <c r="D61" s="1005"/>
      <c r="E61" s="1006">
        <v>0</v>
      </c>
      <c r="F61" s="1006">
        <v>14000000</v>
      </c>
      <c r="G61" s="1006">
        <v>14000000</v>
      </c>
      <c r="H61" s="1006">
        <v>14000000</v>
      </c>
      <c r="I61" s="1691">
        <v>14000000</v>
      </c>
      <c r="J61" s="1691"/>
    </row>
    <row r="62" spans="1:10" s="214" customFormat="1" ht="12.75" customHeight="1">
      <c r="A62" s="995" t="s">
        <v>264</v>
      </c>
      <c r="B62" s="1007" t="s">
        <v>638</v>
      </c>
      <c r="C62" s="2159" t="s">
        <v>766</v>
      </c>
      <c r="D62" s="2160"/>
      <c r="E62" s="985">
        <f aca="true" t="shared" si="5" ref="E62:J62">SUM(E63:E64)</f>
        <v>1117184</v>
      </c>
      <c r="F62" s="985">
        <f t="shared" si="5"/>
        <v>78000</v>
      </c>
      <c r="G62" s="985">
        <f t="shared" si="5"/>
        <v>78000</v>
      </c>
      <c r="H62" s="985">
        <f t="shared" si="5"/>
        <v>1640020</v>
      </c>
      <c r="I62" s="1699">
        <f t="shared" si="5"/>
        <v>1740020</v>
      </c>
      <c r="J62" s="1699">
        <f t="shared" si="5"/>
        <v>1765818</v>
      </c>
    </row>
    <row r="63" spans="1:10" s="969" customFormat="1" ht="24" customHeight="1">
      <c r="A63" s="1008" t="s">
        <v>265</v>
      </c>
      <c r="B63" s="1009"/>
      <c r="C63" s="1010" t="s">
        <v>800</v>
      </c>
      <c r="D63" s="1011"/>
      <c r="E63" s="1012">
        <v>51744</v>
      </c>
      <c r="F63" s="1012">
        <v>78000</v>
      </c>
      <c r="G63" s="1012">
        <v>78000</v>
      </c>
      <c r="H63" s="1012">
        <v>150000</v>
      </c>
      <c r="I63" s="1701">
        <v>250000</v>
      </c>
      <c r="J63" s="1701">
        <v>275798</v>
      </c>
    </row>
    <row r="64" spans="1:10" s="969" customFormat="1" ht="12.75" customHeight="1">
      <c r="A64" s="1008" t="s">
        <v>266</v>
      </c>
      <c r="B64" s="1009"/>
      <c r="C64" s="1013" t="s">
        <v>801</v>
      </c>
      <c r="D64" s="1011"/>
      <c r="E64" s="1012">
        <v>1065440</v>
      </c>
      <c r="F64" s="1012">
        <v>0</v>
      </c>
      <c r="G64" s="1012">
        <v>0</v>
      </c>
      <c r="H64" s="1012">
        <v>1490020</v>
      </c>
      <c r="I64" s="1701">
        <v>1490020</v>
      </c>
      <c r="J64" s="1701">
        <v>1490020</v>
      </c>
    </row>
    <row r="65" spans="1:10" s="214" customFormat="1" ht="12.75" customHeight="1" thickBot="1">
      <c r="A65" s="1014" t="s">
        <v>268</v>
      </c>
      <c r="B65" s="1015" t="s">
        <v>186</v>
      </c>
      <c r="C65" s="2162" t="s">
        <v>802</v>
      </c>
      <c r="D65" s="2163"/>
      <c r="E65" s="1016">
        <v>0</v>
      </c>
      <c r="F65" s="1016">
        <v>0</v>
      </c>
      <c r="G65" s="1016">
        <v>0</v>
      </c>
      <c r="H65" s="1016">
        <v>0</v>
      </c>
      <c r="I65" s="1702">
        <v>0</v>
      </c>
      <c r="J65" s="1702">
        <v>0</v>
      </c>
    </row>
    <row r="66" spans="1:10" s="1020" customFormat="1" ht="15.75" thickBot="1">
      <c r="A66" s="1017" t="s">
        <v>270</v>
      </c>
      <c r="B66" s="1018"/>
      <c r="C66" s="2164" t="s">
        <v>479</v>
      </c>
      <c r="D66" s="2165"/>
      <c r="E66" s="1019">
        <f aca="true" t="shared" si="6" ref="E66:J66">SUM(E22+E31+E37+E46+E47+E62+E65)</f>
        <v>581888626</v>
      </c>
      <c r="F66" s="1019">
        <f t="shared" si="6"/>
        <v>429595258</v>
      </c>
      <c r="G66" s="1019">
        <f t="shared" si="6"/>
        <v>619212699</v>
      </c>
      <c r="H66" s="1019">
        <f t="shared" si="6"/>
        <v>657934903</v>
      </c>
      <c r="I66" s="1703">
        <f t="shared" si="6"/>
        <v>658754400</v>
      </c>
      <c r="J66" s="1703">
        <f t="shared" si="6"/>
        <v>698139687</v>
      </c>
    </row>
    <row r="67" spans="1:10" ht="12.75" customHeight="1">
      <c r="A67" s="1021" t="s">
        <v>272</v>
      </c>
      <c r="B67" s="1022"/>
      <c r="C67" s="2166" t="s">
        <v>639</v>
      </c>
      <c r="D67" s="2167"/>
      <c r="E67" s="1023">
        <v>0</v>
      </c>
      <c r="F67" s="1023">
        <v>0</v>
      </c>
      <c r="G67" s="1023">
        <v>0</v>
      </c>
      <c r="H67" s="1023">
        <v>0</v>
      </c>
      <c r="I67" s="1704">
        <v>0</v>
      </c>
      <c r="J67" s="1704">
        <v>0</v>
      </c>
    </row>
    <row r="68" spans="1:10" s="1027" customFormat="1" ht="12.75" customHeight="1">
      <c r="A68" s="1024" t="s">
        <v>273</v>
      </c>
      <c r="B68" s="1025"/>
      <c r="C68" s="2151" t="s">
        <v>220</v>
      </c>
      <c r="D68" s="2152"/>
      <c r="E68" s="1026">
        <f>SUM(E69:E70)</f>
        <v>651363270</v>
      </c>
      <c r="F68" s="1026">
        <f>SUM(F69:F70)</f>
        <v>512008806</v>
      </c>
      <c r="G68" s="1026">
        <f>SUM(G69:G70)</f>
        <v>512008806</v>
      </c>
      <c r="H68" s="1026">
        <f>SUM(H69:H70)</f>
        <v>512008806</v>
      </c>
      <c r="I68" s="1705">
        <f>SUM(I69:I70)</f>
        <v>512008806</v>
      </c>
      <c r="J68" s="1705">
        <v>574966775</v>
      </c>
    </row>
    <row r="69" spans="1:10" s="1027" customFormat="1" ht="12.75" customHeight="1">
      <c r="A69" s="1028" t="s">
        <v>274</v>
      </c>
      <c r="B69" s="1029"/>
      <c r="C69" s="2153" t="s">
        <v>691</v>
      </c>
      <c r="D69" s="2153"/>
      <c r="E69" s="1030">
        <v>78864405</v>
      </c>
      <c r="F69" s="1030">
        <v>78158268</v>
      </c>
      <c r="G69" s="1593">
        <v>94129511</v>
      </c>
      <c r="H69" s="1593">
        <v>94129511</v>
      </c>
      <c r="I69" s="1593">
        <v>106989013</v>
      </c>
      <c r="J69" s="1593">
        <v>197710539</v>
      </c>
    </row>
    <row r="70" spans="1:10" s="1027" customFormat="1" ht="12.75" customHeight="1">
      <c r="A70" s="1028" t="s">
        <v>276</v>
      </c>
      <c r="B70" s="1029"/>
      <c r="C70" s="2153" t="s">
        <v>692</v>
      </c>
      <c r="D70" s="2153"/>
      <c r="E70" s="1030">
        <v>572498865</v>
      </c>
      <c r="F70" s="1030">
        <v>433850538</v>
      </c>
      <c r="G70" s="1593">
        <v>417879295</v>
      </c>
      <c r="H70" s="1593">
        <v>417879295</v>
      </c>
      <c r="I70" s="1593">
        <v>405019793</v>
      </c>
      <c r="J70" s="1593">
        <v>377256236</v>
      </c>
    </row>
    <row r="71" spans="1:10" ht="12.75" customHeight="1">
      <c r="A71" s="1031" t="s">
        <v>277</v>
      </c>
      <c r="B71" s="1032"/>
      <c r="C71" s="2154" t="s">
        <v>223</v>
      </c>
      <c r="D71" s="2154"/>
      <c r="E71" s="1033">
        <v>9425972</v>
      </c>
      <c r="F71" s="1033">
        <v>8251931</v>
      </c>
      <c r="G71" s="1033">
        <v>8341969</v>
      </c>
      <c r="H71" s="1033">
        <v>8341969</v>
      </c>
      <c r="I71" s="1706">
        <v>8385010</v>
      </c>
      <c r="J71" s="1706">
        <v>11393036</v>
      </c>
    </row>
    <row r="72" spans="1:10" s="1020" customFormat="1" ht="17.25" customHeight="1" thickBot="1">
      <c r="A72" s="1034" t="s">
        <v>278</v>
      </c>
      <c r="B72" s="1035"/>
      <c r="C72" s="2155" t="s">
        <v>803</v>
      </c>
      <c r="D72" s="2156"/>
      <c r="E72" s="1036">
        <f aca="true" t="shared" si="7" ref="E72:J72">SUM(E68+E71)</f>
        <v>660789242</v>
      </c>
      <c r="F72" s="1036">
        <f t="shared" si="7"/>
        <v>520260737</v>
      </c>
      <c r="G72" s="1036">
        <f t="shared" si="7"/>
        <v>520350775</v>
      </c>
      <c r="H72" s="1036">
        <f t="shared" si="7"/>
        <v>520350775</v>
      </c>
      <c r="I72" s="1707">
        <f t="shared" si="7"/>
        <v>520393816</v>
      </c>
      <c r="J72" s="1707">
        <f t="shared" si="7"/>
        <v>586359811</v>
      </c>
    </row>
    <row r="73" spans="1:10" s="1039" customFormat="1" ht="16.5" customHeight="1" thickBot="1">
      <c r="A73" s="499" t="s">
        <v>279</v>
      </c>
      <c r="B73" s="496"/>
      <c r="C73" s="1037" t="s">
        <v>116</v>
      </c>
      <c r="D73" s="1038"/>
      <c r="E73" s="497">
        <f aca="true" t="shared" si="8" ref="E73:J73">SUM(E66+E72)</f>
        <v>1242677868</v>
      </c>
      <c r="F73" s="497">
        <f t="shared" si="8"/>
        <v>949855995</v>
      </c>
      <c r="G73" s="497">
        <f t="shared" si="8"/>
        <v>1139563474</v>
      </c>
      <c r="H73" s="497">
        <f t="shared" si="8"/>
        <v>1178285678</v>
      </c>
      <c r="I73" s="1708">
        <f t="shared" si="8"/>
        <v>1179148216</v>
      </c>
      <c r="J73" s="1708">
        <f t="shared" si="8"/>
        <v>1284499498</v>
      </c>
    </row>
    <row r="74" spans="1:10" ht="12.75" customHeight="1" thickBot="1">
      <c r="A74" s="964"/>
      <c r="B74" s="964"/>
      <c r="C74" s="964"/>
      <c r="D74" s="964"/>
      <c r="E74" s="964"/>
      <c r="F74" s="964"/>
      <c r="G74" s="964"/>
      <c r="H74" s="964"/>
      <c r="I74" s="1685"/>
      <c r="J74" s="1752"/>
    </row>
    <row r="75" spans="1:10" ht="33.75" customHeight="1">
      <c r="A75" s="2157" t="s">
        <v>156</v>
      </c>
      <c r="B75" s="2158"/>
      <c r="C75" s="1509" t="s">
        <v>246</v>
      </c>
      <c r="D75" s="1510" t="s">
        <v>494</v>
      </c>
      <c r="E75" s="1510" t="s">
        <v>1071</v>
      </c>
      <c r="F75" s="1511" t="s">
        <v>1072</v>
      </c>
      <c r="G75" s="1511" t="s">
        <v>1157</v>
      </c>
      <c r="H75" s="1511" t="s">
        <v>1178</v>
      </c>
      <c r="I75" s="1709" t="s">
        <v>1250</v>
      </c>
      <c r="J75" s="1709" t="s">
        <v>1267</v>
      </c>
    </row>
    <row r="76" spans="1:10" ht="19.5" customHeight="1">
      <c r="A76" s="2149" t="s">
        <v>158</v>
      </c>
      <c r="B76" s="2150"/>
      <c r="C76" s="679" t="s">
        <v>159</v>
      </c>
      <c r="D76" s="679" t="s">
        <v>160</v>
      </c>
      <c r="E76" s="679" t="s">
        <v>161</v>
      </c>
      <c r="F76" s="1512" t="s">
        <v>456</v>
      </c>
      <c r="G76" s="1512" t="s">
        <v>476</v>
      </c>
      <c r="H76" s="1512" t="s">
        <v>701</v>
      </c>
      <c r="I76" s="1710" t="s">
        <v>782</v>
      </c>
      <c r="J76" s="1710" t="s">
        <v>785</v>
      </c>
    </row>
    <row r="77" spans="1:10" ht="12.75" customHeight="1">
      <c r="A77" s="1513" t="s">
        <v>38</v>
      </c>
      <c r="B77" s="1040" t="s">
        <v>164</v>
      </c>
      <c r="C77" s="1041" t="s">
        <v>512</v>
      </c>
      <c r="D77" s="1041"/>
      <c r="E77" s="1041">
        <f aca="true" t="shared" si="9" ref="E77:J77">SUM(E78)</f>
        <v>0</v>
      </c>
      <c r="F77" s="1514">
        <f t="shared" si="9"/>
        <v>0</v>
      </c>
      <c r="G77" s="1514">
        <f t="shared" si="9"/>
        <v>0</v>
      </c>
      <c r="H77" s="1514">
        <f t="shared" si="9"/>
        <v>0</v>
      </c>
      <c r="I77" s="1711">
        <f t="shared" si="9"/>
        <v>0</v>
      </c>
      <c r="J77" s="1711">
        <f t="shared" si="9"/>
        <v>0</v>
      </c>
    </row>
    <row r="78" spans="1:10" ht="12.75" customHeight="1">
      <c r="A78" s="1515" t="s">
        <v>40</v>
      </c>
      <c r="B78" s="1042"/>
      <c r="C78" s="1043" t="s">
        <v>247</v>
      </c>
      <c r="D78" s="1043"/>
      <c r="E78" s="1043"/>
      <c r="F78" s="1516"/>
      <c r="G78" s="1516"/>
      <c r="H78" s="1516"/>
      <c r="I78" s="1712"/>
      <c r="J78" s="1712"/>
    </row>
    <row r="79" spans="1:10" ht="12.75" customHeight="1">
      <c r="A79" s="1517" t="s">
        <v>47</v>
      </c>
      <c r="B79" s="1044" t="s">
        <v>166</v>
      </c>
      <c r="C79" s="1045" t="s">
        <v>248</v>
      </c>
      <c r="D79" s="1045"/>
      <c r="E79" s="1045">
        <f aca="true" t="shared" si="10" ref="E79:J79">SUM(E80)</f>
        <v>200000</v>
      </c>
      <c r="F79" s="1518">
        <f t="shared" si="10"/>
        <v>200000</v>
      </c>
      <c r="G79" s="1518">
        <f t="shared" si="10"/>
        <v>200000</v>
      </c>
      <c r="H79" s="1518">
        <f t="shared" si="10"/>
        <v>200000</v>
      </c>
      <c r="I79" s="1713">
        <f t="shared" si="10"/>
        <v>200000</v>
      </c>
      <c r="J79" s="1713">
        <f t="shared" si="10"/>
        <v>200000</v>
      </c>
    </row>
    <row r="80" spans="1:10" ht="12.75" customHeight="1">
      <c r="A80" s="1515" t="s">
        <v>49</v>
      </c>
      <c r="B80" s="1042"/>
      <c r="C80" s="1043" t="s">
        <v>247</v>
      </c>
      <c r="D80" s="1043"/>
      <c r="E80" s="1043">
        <v>200000</v>
      </c>
      <c r="F80" s="1516">
        <v>200000</v>
      </c>
      <c r="G80" s="1516">
        <v>200000</v>
      </c>
      <c r="H80" s="1516">
        <v>200000</v>
      </c>
      <c r="I80" s="1712">
        <v>200000</v>
      </c>
      <c r="J80" s="1712">
        <v>200000</v>
      </c>
    </row>
    <row r="81" spans="1:10" ht="12.75" customHeight="1">
      <c r="A81" s="1515" t="s">
        <v>51</v>
      </c>
      <c r="B81" s="1042"/>
      <c r="C81" s="1043" t="s">
        <v>249</v>
      </c>
      <c r="D81" s="1043"/>
      <c r="E81" s="1043">
        <v>0</v>
      </c>
      <c r="F81" s="1516">
        <v>0</v>
      </c>
      <c r="G81" s="1516">
        <v>0</v>
      </c>
      <c r="H81" s="1516">
        <v>0</v>
      </c>
      <c r="I81" s="1712">
        <v>0</v>
      </c>
      <c r="J81" s="1712">
        <v>0</v>
      </c>
    </row>
    <row r="82" spans="1:10" ht="12.75" customHeight="1">
      <c r="A82" s="1517" t="s">
        <v>53</v>
      </c>
      <c r="B82" s="1044" t="s">
        <v>173</v>
      </c>
      <c r="C82" s="1045" t="s">
        <v>513</v>
      </c>
      <c r="D82" s="1045"/>
      <c r="E82" s="1045">
        <f aca="true" t="shared" si="11" ref="E82:J82">SUM(E83)</f>
        <v>7000000</v>
      </c>
      <c r="F82" s="1518">
        <f t="shared" si="11"/>
        <v>7000000</v>
      </c>
      <c r="G82" s="1518">
        <f t="shared" si="11"/>
        <v>7000000</v>
      </c>
      <c r="H82" s="1518">
        <f t="shared" si="11"/>
        <v>7000000</v>
      </c>
      <c r="I82" s="1713">
        <f t="shared" si="11"/>
        <v>7000000</v>
      </c>
      <c r="J82" s="1713">
        <f t="shared" si="11"/>
        <v>7000000</v>
      </c>
    </row>
    <row r="83" spans="1:10" ht="12.75" customHeight="1">
      <c r="A83" s="1515" t="s">
        <v>55</v>
      </c>
      <c r="B83" s="1042"/>
      <c r="C83" s="1043" t="s">
        <v>247</v>
      </c>
      <c r="D83" s="1043"/>
      <c r="E83" s="1043">
        <v>7000000</v>
      </c>
      <c r="F83" s="1516">
        <v>7000000</v>
      </c>
      <c r="G83" s="1516">
        <v>7000000</v>
      </c>
      <c r="H83" s="1516">
        <v>7000000</v>
      </c>
      <c r="I83" s="1712">
        <v>7000000</v>
      </c>
      <c r="J83" s="1712">
        <v>7000000</v>
      </c>
    </row>
    <row r="84" spans="1:10" ht="12.75" customHeight="1">
      <c r="A84" s="1517" t="s">
        <v>57</v>
      </c>
      <c r="B84" s="1044" t="s">
        <v>182</v>
      </c>
      <c r="C84" s="1045" t="s">
        <v>254</v>
      </c>
      <c r="D84" s="1045"/>
      <c r="E84" s="1045">
        <f aca="true" t="shared" si="12" ref="E84:J84">SUM(E85)</f>
        <v>100000</v>
      </c>
      <c r="F84" s="1518">
        <f t="shared" si="12"/>
        <v>100000</v>
      </c>
      <c r="G84" s="1518">
        <f t="shared" si="12"/>
        <v>100000</v>
      </c>
      <c r="H84" s="1518">
        <f t="shared" si="12"/>
        <v>100000</v>
      </c>
      <c r="I84" s="1713">
        <f t="shared" si="12"/>
        <v>100000</v>
      </c>
      <c r="J84" s="1713">
        <f t="shared" si="12"/>
        <v>100000</v>
      </c>
    </row>
    <row r="85" spans="1:10" ht="12.75" customHeight="1">
      <c r="A85" s="1515" t="s">
        <v>86</v>
      </c>
      <c r="B85" s="1042"/>
      <c r="C85" s="1043" t="s">
        <v>247</v>
      </c>
      <c r="D85" s="1043"/>
      <c r="E85" s="1043">
        <v>100000</v>
      </c>
      <c r="F85" s="1516">
        <v>100000</v>
      </c>
      <c r="G85" s="1516">
        <v>100000</v>
      </c>
      <c r="H85" s="1516">
        <v>100000</v>
      </c>
      <c r="I85" s="1712">
        <v>100000</v>
      </c>
      <c r="J85" s="1712">
        <v>100000</v>
      </c>
    </row>
    <row r="86" spans="1:10" s="214" customFormat="1" ht="12.75" customHeight="1">
      <c r="A86" s="1517" t="s">
        <v>59</v>
      </c>
      <c r="B86" s="1044" t="s">
        <v>183</v>
      </c>
      <c r="C86" s="1045" t="s">
        <v>936</v>
      </c>
      <c r="D86" s="1045"/>
      <c r="E86" s="1045">
        <v>0</v>
      </c>
      <c r="F86" s="1518">
        <v>0</v>
      </c>
      <c r="G86" s="1518">
        <v>0</v>
      </c>
      <c r="H86" s="1518">
        <v>0</v>
      </c>
      <c r="I86" s="1713">
        <v>0</v>
      </c>
      <c r="J86" s="1713">
        <v>0</v>
      </c>
    </row>
    <row r="87" spans="1:10" ht="12.75" customHeight="1">
      <c r="A87" s="1515" t="s">
        <v>61</v>
      </c>
      <c r="B87" s="1042"/>
      <c r="C87" s="1043" t="s">
        <v>125</v>
      </c>
      <c r="D87" s="1043"/>
      <c r="E87" s="1043"/>
      <c r="F87" s="1516"/>
      <c r="G87" s="1516"/>
      <c r="H87" s="1516"/>
      <c r="I87" s="1712"/>
      <c r="J87" s="1712"/>
    </row>
    <row r="88" spans="1:10" ht="12.75" customHeight="1">
      <c r="A88" s="1517" t="s">
        <v>63</v>
      </c>
      <c r="B88" s="1044" t="s">
        <v>184</v>
      </c>
      <c r="C88" s="1045" t="s">
        <v>255</v>
      </c>
      <c r="D88" s="1045">
        <v>0</v>
      </c>
      <c r="E88" s="1045">
        <f aca="true" t="shared" si="13" ref="E88:J88">SUM(E89:E93)</f>
        <v>1898214</v>
      </c>
      <c r="F88" s="1518">
        <f t="shared" si="13"/>
        <v>0</v>
      </c>
      <c r="G88" s="1518">
        <f t="shared" si="13"/>
        <v>0</v>
      </c>
      <c r="H88" s="1518">
        <f t="shared" si="13"/>
        <v>4112979</v>
      </c>
      <c r="I88" s="1713">
        <f t="shared" si="13"/>
        <v>4112979</v>
      </c>
      <c r="J88" s="1713">
        <f t="shared" si="13"/>
        <v>4112979</v>
      </c>
    </row>
    <row r="89" spans="1:10" ht="12.75" customHeight="1">
      <c r="A89" s="1515" t="s">
        <v>65</v>
      </c>
      <c r="B89" s="1042"/>
      <c r="C89" s="1043" t="s">
        <v>250</v>
      </c>
      <c r="D89" s="1043"/>
      <c r="E89" s="552">
        <v>1452525</v>
      </c>
      <c r="F89" s="1519">
        <v>0</v>
      </c>
      <c r="G89" s="1519">
        <v>0</v>
      </c>
      <c r="H89" s="1519">
        <v>966000</v>
      </c>
      <c r="I89" s="1714">
        <v>966000</v>
      </c>
      <c r="J89" s="1714">
        <v>966000</v>
      </c>
    </row>
    <row r="90" spans="1:10" ht="12.75" customHeight="1">
      <c r="A90" s="1515" t="s">
        <v>92</v>
      </c>
      <c r="B90" s="1042"/>
      <c r="C90" s="1043" t="s">
        <v>251</v>
      </c>
      <c r="D90" s="1043"/>
      <c r="E90" s="213">
        <v>299970</v>
      </c>
      <c r="F90" s="1519">
        <v>0</v>
      </c>
      <c r="G90" s="1519">
        <v>0</v>
      </c>
      <c r="H90" s="1519">
        <v>169056</v>
      </c>
      <c r="I90" s="1714">
        <v>169056</v>
      </c>
      <c r="J90" s="1714">
        <v>169056</v>
      </c>
    </row>
    <row r="91" spans="1:10" ht="12.75" customHeight="1">
      <c r="A91" s="1515" t="s">
        <v>66</v>
      </c>
      <c r="B91" s="1046"/>
      <c r="C91" s="1047" t="s">
        <v>252</v>
      </c>
      <c r="D91" s="1047"/>
      <c r="E91" s="1043"/>
      <c r="F91" s="1516">
        <v>0</v>
      </c>
      <c r="G91" s="1516">
        <v>0</v>
      </c>
      <c r="H91" s="1516">
        <v>0</v>
      </c>
      <c r="I91" s="1712">
        <v>0</v>
      </c>
      <c r="J91" s="1712">
        <v>0</v>
      </c>
    </row>
    <row r="92" spans="1:10" ht="12.75" customHeight="1">
      <c r="A92" s="1515" t="s">
        <v>67</v>
      </c>
      <c r="B92" s="1046"/>
      <c r="C92" s="1047" t="s">
        <v>640</v>
      </c>
      <c r="D92" s="1047"/>
      <c r="E92" s="1043"/>
      <c r="F92" s="1516">
        <v>0</v>
      </c>
      <c r="G92" s="1516">
        <v>0</v>
      </c>
      <c r="H92" s="1516">
        <v>0</v>
      </c>
      <c r="I92" s="1712">
        <v>0</v>
      </c>
      <c r="J92" s="1712">
        <v>0</v>
      </c>
    </row>
    <row r="93" spans="1:10" ht="12.75" customHeight="1">
      <c r="A93" s="1515" t="s">
        <v>68</v>
      </c>
      <c r="B93" s="1046"/>
      <c r="C93" s="1047" t="s">
        <v>613</v>
      </c>
      <c r="D93" s="1047"/>
      <c r="E93" s="502">
        <v>145719</v>
      </c>
      <c r="F93" s="1520">
        <v>0</v>
      </c>
      <c r="G93" s="1520">
        <v>0</v>
      </c>
      <c r="H93" s="1520">
        <v>2977923</v>
      </c>
      <c r="I93" s="1715">
        <v>2977923</v>
      </c>
      <c r="J93" s="1715">
        <v>2977923</v>
      </c>
    </row>
    <row r="94" spans="1:10" ht="12.75" customHeight="1">
      <c r="A94" s="1517" t="s">
        <v>70</v>
      </c>
      <c r="B94" s="1048" t="s">
        <v>186</v>
      </c>
      <c r="C94" s="1045" t="s">
        <v>257</v>
      </c>
      <c r="D94" s="1045"/>
      <c r="E94" s="1045">
        <f aca="true" t="shared" si="14" ref="E94:J94">SUM(E96:E97)</f>
        <v>200000</v>
      </c>
      <c r="F94" s="1518">
        <f t="shared" si="14"/>
        <v>200000</v>
      </c>
      <c r="G94" s="1518">
        <f t="shared" si="14"/>
        <v>200000</v>
      </c>
      <c r="H94" s="1518">
        <f t="shared" si="14"/>
        <v>200000</v>
      </c>
      <c r="I94" s="1713">
        <f t="shared" si="14"/>
        <v>200000</v>
      </c>
      <c r="J94" s="1713">
        <f t="shared" si="14"/>
        <v>200000</v>
      </c>
    </row>
    <row r="95" spans="1:10" ht="12.75" customHeight="1">
      <c r="A95" s="1515" t="s">
        <v>97</v>
      </c>
      <c r="B95" s="1046"/>
      <c r="C95" s="1043" t="s">
        <v>258</v>
      </c>
      <c r="D95" s="1043"/>
      <c r="E95" s="1043"/>
      <c r="F95" s="1516">
        <v>0</v>
      </c>
      <c r="G95" s="1516">
        <v>0</v>
      </c>
      <c r="H95" s="1516">
        <v>0</v>
      </c>
      <c r="I95" s="1712">
        <v>0</v>
      </c>
      <c r="J95" s="1712">
        <v>0</v>
      </c>
    </row>
    <row r="96" spans="1:10" ht="12.75" customHeight="1">
      <c r="A96" s="1515" t="s">
        <v>99</v>
      </c>
      <c r="B96" s="1046"/>
      <c r="C96" s="1043" t="s">
        <v>249</v>
      </c>
      <c r="D96" s="1043"/>
      <c r="E96" s="1043">
        <v>0</v>
      </c>
      <c r="F96" s="1516">
        <v>0</v>
      </c>
      <c r="G96" s="1516">
        <v>0</v>
      </c>
      <c r="H96" s="1516">
        <v>0</v>
      </c>
      <c r="I96" s="1712">
        <v>0</v>
      </c>
      <c r="J96" s="1712">
        <v>0</v>
      </c>
    </row>
    <row r="97" spans="1:10" ht="12.75" customHeight="1">
      <c r="A97" s="1515" t="s">
        <v>101</v>
      </c>
      <c r="B97" s="1046"/>
      <c r="C97" s="1043" t="s">
        <v>252</v>
      </c>
      <c r="D97" s="1043"/>
      <c r="E97" s="1043">
        <v>200000</v>
      </c>
      <c r="F97" s="1516">
        <v>200000</v>
      </c>
      <c r="G97" s="1516">
        <v>200000</v>
      </c>
      <c r="H97" s="1516">
        <v>200000</v>
      </c>
      <c r="I97" s="1712">
        <v>200000</v>
      </c>
      <c r="J97" s="1712">
        <v>200000</v>
      </c>
    </row>
    <row r="98" spans="1:10" ht="12.75" customHeight="1">
      <c r="A98" s="1517" t="s">
        <v>103</v>
      </c>
      <c r="B98" s="1048" t="s">
        <v>189</v>
      </c>
      <c r="C98" s="1045" t="s">
        <v>937</v>
      </c>
      <c r="D98" s="1045"/>
      <c r="E98" s="1045">
        <v>0</v>
      </c>
      <c r="F98" s="1518">
        <v>0</v>
      </c>
      <c r="G98" s="1518">
        <v>0</v>
      </c>
      <c r="H98" s="1518">
        <v>0</v>
      </c>
      <c r="I98" s="1713">
        <v>0</v>
      </c>
      <c r="J98" s="1713">
        <v>0</v>
      </c>
    </row>
    <row r="99" spans="1:10" ht="12.75" customHeight="1">
      <c r="A99" s="1515" t="s">
        <v>105</v>
      </c>
      <c r="B99" s="1046"/>
      <c r="C99" s="1043" t="s">
        <v>250</v>
      </c>
      <c r="D99" s="1043"/>
      <c r="E99" s="1043"/>
      <c r="F99" s="1516">
        <v>0</v>
      </c>
      <c r="G99" s="1516">
        <v>0</v>
      </c>
      <c r="H99" s="1516">
        <v>0</v>
      </c>
      <c r="I99" s="1712">
        <v>0</v>
      </c>
      <c r="J99" s="1712">
        <v>0</v>
      </c>
    </row>
    <row r="100" spans="1:10" ht="12.75" customHeight="1">
      <c r="A100" s="1515" t="s">
        <v>107</v>
      </c>
      <c r="B100" s="1046"/>
      <c r="C100" s="1043" t="s">
        <v>251</v>
      </c>
      <c r="D100" s="1043"/>
      <c r="E100" s="1043"/>
      <c r="F100" s="1516">
        <v>0</v>
      </c>
      <c r="G100" s="1516">
        <v>0</v>
      </c>
      <c r="H100" s="1516">
        <v>0</v>
      </c>
      <c r="I100" s="1712">
        <v>0</v>
      </c>
      <c r="J100" s="1712">
        <v>0</v>
      </c>
    </row>
    <row r="101" spans="1:10" ht="12.75" customHeight="1">
      <c r="A101" s="1515" t="s">
        <v>109</v>
      </c>
      <c r="B101" s="1046"/>
      <c r="C101" s="1043" t="s">
        <v>256</v>
      </c>
      <c r="D101" s="1043"/>
      <c r="E101" s="1043"/>
      <c r="F101" s="1516">
        <v>0</v>
      </c>
      <c r="G101" s="1516">
        <v>0</v>
      </c>
      <c r="H101" s="1516">
        <v>0</v>
      </c>
      <c r="I101" s="1712">
        <v>0</v>
      </c>
      <c r="J101" s="1712">
        <v>0</v>
      </c>
    </row>
    <row r="102" spans="1:10" s="1626" customFormat="1" ht="12.75" customHeight="1">
      <c r="A102" s="1624" t="s">
        <v>111</v>
      </c>
      <c r="B102" s="1625" t="s">
        <v>191</v>
      </c>
      <c r="C102" s="1056" t="s">
        <v>938</v>
      </c>
      <c r="D102" s="1056"/>
      <c r="E102" s="1056">
        <f aca="true" t="shared" si="15" ref="E102:J102">SUM(E103)</f>
        <v>42686648</v>
      </c>
      <c r="F102" s="1522">
        <f t="shared" si="15"/>
        <v>38291741</v>
      </c>
      <c r="G102" s="1522">
        <f t="shared" si="15"/>
        <v>35778999</v>
      </c>
      <c r="H102" s="1522">
        <f t="shared" si="15"/>
        <v>0</v>
      </c>
      <c r="I102" s="1716">
        <f t="shared" si="15"/>
        <v>0</v>
      </c>
      <c r="J102" s="1716">
        <f t="shared" si="15"/>
        <v>0</v>
      </c>
    </row>
    <row r="103" spans="1:10" s="1626" customFormat="1" ht="30.75" customHeight="1">
      <c r="A103" s="1627" t="s">
        <v>113</v>
      </c>
      <c r="B103" s="1628"/>
      <c r="C103" s="1629" t="s">
        <v>644</v>
      </c>
      <c r="D103" s="502"/>
      <c r="E103" s="502">
        <v>42686648</v>
      </c>
      <c r="F103" s="1520">
        <f>SUM(F104:F109)</f>
        <v>38291741</v>
      </c>
      <c r="G103" s="1520">
        <f>SUM(G104:G109)</f>
        <v>35778999</v>
      </c>
      <c r="H103" s="1520"/>
      <c r="I103" s="1715"/>
      <c r="J103" s="1715"/>
    </row>
    <row r="104" spans="1:10" s="1635" customFormat="1" ht="30.75" customHeight="1">
      <c r="A104" s="1630" t="s">
        <v>115</v>
      </c>
      <c r="B104" s="1631"/>
      <c r="C104" s="1632" t="s">
        <v>643</v>
      </c>
      <c r="D104" s="550"/>
      <c r="E104" s="1633">
        <v>11826840</v>
      </c>
      <c r="F104" s="1634">
        <v>11826840</v>
      </c>
      <c r="G104" s="1634">
        <v>6634000</v>
      </c>
      <c r="H104" s="1634"/>
      <c r="I104" s="1634"/>
      <c r="J104" s="1634"/>
    </row>
    <row r="105" spans="1:10" s="1635" customFormat="1" ht="32.25" customHeight="1">
      <c r="A105" s="1630" t="s">
        <v>117</v>
      </c>
      <c r="B105" s="1631"/>
      <c r="C105" s="1632" t="s">
        <v>645</v>
      </c>
      <c r="D105" s="550"/>
      <c r="E105" s="1633">
        <f>SUM('6,7,8 Melléklet'!D101)</f>
        <v>24880933</v>
      </c>
      <c r="F105" s="1634">
        <f>SUM('6,7,8 Melléklet'!E101)</f>
        <v>19249254</v>
      </c>
      <c r="G105" s="1634">
        <f>SUM('6,7,8 Melléklet'!F101)</f>
        <v>23569352</v>
      </c>
      <c r="H105" s="1634"/>
      <c r="I105" s="1634"/>
      <c r="J105" s="1634"/>
    </row>
    <row r="106" spans="1:10" s="1635" customFormat="1" ht="12.75" customHeight="1">
      <c r="A106" s="1630" t="s">
        <v>118</v>
      </c>
      <c r="B106" s="1631"/>
      <c r="C106" s="1055" t="s">
        <v>646</v>
      </c>
      <c r="D106" s="550"/>
      <c r="E106" s="1633">
        <v>2300000</v>
      </c>
      <c r="F106" s="1634">
        <f>SUM('6,7,8 Melléklet'!E105)</f>
        <v>3500000</v>
      </c>
      <c r="G106" s="1634">
        <v>1860000</v>
      </c>
      <c r="H106" s="1634"/>
      <c r="I106" s="1634"/>
      <c r="J106" s="1634"/>
    </row>
    <row r="107" spans="1:10" s="1635" customFormat="1" ht="12.75" customHeight="1">
      <c r="A107" s="1630" t="s">
        <v>120</v>
      </c>
      <c r="B107" s="1631"/>
      <c r="C107" s="1055" t="s">
        <v>260</v>
      </c>
      <c r="D107" s="550"/>
      <c r="E107" s="1633">
        <v>3228</v>
      </c>
      <c r="F107" s="1634">
        <f>SUM('6,7,8 Melléklet'!E123)</f>
        <v>40000</v>
      </c>
      <c r="G107" s="1634">
        <f>SUM('6,7,8 Melléklet'!F123)</f>
        <v>40000</v>
      </c>
      <c r="H107" s="1634"/>
      <c r="I107" s="1634"/>
      <c r="J107" s="1634"/>
    </row>
    <row r="108" spans="1:10" s="1640" customFormat="1" ht="12.75" customHeight="1">
      <c r="A108" s="1636" t="s">
        <v>122</v>
      </c>
      <c r="B108" s="1637"/>
      <c r="C108" s="1055" t="s">
        <v>939</v>
      </c>
      <c r="D108" s="1055"/>
      <c r="E108" s="1638">
        <v>3175647</v>
      </c>
      <c r="F108" s="1639">
        <v>3175647</v>
      </c>
      <c r="G108" s="1639">
        <v>3175647</v>
      </c>
      <c r="H108" s="1639"/>
      <c r="I108" s="1639"/>
      <c r="J108" s="1639"/>
    </row>
    <row r="109" spans="1:10" s="1640" customFormat="1" ht="12.75" customHeight="1">
      <c r="A109" s="1636" t="s">
        <v>124</v>
      </c>
      <c r="B109" s="1637"/>
      <c r="C109" s="1055" t="s">
        <v>1012</v>
      </c>
      <c r="D109" s="1055"/>
      <c r="E109" s="1638">
        <v>500000</v>
      </c>
      <c r="F109" s="1639">
        <v>500000</v>
      </c>
      <c r="G109" s="1639">
        <v>500000</v>
      </c>
      <c r="H109" s="1639"/>
      <c r="I109" s="1639"/>
      <c r="J109" s="1639"/>
    </row>
    <row r="110" spans="1:10" s="1647" customFormat="1" ht="12.75" customHeight="1">
      <c r="A110" s="1641" t="s">
        <v>126</v>
      </c>
      <c r="B110" s="1642" t="s">
        <v>195</v>
      </c>
      <c r="C110" s="1643" t="s">
        <v>1197</v>
      </c>
      <c r="D110" s="1643"/>
      <c r="E110" s="1644"/>
      <c r="F110" s="1645"/>
      <c r="G110" s="1645"/>
      <c r="H110" s="1646">
        <f>SUM(H111:H113)</f>
        <v>1181118</v>
      </c>
      <c r="I110" s="1646">
        <f>SUM(I111:I113)</f>
        <v>1012031</v>
      </c>
      <c r="J110" s="1646">
        <f>SUM(J111:J113)</f>
        <v>628398</v>
      </c>
    </row>
    <row r="111" spans="1:10" s="1640" customFormat="1" ht="12.75" customHeight="1">
      <c r="A111" s="1636" t="s">
        <v>128</v>
      </c>
      <c r="B111" s="1637"/>
      <c r="C111" s="1055" t="s">
        <v>1198</v>
      </c>
      <c r="D111" s="1055"/>
      <c r="E111" s="1638"/>
      <c r="F111" s="1639"/>
      <c r="G111" s="1639"/>
      <c r="H111" s="1639">
        <v>651105</v>
      </c>
      <c r="I111" s="1639">
        <f>SUM('6,7,8 Melléklet'!H110+'6,7,8 Melléklet'!H111+'6,7,8 Melléklet'!H122)</f>
        <v>471105</v>
      </c>
      <c r="J111" s="1639">
        <f>SUM('6,7,8 Melléklet'!I110+'6,7,8 Melléklet'!I111+'6,7,8 Melléklet'!I122)+'6,7,8 Melléklet'!I121</f>
        <v>571105</v>
      </c>
    </row>
    <row r="112" spans="1:10" s="1640" customFormat="1" ht="12.75" customHeight="1">
      <c r="A112" s="1636" t="s">
        <v>130</v>
      </c>
      <c r="B112" s="1637"/>
      <c r="C112" s="1055" t="s">
        <v>260</v>
      </c>
      <c r="D112" s="1055"/>
      <c r="E112" s="1638"/>
      <c r="F112" s="1639"/>
      <c r="G112" s="1639"/>
      <c r="H112" s="1639">
        <v>30013</v>
      </c>
      <c r="I112" s="1639">
        <f>SUM('6,7,8 Melléklet'!H140)</f>
        <v>40926</v>
      </c>
      <c r="J112" s="1639">
        <f>SUM('6,7,8 Melléklet'!I140)</f>
        <v>57293</v>
      </c>
    </row>
    <row r="113" spans="1:10" s="1640" customFormat="1" ht="12.75" customHeight="1">
      <c r="A113" s="1636" t="s">
        <v>131</v>
      </c>
      <c r="B113" s="1637"/>
      <c r="C113" s="1055" t="s">
        <v>1012</v>
      </c>
      <c r="D113" s="1055"/>
      <c r="E113" s="1638"/>
      <c r="F113" s="1639"/>
      <c r="G113" s="1639"/>
      <c r="H113" s="1639">
        <v>500000</v>
      </c>
      <c r="I113" s="1639">
        <v>500000</v>
      </c>
      <c r="J113" s="1639"/>
    </row>
    <row r="114" spans="1:10" s="214" customFormat="1" ht="24.75" customHeight="1">
      <c r="A114" s="1517" t="s">
        <v>133</v>
      </c>
      <c r="B114" s="1048" t="s">
        <v>230</v>
      </c>
      <c r="C114" s="139" t="s">
        <v>940</v>
      </c>
      <c r="D114" s="1045"/>
      <c r="E114" s="1056">
        <f aca="true" t="shared" si="16" ref="E114:J114">SUM(E116+E122)</f>
        <v>4209730</v>
      </c>
      <c r="F114" s="1522">
        <f t="shared" si="16"/>
        <v>3453000</v>
      </c>
      <c r="G114" s="1522">
        <f t="shared" si="16"/>
        <v>3803000</v>
      </c>
      <c r="H114" s="1522">
        <f t="shared" si="16"/>
        <v>3453000</v>
      </c>
      <c r="I114" s="1716">
        <f t="shared" si="16"/>
        <v>3453000</v>
      </c>
      <c r="J114" s="1716">
        <f t="shared" si="16"/>
        <v>4980000</v>
      </c>
    </row>
    <row r="115" spans="1:10" ht="12.75" customHeight="1">
      <c r="A115" s="1515" t="s">
        <v>135</v>
      </c>
      <c r="B115" s="1046"/>
      <c r="C115" s="115" t="s">
        <v>125</v>
      </c>
      <c r="D115" s="1043"/>
      <c r="E115" s="502"/>
      <c r="F115" s="1520"/>
      <c r="G115" s="1520"/>
      <c r="H115" s="1520"/>
      <c r="I115" s="1715"/>
      <c r="J115" s="1715"/>
    </row>
    <row r="116" spans="1:10" ht="12.75" customHeight="1">
      <c r="A116" s="1515" t="s">
        <v>137</v>
      </c>
      <c r="B116" s="1046"/>
      <c r="C116" s="115" t="s">
        <v>605</v>
      </c>
      <c r="D116" s="1043"/>
      <c r="E116" s="502">
        <v>3859730</v>
      </c>
      <c r="F116" s="1520">
        <f>SUM(F117:F120)</f>
        <v>3453000</v>
      </c>
      <c r="G116" s="1520">
        <f>SUM(G117:G120)</f>
        <v>3453000</v>
      </c>
      <c r="H116" s="1520">
        <f>SUM(H117:H120)</f>
        <v>3453000</v>
      </c>
      <c r="I116" s="1715">
        <f>SUM(I117:I120)</f>
        <v>3453000</v>
      </c>
      <c r="J116" s="1715">
        <f>SUM(J117:J120)</f>
        <v>4980000</v>
      </c>
    </row>
    <row r="117" spans="1:10" s="1060" customFormat="1" ht="27" customHeight="1">
      <c r="A117" s="1523" t="s">
        <v>139</v>
      </c>
      <c r="B117" s="1057"/>
      <c r="C117" s="500" t="s">
        <v>606</v>
      </c>
      <c r="D117" s="1058"/>
      <c r="E117" s="1059">
        <v>1050000</v>
      </c>
      <c r="F117" s="1524">
        <f>SUM(30000+1050000)</f>
        <v>1080000</v>
      </c>
      <c r="G117" s="1524">
        <f>SUM(30000+1050000)</f>
        <v>1080000</v>
      </c>
      <c r="H117" s="1524">
        <f>SUM(30000+1050000)</f>
        <v>1080000</v>
      </c>
      <c r="I117" s="1717">
        <f>SUM(30000+1050000)</f>
        <v>1080000</v>
      </c>
      <c r="J117" s="1717">
        <v>2607000</v>
      </c>
    </row>
    <row r="118" spans="1:10" s="1060" customFormat="1" ht="12.75">
      <c r="A118" s="1523" t="s">
        <v>141</v>
      </c>
      <c r="B118" s="1057"/>
      <c r="C118" s="500" t="s">
        <v>661</v>
      </c>
      <c r="D118" s="1058"/>
      <c r="E118" s="1059">
        <v>75000</v>
      </c>
      <c r="F118" s="1524">
        <v>50000</v>
      </c>
      <c r="G118" s="1524">
        <v>50000</v>
      </c>
      <c r="H118" s="1524">
        <v>50000</v>
      </c>
      <c r="I118" s="1717">
        <v>50000</v>
      </c>
      <c r="J118" s="1717">
        <v>50000</v>
      </c>
    </row>
    <row r="119" spans="1:10" s="1060" customFormat="1" ht="12.75" customHeight="1">
      <c r="A119" s="1523" t="s">
        <v>143</v>
      </c>
      <c r="B119" s="1057"/>
      <c r="C119" s="500" t="s">
        <v>607</v>
      </c>
      <c r="D119" s="1058"/>
      <c r="E119" s="1059">
        <v>0</v>
      </c>
      <c r="F119" s="1524">
        <v>0</v>
      </c>
      <c r="G119" s="1524">
        <v>0</v>
      </c>
      <c r="H119" s="1524">
        <v>0</v>
      </c>
      <c r="I119" s="1717">
        <v>0</v>
      </c>
      <c r="J119" s="1717">
        <v>0</v>
      </c>
    </row>
    <row r="120" spans="1:10" s="1060" customFormat="1" ht="12.75" customHeight="1">
      <c r="A120" s="1523" t="s">
        <v>145</v>
      </c>
      <c r="B120" s="1057"/>
      <c r="C120" s="500" t="s">
        <v>608</v>
      </c>
      <c r="D120" s="1058"/>
      <c r="E120" s="1059">
        <v>2734730</v>
      </c>
      <c r="F120" s="1524">
        <v>2323000</v>
      </c>
      <c r="G120" s="1524">
        <v>2323000</v>
      </c>
      <c r="H120" s="1524">
        <v>2323000</v>
      </c>
      <c r="I120" s="1717">
        <v>2323000</v>
      </c>
      <c r="J120" s="1717">
        <v>2323000</v>
      </c>
    </row>
    <row r="121" spans="1:10" s="1060" customFormat="1" ht="23.25" customHeight="1">
      <c r="A121" s="1523" t="s">
        <v>147</v>
      </c>
      <c r="B121" s="1057"/>
      <c r="C121" s="500" t="s">
        <v>609</v>
      </c>
      <c r="D121" s="1058"/>
      <c r="E121" s="1058"/>
      <c r="F121" s="1525"/>
      <c r="G121" s="1525"/>
      <c r="H121" s="1525"/>
      <c r="I121" s="1718"/>
      <c r="J121" s="1718"/>
    </row>
    <row r="122" spans="1:10" ht="23.25" customHeight="1">
      <c r="A122" s="1515" t="s">
        <v>149</v>
      </c>
      <c r="B122" s="1046"/>
      <c r="C122" s="1526" t="s">
        <v>941</v>
      </c>
      <c r="D122" s="1527"/>
      <c r="E122" s="1043">
        <v>350000</v>
      </c>
      <c r="F122" s="1516"/>
      <c r="G122" s="1516">
        <v>350000</v>
      </c>
      <c r="H122" s="1516">
        <v>0</v>
      </c>
      <c r="I122" s="1712">
        <v>0</v>
      </c>
      <c r="J122" s="1712">
        <v>0</v>
      </c>
    </row>
    <row r="123" spans="1:10" ht="12.75" customHeight="1">
      <c r="A123" s="1517" t="s">
        <v>151</v>
      </c>
      <c r="B123" s="1048" t="s">
        <v>514</v>
      </c>
      <c r="C123" s="1063" t="s">
        <v>262</v>
      </c>
      <c r="D123" s="1528">
        <v>12</v>
      </c>
      <c r="E123" s="1045">
        <f>SUM(E124+E125+E126+E129+E130+E131)+E133+E134</f>
        <v>854145362</v>
      </c>
      <c r="F123" s="1518">
        <f>SUM(F124+F125+F126+F129+F130+F131)+F133+F134</f>
        <v>539868521</v>
      </c>
      <c r="G123" s="1518">
        <f>SUM(G124+G125+G126+G129+G130+G131)+G133+G134</f>
        <v>731315197</v>
      </c>
      <c r="H123" s="1518">
        <f>SUM(H124+H125+H126+H129+H130+H131)+H133+H134</f>
        <v>762054649</v>
      </c>
      <c r="I123" s="1713">
        <f>SUM(I124+I125+I126+I129+I130+I131)+I133+I134+I132</f>
        <v>759140773</v>
      </c>
      <c r="J123" s="1713">
        <f>SUM(J124+J125+J126+J129+J130+J131)+J133+J134+J132</f>
        <v>857583373</v>
      </c>
    </row>
    <row r="124" spans="1:10" ht="12.75" customHeight="1">
      <c r="A124" s="1515" t="s">
        <v>205</v>
      </c>
      <c r="B124" s="1046"/>
      <c r="C124" s="1043" t="s">
        <v>250</v>
      </c>
      <c r="D124" s="1043"/>
      <c r="E124" s="1043">
        <v>16221899</v>
      </c>
      <c r="F124" s="1516">
        <v>19050043</v>
      </c>
      <c r="G124" s="1516">
        <v>19050043</v>
      </c>
      <c r="H124" s="1516">
        <v>20010043</v>
      </c>
      <c r="I124" s="1712">
        <v>20010043</v>
      </c>
      <c r="J124" s="1712">
        <v>20010043</v>
      </c>
    </row>
    <row r="125" spans="1:10" ht="12.75" customHeight="1">
      <c r="A125" s="1515" t="s">
        <v>207</v>
      </c>
      <c r="B125" s="1046"/>
      <c r="C125" s="1043" t="s">
        <v>251</v>
      </c>
      <c r="D125" s="1043"/>
      <c r="E125" s="1043">
        <v>2852678</v>
      </c>
      <c r="F125" s="1516">
        <v>3356400</v>
      </c>
      <c r="G125" s="1516">
        <v>3356400</v>
      </c>
      <c r="H125" s="1516">
        <v>3505200</v>
      </c>
      <c r="I125" s="1712">
        <v>3505200</v>
      </c>
      <c r="J125" s="1712">
        <v>3505200</v>
      </c>
    </row>
    <row r="126" spans="1:10" ht="12.75" customHeight="1">
      <c r="A126" s="1515" t="s">
        <v>261</v>
      </c>
      <c r="B126" s="1046"/>
      <c r="C126" s="1043" t="s">
        <v>252</v>
      </c>
      <c r="D126" s="1043"/>
      <c r="E126" s="1043">
        <v>152900803</v>
      </c>
      <c r="F126" s="1516">
        <v>53234071</v>
      </c>
      <c r="G126" s="1516">
        <v>44308311</v>
      </c>
      <c r="H126" s="1516">
        <v>47815268</v>
      </c>
      <c r="I126" s="1712">
        <v>50977395</v>
      </c>
      <c r="J126" s="1712">
        <v>126533255</v>
      </c>
    </row>
    <row r="127" spans="1:10" s="969" customFormat="1" ht="12.75" customHeight="1">
      <c r="A127" s="1521" t="s">
        <v>208</v>
      </c>
      <c r="B127" s="1050"/>
      <c r="C127" s="1053" t="s">
        <v>651</v>
      </c>
      <c r="D127" s="1052"/>
      <c r="E127" s="1052">
        <v>300000</v>
      </c>
      <c r="F127" s="1529">
        <v>0</v>
      </c>
      <c r="G127" s="1529">
        <v>0</v>
      </c>
      <c r="H127" s="1529">
        <v>0</v>
      </c>
      <c r="I127" s="1719">
        <v>0</v>
      </c>
      <c r="J127" s="1719">
        <v>0</v>
      </c>
    </row>
    <row r="128" spans="1:10" s="969" customFormat="1" ht="12.75" customHeight="1">
      <c r="A128" s="1521" t="s">
        <v>210</v>
      </c>
      <c r="B128" s="1050"/>
      <c r="C128" s="1053"/>
      <c r="D128" s="1052"/>
      <c r="E128" s="1052"/>
      <c r="F128" s="1529"/>
      <c r="G128" s="1529"/>
      <c r="H128" s="1529"/>
      <c r="I128" s="1719"/>
      <c r="J128" s="1719"/>
    </row>
    <row r="129" spans="1:10" ht="12.75" customHeight="1">
      <c r="A129" s="1515" t="s">
        <v>263</v>
      </c>
      <c r="B129" s="1046"/>
      <c r="C129" s="1043" t="s">
        <v>15</v>
      </c>
      <c r="D129" s="1043"/>
      <c r="E129" s="1474">
        <v>200922038</v>
      </c>
      <c r="F129" s="1530">
        <f>SUM('6,7,8 Melléklet'!D83)+'6,7,8 Melléklet'!D13</f>
        <v>2100000</v>
      </c>
      <c r="G129" s="1530">
        <f>SUM('6,7,8 Melléklet'!E83)+'6,7,8 Melléklet'!E13</f>
        <v>93863808</v>
      </c>
      <c r="H129" s="1530">
        <f>SUM('6,7,8 Melléklet'!F83)+'6,7,8 Melléklet'!F13-2977923</f>
        <v>269306727</v>
      </c>
      <c r="I129" s="1715">
        <f>SUM('6,7,8 Melléklet'!G83)+'6,7,8 Melléklet'!G13-2977923</f>
        <v>269512829</v>
      </c>
      <c r="J129" s="1715">
        <f>SUM('6,7,8 Melléklet'!H83)+'6,7,8 Melléklet'!H13-2977923</f>
        <v>326890769</v>
      </c>
    </row>
    <row r="130" spans="1:10" ht="12.75" customHeight="1">
      <c r="A130" s="1515" t="s">
        <v>264</v>
      </c>
      <c r="B130" s="1046"/>
      <c r="C130" s="1043" t="s">
        <v>515</v>
      </c>
      <c r="D130" s="1065"/>
      <c r="E130" s="1043">
        <v>478765907</v>
      </c>
      <c r="F130" s="1516">
        <f>SUM('21. céltartalék'!D55)</f>
        <v>462128007</v>
      </c>
      <c r="G130" s="1516">
        <f>SUM('21. céltartalék'!E55)</f>
        <v>570382608</v>
      </c>
      <c r="H130" s="1516">
        <f>SUM('21. céltartalék'!F55)</f>
        <v>419046334</v>
      </c>
      <c r="I130" s="1712">
        <f>SUM('21. céltartalék'!G55)</f>
        <v>410741663</v>
      </c>
      <c r="J130" s="1712">
        <f>SUM('21. céltartalék'!H55)</f>
        <v>376250463</v>
      </c>
    </row>
    <row r="131" spans="1:10" ht="12.75" customHeight="1">
      <c r="A131" s="1515" t="s">
        <v>265</v>
      </c>
      <c r="B131" s="1046"/>
      <c r="C131" s="1066" t="s">
        <v>641</v>
      </c>
      <c r="D131" s="1067"/>
      <c r="E131" s="1043">
        <v>0</v>
      </c>
      <c r="F131" s="1516">
        <v>0</v>
      </c>
      <c r="G131" s="1516">
        <v>0</v>
      </c>
      <c r="H131" s="1516">
        <v>0</v>
      </c>
      <c r="I131" s="1712">
        <v>0</v>
      </c>
      <c r="J131" s="1712">
        <v>0</v>
      </c>
    </row>
    <row r="132" spans="1:10" ht="12.75" customHeight="1">
      <c r="A132" s="1531" t="s">
        <v>266</v>
      </c>
      <c r="B132" s="1068"/>
      <c r="C132" s="1069" t="s">
        <v>954</v>
      </c>
      <c r="D132" s="1070"/>
      <c r="E132" s="1043"/>
      <c r="F132" s="1516"/>
      <c r="G132" s="1516"/>
      <c r="H132" s="1516"/>
      <c r="I132" s="1712">
        <v>1684766</v>
      </c>
      <c r="J132" s="1712">
        <v>1684766</v>
      </c>
    </row>
    <row r="133" spans="1:10" ht="12.75" customHeight="1">
      <c r="A133" s="1031" t="s">
        <v>268</v>
      </c>
      <c r="B133" s="1032"/>
      <c r="C133" s="1067" t="s">
        <v>472</v>
      </c>
      <c r="D133" s="1067"/>
      <c r="E133" s="1043"/>
      <c r="F133" s="1516"/>
      <c r="G133" s="1516">
        <v>354027</v>
      </c>
      <c r="H133" s="1516">
        <v>354027</v>
      </c>
      <c r="I133" s="1712">
        <v>354027</v>
      </c>
      <c r="J133" s="1712">
        <v>354027</v>
      </c>
    </row>
    <row r="134" spans="1:10" ht="30" customHeight="1">
      <c r="A134" s="1031" t="s">
        <v>270</v>
      </c>
      <c r="B134" s="1032"/>
      <c r="C134" s="1183" t="s">
        <v>1006</v>
      </c>
      <c r="D134" s="1067"/>
      <c r="E134" s="1043">
        <v>2482037</v>
      </c>
      <c r="F134" s="1516">
        <v>0</v>
      </c>
      <c r="G134" s="1516">
        <v>0</v>
      </c>
      <c r="H134" s="1516">
        <v>2017050</v>
      </c>
      <c r="I134" s="1712">
        <v>2354850</v>
      </c>
      <c r="J134" s="1712">
        <v>2354850</v>
      </c>
    </row>
    <row r="135" spans="1:10" ht="12.75" customHeight="1">
      <c r="A135" s="1532" t="s">
        <v>272</v>
      </c>
      <c r="B135" s="1040" t="s">
        <v>517</v>
      </c>
      <c r="C135" s="599" t="s">
        <v>630</v>
      </c>
      <c r="D135" s="1071"/>
      <c r="E135" s="1045">
        <f aca="true" t="shared" si="17" ref="E135:J135">SUM(E136:E138)</f>
        <v>505008.2</v>
      </c>
      <c r="F135" s="1518">
        <f t="shared" si="17"/>
        <v>435723.30000000005</v>
      </c>
      <c r="G135" s="1518">
        <f t="shared" si="17"/>
        <v>435723.30000000005</v>
      </c>
      <c r="H135" s="1518">
        <f t="shared" si="17"/>
        <v>585492.3</v>
      </c>
      <c r="I135" s="1713">
        <f t="shared" si="17"/>
        <v>585492.3</v>
      </c>
      <c r="J135" s="1713">
        <f t="shared" si="17"/>
        <v>655878.2000000001</v>
      </c>
    </row>
    <row r="136" spans="1:10" ht="12.75" customHeight="1">
      <c r="A136" s="1515" t="s">
        <v>273</v>
      </c>
      <c r="B136" s="1042"/>
      <c r="C136" s="1072" t="s">
        <v>250</v>
      </c>
      <c r="D136" s="1067"/>
      <c r="E136" s="1043">
        <v>0</v>
      </c>
      <c r="F136" s="1516">
        <v>0</v>
      </c>
      <c r="G136" s="1516">
        <v>0</v>
      </c>
      <c r="H136" s="1516">
        <v>0</v>
      </c>
      <c r="I136" s="1712">
        <v>0</v>
      </c>
      <c r="J136" s="1712">
        <v>0</v>
      </c>
    </row>
    <row r="137" spans="1:10" ht="12.75" customHeight="1">
      <c r="A137" s="1515" t="s">
        <v>274</v>
      </c>
      <c r="B137" s="1042"/>
      <c r="C137" s="1072" t="s">
        <v>251</v>
      </c>
      <c r="D137" s="1067"/>
      <c r="E137" s="1043">
        <v>0</v>
      </c>
      <c r="F137" s="1516">
        <v>0</v>
      </c>
      <c r="G137" s="1516">
        <v>0</v>
      </c>
      <c r="H137" s="1516">
        <v>0</v>
      </c>
      <c r="I137" s="1712">
        <v>0</v>
      </c>
      <c r="J137" s="1712">
        <v>0</v>
      </c>
    </row>
    <row r="138" spans="1:10" ht="12.75" customHeight="1">
      <c r="A138" s="1515" t="s">
        <v>276</v>
      </c>
      <c r="B138" s="1042"/>
      <c r="C138" s="1533" t="s">
        <v>252</v>
      </c>
      <c r="D138" s="1067"/>
      <c r="E138" s="1043">
        <f aca="true" t="shared" si="18" ref="E138:J138">SUM(E13*0.1)</f>
        <v>505008.2</v>
      </c>
      <c r="F138" s="1516">
        <f t="shared" si="18"/>
        <v>435723.30000000005</v>
      </c>
      <c r="G138" s="1516">
        <f t="shared" si="18"/>
        <v>435723.30000000005</v>
      </c>
      <c r="H138" s="1516">
        <f t="shared" si="18"/>
        <v>585492.3</v>
      </c>
      <c r="I138" s="1712">
        <f t="shared" si="18"/>
        <v>585492.3</v>
      </c>
      <c r="J138" s="1712">
        <f t="shared" si="18"/>
        <v>655878.2000000001</v>
      </c>
    </row>
    <row r="139" spans="1:10" s="214" customFormat="1" ht="12.75" customHeight="1">
      <c r="A139" s="1515" t="s">
        <v>277</v>
      </c>
      <c r="B139" s="1044" t="s">
        <v>1202</v>
      </c>
      <c r="C139" s="1073" t="s">
        <v>642</v>
      </c>
      <c r="D139" s="501"/>
      <c r="E139" s="1045">
        <f aca="true" t="shared" si="19" ref="E139:J139">SUM(E140:E141)</f>
        <v>8209104</v>
      </c>
      <c r="F139" s="1518">
        <f t="shared" si="19"/>
        <v>8251931</v>
      </c>
      <c r="G139" s="1518">
        <f t="shared" si="19"/>
        <v>8432007</v>
      </c>
      <c r="H139" s="1518">
        <f t="shared" si="19"/>
        <v>8432007</v>
      </c>
      <c r="I139" s="1713">
        <f t="shared" si="19"/>
        <v>8835048</v>
      </c>
      <c r="J139" s="1713">
        <f t="shared" si="19"/>
        <v>8830789</v>
      </c>
    </row>
    <row r="140" spans="1:10" ht="12.75" customHeight="1">
      <c r="A140" s="1515" t="s">
        <v>278</v>
      </c>
      <c r="B140" s="1046"/>
      <c r="C140" s="1043" t="s">
        <v>516</v>
      </c>
      <c r="D140" s="1065"/>
      <c r="E140" s="1043">
        <v>8209104</v>
      </c>
      <c r="F140" s="1516">
        <v>8251931</v>
      </c>
      <c r="G140" s="1516">
        <v>8432007</v>
      </c>
      <c r="H140" s="1516">
        <v>8432007</v>
      </c>
      <c r="I140" s="1712">
        <v>8835048</v>
      </c>
      <c r="J140" s="1712">
        <v>8830789</v>
      </c>
    </row>
    <row r="141" spans="1:10" ht="12.75" customHeight="1">
      <c r="A141" s="1515" t="s">
        <v>279</v>
      </c>
      <c r="B141" s="1042"/>
      <c r="C141" s="1066" t="s">
        <v>472</v>
      </c>
      <c r="D141" s="1067"/>
      <c r="E141" s="1043">
        <v>0</v>
      </c>
      <c r="F141" s="1516">
        <v>0</v>
      </c>
      <c r="G141" s="1516">
        <v>0</v>
      </c>
      <c r="H141" s="1516">
        <v>0</v>
      </c>
      <c r="I141" s="1712">
        <v>0</v>
      </c>
      <c r="J141" s="1712">
        <v>0</v>
      </c>
    </row>
    <row r="142" spans="1:10" s="214" customFormat="1" ht="12.75" customHeight="1">
      <c r="A142" s="1517" t="s">
        <v>280</v>
      </c>
      <c r="B142" s="1044" t="s">
        <v>1203</v>
      </c>
      <c r="C142" s="1073" t="s">
        <v>953</v>
      </c>
      <c r="D142" s="501"/>
      <c r="E142" s="1045">
        <f aca="true" t="shared" si="20" ref="E142:J142">SUM(E143:E146)</f>
        <v>20818564</v>
      </c>
      <c r="F142" s="1518">
        <f t="shared" si="20"/>
        <v>16137900</v>
      </c>
      <c r="G142" s="1518">
        <f t="shared" si="20"/>
        <v>16137900</v>
      </c>
      <c r="H142" s="1518">
        <f t="shared" si="20"/>
        <v>16137900</v>
      </c>
      <c r="I142" s="1713">
        <f t="shared" si="20"/>
        <v>16137900</v>
      </c>
      <c r="J142" s="1713">
        <f t="shared" si="20"/>
        <v>16154900</v>
      </c>
    </row>
    <row r="143" spans="1:10" ht="12.75" customHeight="1">
      <c r="A143" s="1515" t="s">
        <v>281</v>
      </c>
      <c r="B143" s="1534"/>
      <c r="C143" s="1350" t="s">
        <v>250</v>
      </c>
      <c r="D143" s="1067"/>
      <c r="E143" s="1043">
        <v>12991088</v>
      </c>
      <c r="F143" s="1516">
        <v>8628000</v>
      </c>
      <c r="G143" s="1516">
        <v>8628000</v>
      </c>
      <c r="H143" s="1516">
        <v>8628000</v>
      </c>
      <c r="I143" s="1712">
        <v>8628000</v>
      </c>
      <c r="J143" s="1712">
        <v>8691000</v>
      </c>
    </row>
    <row r="144" spans="1:10" ht="12.75" customHeight="1">
      <c r="A144" s="977" t="s">
        <v>282</v>
      </c>
      <c r="B144" s="1032"/>
      <c r="C144" s="1072" t="s">
        <v>251</v>
      </c>
      <c r="D144" s="1067"/>
      <c r="E144" s="1043">
        <v>2522516</v>
      </c>
      <c r="F144" s="1516">
        <v>1509900</v>
      </c>
      <c r="G144" s="1516">
        <v>1509900</v>
      </c>
      <c r="H144" s="1516">
        <v>1509900</v>
      </c>
      <c r="I144" s="1712">
        <v>1509900</v>
      </c>
      <c r="J144" s="1712">
        <v>1463900</v>
      </c>
    </row>
    <row r="145" spans="1:10" ht="12.75" customHeight="1">
      <c r="A145" s="977" t="s">
        <v>283</v>
      </c>
      <c r="B145" s="1032"/>
      <c r="C145" s="1072" t="s">
        <v>622</v>
      </c>
      <c r="D145" s="1067"/>
      <c r="E145" s="1043">
        <v>3861000</v>
      </c>
      <c r="F145" s="1516">
        <v>6000000</v>
      </c>
      <c r="G145" s="1516">
        <v>6000000</v>
      </c>
      <c r="H145" s="1516">
        <v>6000000</v>
      </c>
      <c r="I145" s="1712">
        <v>6000000</v>
      </c>
      <c r="J145" s="1712">
        <v>6000000</v>
      </c>
    </row>
    <row r="146" spans="1:10" ht="12.75" customHeight="1">
      <c r="A146" s="977" t="s">
        <v>284</v>
      </c>
      <c r="B146" s="1032"/>
      <c r="C146" s="1072" t="s">
        <v>613</v>
      </c>
      <c r="D146" s="1067"/>
      <c r="E146" s="502">
        <v>1443960</v>
      </c>
      <c r="F146" s="1520">
        <v>0</v>
      </c>
      <c r="G146" s="1520">
        <v>0</v>
      </c>
      <c r="H146" s="1520">
        <v>0</v>
      </c>
      <c r="I146" s="1715">
        <v>0</v>
      </c>
      <c r="J146" s="1715">
        <v>0</v>
      </c>
    </row>
    <row r="147" spans="1:10" s="214" customFormat="1" ht="12.75" customHeight="1">
      <c r="A147" s="1517" t="s">
        <v>285</v>
      </c>
      <c r="B147" s="1040" t="s">
        <v>942</v>
      </c>
      <c r="C147" s="1351" t="s">
        <v>943</v>
      </c>
      <c r="D147" s="501"/>
      <c r="E147" s="1045"/>
      <c r="F147" s="1518"/>
      <c r="G147" s="1518"/>
      <c r="H147" s="1518"/>
      <c r="I147" s="1713"/>
      <c r="J147" s="1713"/>
    </row>
    <row r="148" spans="1:10" ht="12.75" customHeight="1">
      <c r="A148" s="1515" t="s">
        <v>286</v>
      </c>
      <c r="B148" s="1042"/>
      <c r="C148" s="1066" t="s">
        <v>944</v>
      </c>
      <c r="D148" s="1067"/>
      <c r="E148" s="1043"/>
      <c r="F148" s="1516"/>
      <c r="G148" s="1516"/>
      <c r="H148" s="1516"/>
      <c r="I148" s="1712"/>
      <c r="J148" s="1712"/>
    </row>
    <row r="149" spans="1:10" s="214" customFormat="1" ht="12.75" customHeight="1">
      <c r="A149" s="1517" t="s">
        <v>287</v>
      </c>
      <c r="B149" s="1044" t="s">
        <v>950</v>
      </c>
      <c r="C149" s="1073" t="s">
        <v>946</v>
      </c>
      <c r="D149" s="501"/>
      <c r="E149" s="1045"/>
      <c r="F149" s="1518"/>
      <c r="G149" s="1518"/>
      <c r="H149" s="1518"/>
      <c r="I149" s="1713"/>
      <c r="J149" s="1713"/>
    </row>
    <row r="150" spans="1:10" ht="12.75" customHeight="1">
      <c r="A150" s="1515" t="s">
        <v>289</v>
      </c>
      <c r="B150" s="1042"/>
      <c r="C150" s="1066" t="s">
        <v>944</v>
      </c>
      <c r="D150" s="1067"/>
      <c r="E150" s="1043"/>
      <c r="F150" s="1516"/>
      <c r="G150" s="1516"/>
      <c r="H150" s="1516"/>
      <c r="I150" s="1712"/>
      <c r="J150" s="1712"/>
    </row>
    <row r="151" spans="1:10" ht="12.75" customHeight="1">
      <c r="A151" s="1515" t="s">
        <v>290</v>
      </c>
      <c r="B151" s="1042"/>
      <c r="C151" s="1066" t="s">
        <v>947</v>
      </c>
      <c r="D151" s="1067"/>
      <c r="E151" s="1043"/>
      <c r="F151" s="1516"/>
      <c r="G151" s="1516"/>
      <c r="H151" s="1516"/>
      <c r="I151" s="1712"/>
      <c r="J151" s="1712"/>
    </row>
    <row r="152" spans="1:10" s="214" customFormat="1" ht="12.75" customHeight="1">
      <c r="A152" s="1517" t="s">
        <v>291</v>
      </c>
      <c r="B152" s="1044" t="s">
        <v>945</v>
      </c>
      <c r="C152" s="1073" t="s">
        <v>910</v>
      </c>
      <c r="D152" s="501"/>
      <c r="E152" s="1045">
        <f aca="true" t="shared" si="21" ref="E152:J152">SUM(E154)</f>
        <v>1500000</v>
      </c>
      <c r="F152" s="1518">
        <f t="shared" si="21"/>
        <v>6480000</v>
      </c>
      <c r="G152" s="1518">
        <f t="shared" si="21"/>
        <v>6480000</v>
      </c>
      <c r="H152" s="1518">
        <f t="shared" si="21"/>
        <v>7810000</v>
      </c>
      <c r="I152" s="1713">
        <f t="shared" si="21"/>
        <v>7990000</v>
      </c>
      <c r="J152" s="1713">
        <f t="shared" si="21"/>
        <v>7990000</v>
      </c>
    </row>
    <row r="153" spans="1:10" ht="12.75" customHeight="1">
      <c r="A153" s="1515" t="s">
        <v>292</v>
      </c>
      <c r="B153" s="1042"/>
      <c r="C153" s="1066" t="s">
        <v>949</v>
      </c>
      <c r="D153" s="1067"/>
      <c r="E153" s="1043"/>
      <c r="F153" s="1516"/>
      <c r="G153" s="1516"/>
      <c r="H153" s="1516"/>
      <c r="I153" s="1712"/>
      <c r="J153" s="1712"/>
    </row>
    <row r="154" spans="1:10" ht="12.75" customHeight="1">
      <c r="A154" s="1515" t="s">
        <v>293</v>
      </c>
      <c r="B154" s="1042"/>
      <c r="C154" s="1066" t="s">
        <v>947</v>
      </c>
      <c r="D154" s="1067"/>
      <c r="E154" s="1043">
        <v>1500000</v>
      </c>
      <c r="F154" s="1516">
        <v>6480000</v>
      </c>
      <c r="G154" s="1516">
        <v>6480000</v>
      </c>
      <c r="H154" s="1516">
        <v>7810000</v>
      </c>
      <c r="I154" s="1712">
        <f>SUM('6,7,8 Melléklet'!H109+'6,7,8 Melléklet'!H112+'6,7,8 Melléklet'!H113+'6,7,8 Melléklet'!H114+'6,7,8 Melléklet'!H115+'6,7,8 Melléklet'!H116+'6,7,8 Melléklet'!H117)</f>
        <v>7990000</v>
      </c>
      <c r="J154" s="1712">
        <f>SUM('6,7,8 Melléklet'!I109+'6,7,8 Melléklet'!I112+'6,7,8 Melléklet'!I113+'6,7,8 Melléklet'!I114+'6,7,8 Melléklet'!I115+'6,7,8 Melléklet'!I116+'6,7,8 Melléklet'!I117)</f>
        <v>7990000</v>
      </c>
    </row>
    <row r="155" spans="1:10" ht="12.75">
      <c r="A155" s="1517" t="s">
        <v>294</v>
      </c>
      <c r="B155" s="1044" t="s">
        <v>948</v>
      </c>
      <c r="C155" s="84" t="s">
        <v>275</v>
      </c>
      <c r="D155" s="1067"/>
      <c r="E155" s="1045">
        <f aca="true" t="shared" si="22" ref="E155:J155">SUM(E156:E157)</f>
        <v>1099900</v>
      </c>
      <c r="F155" s="1518">
        <f t="shared" si="22"/>
        <v>0</v>
      </c>
      <c r="G155" s="1518">
        <f t="shared" si="22"/>
        <v>0</v>
      </c>
      <c r="H155" s="1518">
        <f t="shared" si="22"/>
        <v>0</v>
      </c>
      <c r="I155" s="1713">
        <f t="shared" si="22"/>
        <v>0</v>
      </c>
      <c r="J155" s="1713">
        <f t="shared" si="22"/>
        <v>0</v>
      </c>
    </row>
    <row r="156" spans="1:10" ht="12.75" customHeight="1">
      <c r="A156" s="1515" t="s">
        <v>296</v>
      </c>
      <c r="B156" s="1042"/>
      <c r="C156" s="288" t="s">
        <v>252</v>
      </c>
      <c r="D156" s="1067"/>
      <c r="E156" s="1043"/>
      <c r="F156" s="1516"/>
      <c r="G156" s="1516"/>
      <c r="H156" s="1516"/>
      <c r="I156" s="1712"/>
      <c r="J156" s="1712"/>
    </row>
    <row r="157" spans="1:10" ht="12.75" customHeight="1">
      <c r="A157" s="1515" t="s">
        <v>298</v>
      </c>
      <c r="B157" s="1042"/>
      <c r="C157" s="136" t="s">
        <v>613</v>
      </c>
      <c r="D157" s="1067"/>
      <c r="E157" s="502">
        <v>1099900</v>
      </c>
      <c r="F157" s="1520">
        <v>0</v>
      </c>
      <c r="G157" s="1520">
        <v>0</v>
      </c>
      <c r="H157" s="1520">
        <v>0</v>
      </c>
      <c r="I157" s="1715">
        <v>0</v>
      </c>
      <c r="J157" s="1715">
        <v>0</v>
      </c>
    </row>
    <row r="158" spans="1:10" s="214" customFormat="1" ht="28.5" customHeight="1">
      <c r="A158" s="1517" t="s">
        <v>300</v>
      </c>
      <c r="B158" s="1044" t="s">
        <v>1050</v>
      </c>
      <c r="C158" s="1592" t="s">
        <v>1173</v>
      </c>
      <c r="D158" s="501"/>
      <c r="E158" s="1056"/>
      <c r="F158" s="1522"/>
      <c r="G158" s="1522">
        <v>2000000</v>
      </c>
      <c r="H158" s="1522">
        <v>2000000</v>
      </c>
      <c r="I158" s="1716">
        <v>2000000</v>
      </c>
      <c r="J158" s="1716">
        <v>2000000</v>
      </c>
    </row>
    <row r="159" spans="1:10" ht="12.75" customHeight="1">
      <c r="A159" s="1515" t="s">
        <v>301</v>
      </c>
      <c r="B159" s="1042"/>
      <c r="C159" s="1591" t="s">
        <v>1172</v>
      </c>
      <c r="D159" s="1067"/>
      <c r="E159" s="502"/>
      <c r="F159" s="1520"/>
      <c r="G159" s="1520">
        <v>2000000</v>
      </c>
      <c r="H159" s="1520">
        <v>2000000</v>
      </c>
      <c r="I159" s="1715">
        <v>2000000</v>
      </c>
      <c r="J159" s="1715">
        <v>2000000</v>
      </c>
    </row>
    <row r="160" spans="1:10" ht="26.25" customHeight="1">
      <c r="A160" s="1515" t="s">
        <v>302</v>
      </c>
      <c r="B160" s="1074" t="s">
        <v>1051</v>
      </c>
      <c r="C160" s="1075" t="s">
        <v>610</v>
      </c>
      <c r="D160" s="501"/>
      <c r="E160" s="1045">
        <f>SUM(E161)</f>
        <v>300105338</v>
      </c>
      <c r="F160" s="1518">
        <f>SUM(F161)</f>
        <v>329437179</v>
      </c>
      <c r="G160" s="1518">
        <f>SUM(G161)</f>
        <v>327680648</v>
      </c>
      <c r="H160" s="1518">
        <f>SUM(H161:H165)</f>
        <v>365018533</v>
      </c>
      <c r="I160" s="1713">
        <f>SUM(I161:I165)</f>
        <v>368380993</v>
      </c>
      <c r="J160" s="1713">
        <f>SUM(J161:J165)</f>
        <v>374063181</v>
      </c>
    </row>
    <row r="161" spans="1:10" ht="12.75" customHeight="1">
      <c r="A161" s="1531" t="s">
        <v>303</v>
      </c>
      <c r="B161" s="1076"/>
      <c r="C161" s="1077" t="s">
        <v>288</v>
      </c>
      <c r="D161" s="1070"/>
      <c r="E161" s="1065">
        <f>SUM('ÖNK ÖSSZESITŐ'!E47)*-1</f>
        <v>300105338</v>
      </c>
      <c r="F161" s="1535">
        <f>SUM('ÖNK ÖSSZESITŐ'!F47)*-1</f>
        <v>329437179</v>
      </c>
      <c r="G161" s="1535">
        <f>SUM('ÖNK ÖSSZESITŐ'!G47)*-1</f>
        <v>327680648</v>
      </c>
      <c r="H161" s="1535">
        <f>SUM('ÖNK ÖSSZESITŐ'!H47)*-1</f>
        <v>327974397</v>
      </c>
      <c r="I161" s="1720">
        <f>SUM('ÖNK ÖSSZESITŐ'!I47)*-1</f>
        <v>328197753</v>
      </c>
      <c r="J161" s="1720">
        <f>SUM('ÖNK ÖSSZESITŐ'!J47)*-1</f>
        <v>332155304</v>
      </c>
    </row>
    <row r="162" spans="1:10" ht="12.75" customHeight="1">
      <c r="A162" s="1032" t="s">
        <v>304</v>
      </c>
      <c r="B162" s="1032"/>
      <c r="C162" s="1067" t="s">
        <v>1199</v>
      </c>
      <c r="D162" s="1067"/>
      <c r="E162" s="1067"/>
      <c r="F162" s="1067"/>
      <c r="G162" s="1067"/>
      <c r="H162" s="1067">
        <v>3251899</v>
      </c>
      <c r="I162" s="664">
        <f>SUM('6,7,8 Melléklet'!H100)</f>
        <v>4501932</v>
      </c>
      <c r="J162" s="664">
        <f>SUM('6,7,8 Melléklet'!I100)</f>
        <v>6001932</v>
      </c>
    </row>
    <row r="163" spans="1:10" ht="12.75" customHeight="1">
      <c r="A163" s="1032" t="s">
        <v>611</v>
      </c>
      <c r="B163" s="1032"/>
      <c r="C163" s="1067" t="s">
        <v>1200</v>
      </c>
      <c r="D163" s="1067"/>
      <c r="E163" s="1067"/>
      <c r="F163" s="1067"/>
      <c r="G163" s="1067"/>
      <c r="H163" s="1067">
        <v>6981000</v>
      </c>
      <c r="I163" s="664">
        <f>SUM('6,7,8 Melléklet'!H99)</f>
        <v>6981000</v>
      </c>
      <c r="J163" s="664">
        <f>SUM('6,7,8 Melléklet'!I99)</f>
        <v>6981000</v>
      </c>
    </row>
    <row r="164" spans="1:10" ht="12.75" customHeight="1">
      <c r="A164" s="1032" t="s">
        <v>612</v>
      </c>
      <c r="B164" s="1032"/>
      <c r="C164" s="1067" t="s">
        <v>1201</v>
      </c>
      <c r="D164" s="1067"/>
      <c r="E164" s="1067"/>
      <c r="F164" s="1067"/>
      <c r="G164" s="1067"/>
      <c r="H164" s="1067">
        <v>26461237</v>
      </c>
      <c r="I164" s="664">
        <f>SUM('6,7,8 Melléklet'!H101)</f>
        <v>28350308</v>
      </c>
      <c r="J164" s="664">
        <f>SUM('6,7,8 Melléklet'!I101)</f>
        <v>28674945</v>
      </c>
    </row>
    <row r="165" spans="1:10" ht="12.75" customHeight="1">
      <c r="A165" s="1032" t="s">
        <v>306</v>
      </c>
      <c r="B165" s="1032"/>
      <c r="C165" s="1067" t="s">
        <v>941</v>
      </c>
      <c r="D165" s="1067"/>
      <c r="E165" s="1067"/>
      <c r="F165" s="1067"/>
      <c r="G165" s="1067"/>
      <c r="H165" s="1067">
        <v>350000</v>
      </c>
      <c r="I165" s="664">
        <f>SUM('6,7,8 Melléklet'!H102)</f>
        <v>350000</v>
      </c>
      <c r="J165" s="664">
        <f>SUM('6,7,8 Melléklet'!I102)</f>
        <v>250000</v>
      </c>
    </row>
    <row r="166" spans="1:10" ht="12.75" customHeight="1" thickBot="1">
      <c r="A166" s="1532" t="s">
        <v>307</v>
      </c>
      <c r="B166" s="1621"/>
      <c r="C166" s="1078" t="s">
        <v>236</v>
      </c>
      <c r="D166" s="1078">
        <v>12</v>
      </c>
      <c r="E166" s="1622">
        <f>SUM(E77+E79+E82+E84+E88+E94+E98+E102+E123+E139+E160)+E135+E114+E152+E142+E155</f>
        <v>1242677868.2</v>
      </c>
      <c r="F166" s="1623">
        <f>SUM(F77+F79+F82+F84+F88+F94+F98+F102+F123+F139+F160)+F135+F114+F152+F142+F155</f>
        <v>949855995.3</v>
      </c>
      <c r="G166" s="1623">
        <f>SUM(G77+G79+G82+G84+G88+G94+G98+G102+G123+G139+G160)+G135+G114+G152+G142+G155+G158</f>
        <v>1139563474.3</v>
      </c>
      <c r="H166" s="1623">
        <f>SUM(H77+H79+H82+H84+H88+H94+H98+H102+H123+H139+H160)+H135+H114+H152+H142+H155+H158+H110</f>
        <v>1178285678.3</v>
      </c>
      <c r="I166" s="1721">
        <f>SUM(I77+I79+I82+I84+I88+I94+I98+I102+I123+I139+I160)+I135+I114+I152+I142+I155+I158+I110</f>
        <v>1179148216.3</v>
      </c>
      <c r="J166" s="1721">
        <f>SUM(J77+J79+J82+J84+J88+J94+J98+J102+J123+J139+J160)+J135+J114+J152+J142+J155+J158+J110</f>
        <v>1284499498.2</v>
      </c>
    </row>
    <row r="167" spans="1:10" ht="12.75" customHeight="1">
      <c r="A167" s="1515" t="s">
        <v>308</v>
      </c>
      <c r="B167" s="215"/>
      <c r="C167" s="216" t="s">
        <v>250</v>
      </c>
      <c r="D167" s="216"/>
      <c r="E167" s="1301">
        <f aca="true" t="shared" si="23" ref="E167:J167">SUM(E89+E95+E99+E124)+E136+E143</f>
        <v>30665512</v>
      </c>
      <c r="F167" s="1536">
        <f t="shared" si="23"/>
        <v>27678043</v>
      </c>
      <c r="G167" s="1536">
        <f t="shared" si="23"/>
        <v>27678043</v>
      </c>
      <c r="H167" s="1536">
        <f t="shared" si="23"/>
        <v>29604043</v>
      </c>
      <c r="I167" s="1722">
        <f t="shared" si="23"/>
        <v>29604043</v>
      </c>
      <c r="J167" s="1722">
        <f t="shared" si="23"/>
        <v>29667043</v>
      </c>
    </row>
    <row r="168" spans="1:10" ht="12.75" customHeight="1">
      <c r="A168" s="1515" t="s">
        <v>309</v>
      </c>
      <c r="B168" s="217"/>
      <c r="C168" s="218" t="s">
        <v>251</v>
      </c>
      <c r="D168" s="218"/>
      <c r="E168" s="1302">
        <f aca="true" t="shared" si="24" ref="E168:J168">SUM(E90+E100+E125)+E137+E144</f>
        <v>5675164</v>
      </c>
      <c r="F168" s="1537">
        <f t="shared" si="24"/>
        <v>4866300</v>
      </c>
      <c r="G168" s="1537">
        <f t="shared" si="24"/>
        <v>4866300</v>
      </c>
      <c r="H168" s="1537">
        <f t="shared" si="24"/>
        <v>5184156</v>
      </c>
      <c r="I168" s="1723">
        <f t="shared" si="24"/>
        <v>5184156</v>
      </c>
      <c r="J168" s="1723">
        <f t="shared" si="24"/>
        <v>5138156</v>
      </c>
    </row>
    <row r="169" spans="1:10" ht="12.75" customHeight="1">
      <c r="A169" s="1515" t="s">
        <v>310</v>
      </c>
      <c r="B169" s="217"/>
      <c r="C169" s="218" t="s">
        <v>252</v>
      </c>
      <c r="D169" s="218"/>
      <c r="E169" s="1302">
        <f>SUM(E78+E80+E83+E85+E91+E97+E126)+E138+E115+E145</f>
        <v>164766811.2</v>
      </c>
      <c r="F169" s="1537">
        <f>SUM(F78+F80+F83+F85+F91+F97+F126)+F138+F115+F145</f>
        <v>67169794.3</v>
      </c>
      <c r="G169" s="1537">
        <f>SUM(G78+G80+G83+G85+G91+G97+G126)+G138+G115+G145+G159</f>
        <v>60244034.3</v>
      </c>
      <c r="H169" s="1537">
        <f>SUM(H78+H80+H83+H85+H91+H97+H126)+H138+H115+H145+H159</f>
        <v>63900760.3</v>
      </c>
      <c r="I169" s="1723">
        <f>SUM(I78+I80+I83+I85+I91+I97+I126)+I138+I115+I145+I159</f>
        <v>67062887.3</v>
      </c>
      <c r="J169" s="1723">
        <f>SUM(J78+J80+J83+J85+J91+J97+J126)+J138+J115+J145+J159</f>
        <v>142689133.2</v>
      </c>
    </row>
    <row r="170" spans="1:10" ht="12.75" customHeight="1">
      <c r="A170" s="1515" t="s">
        <v>311</v>
      </c>
      <c r="B170" s="217"/>
      <c r="C170" s="218" t="s">
        <v>647</v>
      </c>
      <c r="D170" s="218"/>
      <c r="E170" s="1302">
        <f aca="true" t="shared" si="25" ref="E170:J170">SUM(E116)+E122</f>
        <v>4209730</v>
      </c>
      <c r="F170" s="1537">
        <f t="shared" si="25"/>
        <v>3453000</v>
      </c>
      <c r="G170" s="1537">
        <f t="shared" si="25"/>
        <v>3803000</v>
      </c>
      <c r="H170" s="1537">
        <f t="shared" si="25"/>
        <v>3453000</v>
      </c>
      <c r="I170" s="1723">
        <f t="shared" si="25"/>
        <v>3453000</v>
      </c>
      <c r="J170" s="1723">
        <f t="shared" si="25"/>
        <v>4980000</v>
      </c>
    </row>
    <row r="171" spans="1:10" ht="12.75" customHeight="1">
      <c r="A171" s="1515" t="s">
        <v>312</v>
      </c>
      <c r="B171" s="217"/>
      <c r="C171" s="218" t="s">
        <v>648</v>
      </c>
      <c r="D171" s="218"/>
      <c r="E171" s="1302">
        <f aca="true" t="shared" si="26" ref="E171:J171">SUM(E130)</f>
        <v>478765907</v>
      </c>
      <c r="F171" s="1537">
        <f t="shared" si="26"/>
        <v>462128007</v>
      </c>
      <c r="G171" s="1537">
        <f t="shared" si="26"/>
        <v>570382608</v>
      </c>
      <c r="H171" s="1537">
        <f t="shared" si="26"/>
        <v>419046334</v>
      </c>
      <c r="I171" s="1723">
        <f t="shared" si="26"/>
        <v>410741663</v>
      </c>
      <c r="J171" s="1723">
        <f t="shared" si="26"/>
        <v>376250463</v>
      </c>
    </row>
    <row r="172" spans="1:10" ht="12.75" customHeight="1">
      <c r="A172" s="1515" t="s">
        <v>313</v>
      </c>
      <c r="B172" s="217"/>
      <c r="C172" s="218" t="s">
        <v>649</v>
      </c>
      <c r="D172" s="218"/>
      <c r="E172" s="1302">
        <f>SUM(E103)+E154</f>
        <v>44186648</v>
      </c>
      <c r="F172" s="1537">
        <f>SUM(F103)+F154</f>
        <v>44771741</v>
      </c>
      <c r="G172" s="1537">
        <f>SUM(G103)+G154</f>
        <v>42258999</v>
      </c>
      <c r="H172" s="1537">
        <f>SUM(H154)+H110+H162+H163+H164+H165</f>
        <v>46035254</v>
      </c>
      <c r="I172" s="1723">
        <f>SUM(I154)+I110+I162+I163+I164+I165</f>
        <v>49185271</v>
      </c>
      <c r="J172" s="1723">
        <f>SUM(J154)+J110+J162+J163+J164+J165</f>
        <v>50526275</v>
      </c>
    </row>
    <row r="173" spans="1:10" ht="12.75" customHeight="1">
      <c r="A173" s="1515" t="s">
        <v>314</v>
      </c>
      <c r="B173" s="217"/>
      <c r="C173" s="218" t="s">
        <v>613</v>
      </c>
      <c r="D173" s="218"/>
      <c r="E173" s="1302">
        <f aca="true" t="shared" si="27" ref="E173:J173">SUM(E174:E175)</f>
        <v>203611617</v>
      </c>
      <c r="F173" s="1537">
        <f t="shared" si="27"/>
        <v>2100000</v>
      </c>
      <c r="G173" s="1537">
        <f t="shared" si="27"/>
        <v>93863808</v>
      </c>
      <c r="H173" s="1537">
        <f t="shared" si="27"/>
        <v>272284650</v>
      </c>
      <c r="I173" s="1723">
        <f t="shared" si="27"/>
        <v>272490752</v>
      </c>
      <c r="J173" s="1723">
        <f t="shared" si="27"/>
        <v>329868692</v>
      </c>
    </row>
    <row r="174" spans="1:10" s="1079" customFormat="1" ht="12.75" customHeight="1">
      <c r="A174" s="1538" t="s">
        <v>315</v>
      </c>
      <c r="B174" s="803"/>
      <c r="C174" s="804" t="s">
        <v>778</v>
      </c>
      <c r="D174" s="804"/>
      <c r="E174" s="1303">
        <v>194136460</v>
      </c>
      <c r="F174" s="1539">
        <v>1700000</v>
      </c>
      <c r="G174" s="1539">
        <f>SUM('6,7,8 Melléklet'!E83)</f>
        <v>93463808</v>
      </c>
      <c r="H174" s="1539">
        <f>SUM('6,7,8 Melléklet'!F83)</f>
        <v>248842095</v>
      </c>
      <c r="I174" s="1724">
        <f>SUM('6,7,8 Melléklet'!G83)</f>
        <v>249048197</v>
      </c>
      <c r="J174" s="1724">
        <f>SUM('6,7,8 Melléklet'!H83)</f>
        <v>314265127</v>
      </c>
    </row>
    <row r="175" spans="1:10" s="1079" customFormat="1" ht="12.75" customHeight="1">
      <c r="A175" s="1538" t="s">
        <v>316</v>
      </c>
      <c r="B175" s="803"/>
      <c r="C175" s="804" t="s">
        <v>779</v>
      </c>
      <c r="D175" s="804"/>
      <c r="E175" s="1304">
        <v>9475157</v>
      </c>
      <c r="F175" s="1540">
        <f>SUM('6,7,8 Melléklet'!D13)</f>
        <v>400000</v>
      </c>
      <c r="G175" s="1540">
        <f>SUM('6,7,8 Melléklet'!E13)</f>
        <v>400000</v>
      </c>
      <c r="H175" s="1540">
        <f>SUM('6,7,8 Melléklet'!F13)</f>
        <v>23442555</v>
      </c>
      <c r="I175" s="1725">
        <f>SUM('6,7,8 Melléklet'!G13)</f>
        <v>23442555</v>
      </c>
      <c r="J175" s="1725">
        <f>SUM('6,7,8 Melléklet'!H13)</f>
        <v>15603565</v>
      </c>
    </row>
    <row r="176" spans="1:10" ht="25.5">
      <c r="A176" s="1531" t="s">
        <v>317</v>
      </c>
      <c r="B176" s="1184"/>
      <c r="C176" s="1730" t="s">
        <v>1006</v>
      </c>
      <c r="D176" s="1186"/>
      <c r="E176" s="1305">
        <f>SUM(E134)</f>
        <v>2482037</v>
      </c>
      <c r="F176" s="1541">
        <f>SUM(F134)</f>
        <v>0</v>
      </c>
      <c r="G176" s="1541">
        <f>SUM(G134)</f>
        <v>0</v>
      </c>
      <c r="H176" s="1541">
        <v>2017050</v>
      </c>
      <c r="I176" s="1726">
        <v>2354850</v>
      </c>
      <c r="J176" s="1726">
        <v>2354850</v>
      </c>
    </row>
    <row r="177" spans="1:10" ht="12.75">
      <c r="A177" s="1032" t="s">
        <v>318</v>
      </c>
      <c r="B177" s="1733"/>
      <c r="C177" s="1185" t="s">
        <v>1263</v>
      </c>
      <c r="D177" s="1729"/>
      <c r="E177" s="1305"/>
      <c r="F177" s="1541"/>
      <c r="G177" s="1541"/>
      <c r="H177" s="1541"/>
      <c r="I177" s="1726">
        <v>1684766</v>
      </c>
      <c r="J177" s="1726">
        <v>1684766</v>
      </c>
    </row>
    <row r="178" spans="1:10" ht="25.5">
      <c r="A178" s="1532" t="s">
        <v>320</v>
      </c>
      <c r="B178" s="1731"/>
      <c r="C178" s="1732" t="s">
        <v>693</v>
      </c>
      <c r="D178" s="221"/>
      <c r="E178" s="1305">
        <f aca="true" t="shared" si="28" ref="E178:J178">SUM(E131)</f>
        <v>0</v>
      </c>
      <c r="F178" s="1541">
        <f t="shared" si="28"/>
        <v>0</v>
      </c>
      <c r="G178" s="1541">
        <f t="shared" si="28"/>
        <v>0</v>
      </c>
      <c r="H178" s="1541">
        <f t="shared" si="28"/>
        <v>0</v>
      </c>
      <c r="I178" s="1726">
        <f t="shared" si="28"/>
        <v>0</v>
      </c>
      <c r="J178" s="1726">
        <f t="shared" si="28"/>
        <v>0</v>
      </c>
    </row>
    <row r="179" spans="1:10" ht="25.5">
      <c r="A179" s="1515" t="s">
        <v>321</v>
      </c>
      <c r="B179" s="527"/>
      <c r="C179" s="528" t="s">
        <v>694</v>
      </c>
      <c r="D179" s="529"/>
      <c r="E179" s="1306">
        <v>8209104</v>
      </c>
      <c r="F179" s="1542">
        <f>SUM(F140)</f>
        <v>8251931</v>
      </c>
      <c r="G179" s="1542">
        <f>SUM(G140)</f>
        <v>8432007</v>
      </c>
      <c r="H179" s="1542">
        <f>SUM(H140)</f>
        <v>8432007</v>
      </c>
      <c r="I179" s="1727">
        <f>SUM(I140)</f>
        <v>8835048</v>
      </c>
      <c r="J179" s="1727">
        <f>SUM(J140)</f>
        <v>8830789</v>
      </c>
    </row>
    <row r="180" spans="1:10" ht="12.75" customHeight="1">
      <c r="A180" s="1515" t="s">
        <v>322</v>
      </c>
      <c r="B180" s="527"/>
      <c r="C180" s="528" t="s">
        <v>674</v>
      </c>
      <c r="D180" s="529"/>
      <c r="E180" s="529">
        <v>0</v>
      </c>
      <c r="F180" s="1543">
        <v>0</v>
      </c>
      <c r="G180" s="1543">
        <v>354027</v>
      </c>
      <c r="H180" s="1543">
        <v>354027</v>
      </c>
      <c r="I180" s="1727">
        <v>354027</v>
      </c>
      <c r="J180" s="1727">
        <v>354027</v>
      </c>
    </row>
    <row r="181" spans="1:10" ht="12.75" customHeight="1" thickBot="1">
      <c r="A181" s="1544" t="s">
        <v>323</v>
      </c>
      <c r="B181" s="1545"/>
      <c r="C181" s="1546" t="s">
        <v>672</v>
      </c>
      <c r="D181" s="1547"/>
      <c r="E181" s="1547">
        <f aca="true" t="shared" si="29" ref="E181:J181">SUM(E161)</f>
        <v>300105338</v>
      </c>
      <c r="F181" s="1548">
        <f t="shared" si="29"/>
        <v>329437179</v>
      </c>
      <c r="G181" s="1548">
        <f t="shared" si="29"/>
        <v>327680648</v>
      </c>
      <c r="H181" s="1548">
        <f t="shared" si="29"/>
        <v>327974397</v>
      </c>
      <c r="I181" s="1728">
        <f t="shared" si="29"/>
        <v>328197753</v>
      </c>
      <c r="J181" s="1728">
        <f t="shared" si="29"/>
        <v>332155304</v>
      </c>
    </row>
    <row r="182" spans="1:10" s="1735" customFormat="1" ht="12.75" customHeight="1">
      <c r="A182" s="1734"/>
      <c r="E182" s="1736"/>
      <c r="F182" s="1736"/>
      <c r="G182" s="1736"/>
      <c r="H182" s="1736"/>
      <c r="I182" s="1737"/>
      <c r="J182" s="1737"/>
    </row>
  </sheetData>
  <sheetProtection selectLockedCells="1" selectUnlockedCells="1"/>
  <mergeCells count="54">
    <mergeCell ref="A6:C6"/>
    <mergeCell ref="A7:B7"/>
    <mergeCell ref="C7:D7"/>
    <mergeCell ref="A4:J4"/>
    <mergeCell ref="A2:J2"/>
    <mergeCell ref="A1:J1"/>
    <mergeCell ref="D3:G3"/>
    <mergeCell ref="A8:B8"/>
    <mergeCell ref="C8:D8"/>
    <mergeCell ref="C9:D9"/>
    <mergeCell ref="C10:D10"/>
    <mergeCell ref="C12:D12"/>
    <mergeCell ref="C13:D13"/>
    <mergeCell ref="C11:D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1:D31"/>
    <mergeCell ref="C25:D25"/>
    <mergeCell ref="C26:D26"/>
    <mergeCell ref="C27:D2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5:D45"/>
    <mergeCell ref="C46:D46"/>
    <mergeCell ref="C47:D47"/>
    <mergeCell ref="C62:D62"/>
    <mergeCell ref="C65:D65"/>
    <mergeCell ref="C66:D66"/>
    <mergeCell ref="C67:D67"/>
    <mergeCell ref="A76:B76"/>
    <mergeCell ref="C68:D68"/>
    <mergeCell ref="C69:D69"/>
    <mergeCell ref="C70:D70"/>
    <mergeCell ref="C71:D71"/>
    <mergeCell ref="C72:D72"/>
    <mergeCell ref="A75:B75"/>
  </mergeCells>
  <printOptions horizontalCentered="1"/>
  <pageMargins left="0.5905511811023623" right="0.5905511811023623" top="0.2755905511811024" bottom="0.2755905511811024" header="0.7874015748031497" footer="0.7874015748031497"/>
  <pageSetup horizontalDpi="600" verticalDpi="600" orientation="portrait" paperSize="9" scale="59" r:id="rId1"/>
  <rowBreaks count="1" manualBreakCount="1">
    <brk id="8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U59"/>
  <sheetViews>
    <sheetView view="pageBreakPreview" zoomScaleSheetLayoutView="100" zoomScalePageLayoutView="0" workbookViewId="0" topLeftCell="A1">
      <pane xSplit="1" topLeftCell="L1" activePane="topRight" state="frozen"/>
      <selection pane="topLeft" activeCell="A1" sqref="A1"/>
      <selection pane="topRight" activeCell="O26" sqref="O26"/>
    </sheetView>
  </sheetViews>
  <sheetFormatPr defaultColWidth="11.57421875" defaultRowHeight="12.75" customHeight="1"/>
  <cols>
    <col min="1" max="1" width="38.421875" style="0" customWidth="1"/>
    <col min="2" max="2" width="16.00390625" style="0" customWidth="1"/>
    <col min="3" max="3" width="16.7109375" style="0" customWidth="1"/>
    <col min="4" max="4" width="15.140625" style="0" customWidth="1"/>
    <col min="5" max="5" width="12.8515625" style="0" customWidth="1"/>
    <col min="6" max="6" width="16.00390625" style="0" customWidth="1"/>
    <col min="7" max="7" width="20.28125" style="0" customWidth="1"/>
    <col min="8" max="8" width="18.421875" style="0" customWidth="1"/>
    <col min="9" max="9" width="17.421875" style="0" customWidth="1"/>
    <col min="10" max="10" width="16.00390625" style="0" customWidth="1"/>
    <col min="11" max="11" width="20.28125" style="0" customWidth="1"/>
    <col min="12" max="12" width="18.421875" style="0" customWidth="1"/>
    <col min="13" max="13" width="17.421875" style="0" customWidth="1"/>
    <col min="14" max="14" width="16.00390625" style="0" customWidth="1"/>
    <col min="15" max="15" width="20.28125" style="0" customWidth="1"/>
    <col min="16" max="16" width="18.421875" style="0" customWidth="1"/>
    <col min="17" max="17" width="17.421875" style="0" customWidth="1"/>
    <col min="18" max="18" width="16.00390625" style="0" customWidth="1"/>
    <col min="19" max="19" width="20.28125" style="0" customWidth="1"/>
    <col min="20" max="20" width="18.421875" style="0" customWidth="1"/>
    <col min="21" max="21" width="17.421875" style="0" customWidth="1"/>
  </cols>
  <sheetData>
    <row r="1" spans="1:21" s="169" customFormat="1" ht="18" customHeight="1">
      <c r="A1" s="2225" t="s">
        <v>519</v>
      </c>
      <c r="B1" s="2225"/>
      <c r="C1" s="2225"/>
      <c r="D1" s="2225"/>
      <c r="E1" s="2225"/>
      <c r="F1" s="2225"/>
      <c r="G1" s="2225"/>
      <c r="H1" s="2225"/>
      <c r="I1" s="2225"/>
      <c r="J1" s="2225"/>
      <c r="K1" s="2225"/>
      <c r="L1" s="2225"/>
      <c r="M1" s="2225"/>
      <c r="N1" s="2225"/>
      <c r="O1" s="2225"/>
      <c r="P1" s="2225"/>
      <c r="Q1" s="2225"/>
      <c r="R1" s="2225"/>
      <c r="S1" s="2225"/>
      <c r="T1" s="2225"/>
      <c r="U1" s="2225"/>
    </row>
    <row r="2" spans="1:21" ht="12.75" customHeight="1">
      <c r="A2" s="1890" t="s">
        <v>1295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  <c r="M2" s="1890"/>
      <c r="N2" s="1890"/>
      <c r="O2" s="1890"/>
      <c r="P2" s="1890"/>
      <c r="Q2" s="1890"/>
      <c r="R2" s="1890"/>
      <c r="S2" s="1890"/>
      <c r="T2" s="1890"/>
      <c r="U2" s="1890"/>
    </row>
    <row r="3" spans="1:21" ht="12.75" customHeight="1">
      <c r="A3" s="833"/>
      <c r="B3" s="833"/>
      <c r="C3" s="833"/>
      <c r="D3" s="833"/>
      <c r="E3" s="833"/>
      <c r="F3" s="833"/>
      <c r="G3" s="833"/>
      <c r="H3" s="833"/>
      <c r="I3" s="833"/>
      <c r="J3" s="1890" t="s">
        <v>1296</v>
      </c>
      <c r="K3" s="1890"/>
      <c r="L3" s="1890"/>
      <c r="M3" s="833"/>
      <c r="N3" s="833"/>
      <c r="O3" s="833"/>
      <c r="P3" s="833"/>
      <c r="Q3" s="833"/>
      <c r="R3" s="833"/>
      <c r="S3" s="833"/>
      <c r="T3" s="833"/>
      <c r="U3" s="833" t="s">
        <v>503</v>
      </c>
    </row>
    <row r="4" spans="1:21" ht="12.75" customHeight="1">
      <c r="A4" s="1874" t="s">
        <v>2</v>
      </c>
      <c r="B4" s="1874"/>
      <c r="C4" s="1874"/>
      <c r="D4" s="1874"/>
      <c r="E4" s="1874"/>
      <c r="F4" s="1874"/>
      <c r="G4" s="1874"/>
      <c r="H4" s="1874"/>
      <c r="I4" s="1874"/>
      <c r="J4" s="1874"/>
      <c r="K4" s="1874"/>
      <c r="L4" s="1874"/>
      <c r="M4" s="1874"/>
      <c r="N4" s="1874"/>
      <c r="O4" s="1874"/>
      <c r="P4" s="1874"/>
      <c r="Q4" s="1874"/>
      <c r="R4" s="1874"/>
      <c r="S4" s="1874"/>
      <c r="T4" s="1874"/>
      <c r="U4" s="1874"/>
    </row>
    <row r="5" spans="1:21" ht="15.75" customHeight="1">
      <c r="A5" s="1955" t="s">
        <v>1077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955"/>
      <c r="R5" s="1955"/>
      <c r="S5" s="1955"/>
      <c r="T5" s="1955"/>
      <c r="U5" s="1955"/>
    </row>
    <row r="6" spans="1:19" ht="9" customHeight="1">
      <c r="A6" s="3"/>
      <c r="B6" s="3"/>
      <c r="C6" s="3"/>
      <c r="F6" s="3"/>
      <c r="G6" s="3"/>
      <c r="J6" s="3"/>
      <c r="K6" s="3"/>
      <c r="N6" s="3"/>
      <c r="O6" s="3"/>
      <c r="R6" s="3"/>
      <c r="S6" s="3"/>
    </row>
    <row r="7" spans="1:19" ht="9" customHeight="1">
      <c r="A7" s="3"/>
      <c r="B7" s="3"/>
      <c r="C7" s="3"/>
      <c r="F7" s="3"/>
      <c r="G7" s="3"/>
      <c r="J7" s="3"/>
      <c r="K7" s="3"/>
      <c r="N7" s="3"/>
      <c r="O7" s="3"/>
      <c r="R7" s="3"/>
      <c r="S7" s="3"/>
    </row>
    <row r="8" spans="1:21" ht="13.5" customHeight="1" thickBot="1">
      <c r="A8" s="3"/>
      <c r="B8" s="3"/>
      <c r="C8" s="3"/>
      <c r="D8" s="1970"/>
      <c r="E8" s="1970"/>
      <c r="F8" s="3"/>
      <c r="G8" s="3"/>
      <c r="H8" s="1970"/>
      <c r="I8" s="1970"/>
      <c r="J8" s="3"/>
      <c r="K8" s="3"/>
      <c r="L8" s="1970"/>
      <c r="M8" s="1970"/>
      <c r="N8" s="3"/>
      <c r="O8" s="3"/>
      <c r="P8" s="1970"/>
      <c r="Q8" s="1970"/>
      <c r="R8" s="3"/>
      <c r="S8" s="3"/>
      <c r="T8" s="1970" t="s">
        <v>214</v>
      </c>
      <c r="U8" s="1970"/>
    </row>
    <row r="9" spans="1:21" ht="12.75" customHeight="1" thickBot="1">
      <c r="A9" s="2226" t="s">
        <v>520</v>
      </c>
      <c r="B9" s="2223" t="s">
        <v>521</v>
      </c>
      <c r="C9" s="2221" t="s">
        <v>522</v>
      </c>
      <c r="D9" s="2221"/>
      <c r="E9" s="2222"/>
      <c r="F9" s="2223" t="s">
        <v>521</v>
      </c>
      <c r="G9" s="2221" t="s">
        <v>1157</v>
      </c>
      <c r="H9" s="2221"/>
      <c r="I9" s="2222"/>
      <c r="J9" s="2223" t="s">
        <v>521</v>
      </c>
      <c r="K9" s="2221" t="s">
        <v>1178</v>
      </c>
      <c r="L9" s="2221"/>
      <c r="M9" s="2222"/>
      <c r="N9" s="2223" t="s">
        <v>521</v>
      </c>
      <c r="O9" s="2221" t="s">
        <v>1250</v>
      </c>
      <c r="P9" s="2221"/>
      <c r="Q9" s="2222"/>
      <c r="R9" s="2223" t="s">
        <v>521</v>
      </c>
      <c r="S9" s="2221" t="s">
        <v>1267</v>
      </c>
      <c r="T9" s="2221"/>
      <c r="U9" s="2222"/>
    </row>
    <row r="10" spans="1:21" ht="33.75" customHeight="1">
      <c r="A10" s="2227"/>
      <c r="B10" s="2224"/>
      <c r="C10" s="222" t="s">
        <v>523</v>
      </c>
      <c r="D10" s="222" t="s">
        <v>524</v>
      </c>
      <c r="E10" s="680" t="s">
        <v>525</v>
      </c>
      <c r="F10" s="2224"/>
      <c r="G10" s="222" t="s">
        <v>523</v>
      </c>
      <c r="H10" s="222" t="s">
        <v>524</v>
      </c>
      <c r="I10" s="680" t="s">
        <v>525</v>
      </c>
      <c r="J10" s="2224"/>
      <c r="K10" s="222" t="s">
        <v>523</v>
      </c>
      <c r="L10" s="222" t="s">
        <v>524</v>
      </c>
      <c r="M10" s="680" t="s">
        <v>525</v>
      </c>
      <c r="N10" s="2224"/>
      <c r="O10" s="222" t="s">
        <v>523</v>
      </c>
      <c r="P10" s="222" t="s">
        <v>524</v>
      </c>
      <c r="Q10" s="680" t="s">
        <v>525</v>
      </c>
      <c r="R10" s="2224"/>
      <c r="S10" s="222" t="s">
        <v>523</v>
      </c>
      <c r="T10" s="222" t="s">
        <v>524</v>
      </c>
      <c r="U10" s="680" t="s">
        <v>525</v>
      </c>
    </row>
    <row r="11" spans="1:21" ht="15" customHeight="1">
      <c r="A11" s="694" t="s">
        <v>899</v>
      </c>
      <c r="B11" s="681">
        <f aca="true" t="shared" si="0" ref="B11:I11">SUM(B12:B29)</f>
        <v>949855995</v>
      </c>
      <c r="C11" s="62">
        <f t="shared" si="0"/>
        <v>895226354</v>
      </c>
      <c r="D11" s="62">
        <f t="shared" si="0"/>
        <v>54629641</v>
      </c>
      <c r="E11" s="421">
        <f t="shared" si="0"/>
        <v>0</v>
      </c>
      <c r="F11" s="681">
        <f t="shared" si="0"/>
        <v>1139563474</v>
      </c>
      <c r="G11" s="62">
        <f>SUM(G12:G29)</f>
        <v>1087096575</v>
      </c>
      <c r="H11" s="62">
        <f t="shared" si="0"/>
        <v>52466899</v>
      </c>
      <c r="I11" s="421">
        <f t="shared" si="0"/>
        <v>0</v>
      </c>
      <c r="J11" s="681">
        <f aca="true" t="shared" si="1" ref="J11:Q11">SUM(J12:J29)</f>
        <v>1178285678</v>
      </c>
      <c r="K11" s="62">
        <f t="shared" si="1"/>
        <v>469435676</v>
      </c>
      <c r="L11" s="62">
        <f t="shared" si="1"/>
        <v>708850002</v>
      </c>
      <c r="M11" s="421">
        <f t="shared" si="1"/>
        <v>0</v>
      </c>
      <c r="N11" s="681">
        <f t="shared" si="1"/>
        <v>1179148216</v>
      </c>
      <c r="O11" s="62">
        <f t="shared" si="1"/>
        <v>473381177</v>
      </c>
      <c r="P11" s="62">
        <f t="shared" si="1"/>
        <v>705767039</v>
      </c>
      <c r="Q11" s="421">
        <f t="shared" si="1"/>
        <v>0</v>
      </c>
      <c r="R11" s="681">
        <f>SUM(R12:R29)</f>
        <v>1284499498</v>
      </c>
      <c r="S11" s="62">
        <f>SUM(S12:S29)</f>
        <v>579099092</v>
      </c>
      <c r="T11" s="62">
        <f>SUM(T12:T29)</f>
        <v>705400406</v>
      </c>
      <c r="U11" s="421">
        <f>SUM(U12:U29)</f>
        <v>0</v>
      </c>
    </row>
    <row r="12" spans="1:21" ht="15" customHeight="1">
      <c r="A12" s="695" t="s">
        <v>652</v>
      </c>
      <c r="B12" s="682">
        <f>SUM(C12:E12)</f>
        <v>0</v>
      </c>
      <c r="C12" s="116"/>
      <c r="D12" s="116">
        <v>0</v>
      </c>
      <c r="E12" s="683"/>
      <c r="F12" s="682">
        <f>SUM(G12:I12)</f>
        <v>0</v>
      </c>
      <c r="G12" s="116"/>
      <c r="H12" s="116">
        <v>0</v>
      </c>
      <c r="I12" s="683"/>
      <c r="J12" s="682">
        <f>SUM(K12:M12)</f>
        <v>0</v>
      </c>
      <c r="K12" s="116"/>
      <c r="L12" s="116">
        <v>0</v>
      </c>
      <c r="M12" s="683"/>
      <c r="N12" s="682">
        <f>SUM(O12:Q12)</f>
        <v>0</v>
      </c>
      <c r="O12" s="116"/>
      <c r="P12" s="116">
        <v>0</v>
      </c>
      <c r="Q12" s="683"/>
      <c r="R12" s="682">
        <f>SUM(S12:U12)</f>
        <v>0</v>
      </c>
      <c r="S12" s="116"/>
      <c r="T12" s="116">
        <v>0</v>
      </c>
      <c r="U12" s="683"/>
    </row>
    <row r="13" spans="1:21" ht="15" customHeight="1">
      <c r="A13" s="695" t="s">
        <v>248</v>
      </c>
      <c r="B13" s="682">
        <f aca="true" t="shared" si="2" ref="B13:B24">SUM(C13:E13)</f>
        <v>200000</v>
      </c>
      <c r="C13" s="116"/>
      <c r="D13" s="116">
        <v>200000</v>
      </c>
      <c r="E13" s="683"/>
      <c r="F13" s="682">
        <f aca="true" t="shared" si="3" ref="F13:F24">SUM(G13:I13)</f>
        <v>200000</v>
      </c>
      <c r="G13" s="116"/>
      <c r="H13" s="116">
        <v>200000</v>
      </c>
      <c r="I13" s="683"/>
      <c r="J13" s="682">
        <f aca="true" t="shared" si="4" ref="J13:J24">SUM(K13:M13)</f>
        <v>200000</v>
      </c>
      <c r="K13" s="116"/>
      <c r="L13" s="116">
        <v>200000</v>
      </c>
      <c r="M13" s="683"/>
      <c r="N13" s="682">
        <f aca="true" t="shared" si="5" ref="N13:N24">SUM(O13:Q13)</f>
        <v>200000</v>
      </c>
      <c r="O13" s="116"/>
      <c r="P13" s="116">
        <v>200000</v>
      </c>
      <c r="Q13" s="683"/>
      <c r="R13" s="682">
        <f aca="true" t="shared" si="6" ref="R13:R24">SUM(S13:U13)</f>
        <v>200000</v>
      </c>
      <c r="S13" s="116"/>
      <c r="T13" s="116">
        <v>200000</v>
      </c>
      <c r="U13" s="683"/>
    </row>
    <row r="14" spans="1:21" ht="15" customHeight="1">
      <c r="A14" s="695" t="s">
        <v>253</v>
      </c>
      <c r="B14" s="682">
        <f t="shared" si="2"/>
        <v>7000000</v>
      </c>
      <c r="C14" s="223">
        <v>7000000</v>
      </c>
      <c r="D14" s="116"/>
      <c r="E14" s="683"/>
      <c r="F14" s="682">
        <f t="shared" si="3"/>
        <v>7000000</v>
      </c>
      <c r="G14" s="223">
        <v>7000000</v>
      </c>
      <c r="H14" s="116"/>
      <c r="I14" s="683"/>
      <c r="J14" s="682">
        <f t="shared" si="4"/>
        <v>7000000</v>
      </c>
      <c r="K14" s="223">
        <v>7000000</v>
      </c>
      <c r="L14" s="116"/>
      <c r="M14" s="683"/>
      <c r="N14" s="682">
        <f t="shared" si="5"/>
        <v>7000000</v>
      </c>
      <c r="O14" s="223">
        <v>7000000</v>
      </c>
      <c r="P14" s="116"/>
      <c r="Q14" s="683"/>
      <c r="R14" s="682">
        <f t="shared" si="6"/>
        <v>7000000</v>
      </c>
      <c r="S14" s="223">
        <v>7000000</v>
      </c>
      <c r="T14" s="116"/>
      <c r="U14" s="683"/>
    </row>
    <row r="15" spans="1:21" ht="15" customHeight="1">
      <c r="A15" s="695" t="s">
        <v>653</v>
      </c>
      <c r="B15" s="682">
        <f t="shared" si="2"/>
        <v>100000</v>
      </c>
      <c r="C15" s="116">
        <v>100000</v>
      </c>
      <c r="D15" s="116"/>
      <c r="E15" s="683"/>
      <c r="F15" s="682">
        <f t="shared" si="3"/>
        <v>100000</v>
      </c>
      <c r="G15" s="116">
        <v>100000</v>
      </c>
      <c r="H15" s="116"/>
      <c r="I15" s="683"/>
      <c r="J15" s="682">
        <f t="shared" si="4"/>
        <v>100000</v>
      </c>
      <c r="K15" s="116">
        <v>100000</v>
      </c>
      <c r="L15" s="116"/>
      <c r="M15" s="683"/>
      <c r="N15" s="682">
        <f t="shared" si="5"/>
        <v>100000</v>
      </c>
      <c r="O15" s="116">
        <v>100000</v>
      </c>
      <c r="P15" s="116"/>
      <c r="Q15" s="683"/>
      <c r="R15" s="682">
        <f t="shared" si="6"/>
        <v>100000</v>
      </c>
      <c r="S15" s="116">
        <v>100000</v>
      </c>
      <c r="T15" s="116"/>
      <c r="U15" s="683"/>
    </row>
    <row r="16" spans="1:21" ht="15" customHeight="1">
      <c r="A16" s="695" t="s">
        <v>255</v>
      </c>
      <c r="B16" s="682">
        <f t="shared" si="2"/>
        <v>0</v>
      </c>
      <c r="C16" s="116"/>
      <c r="D16" s="116"/>
      <c r="E16" s="683"/>
      <c r="F16" s="682">
        <f t="shared" si="3"/>
        <v>0</v>
      </c>
      <c r="G16" s="116"/>
      <c r="H16" s="116"/>
      <c r="I16" s="683"/>
      <c r="J16" s="682">
        <f t="shared" si="4"/>
        <v>4112979</v>
      </c>
      <c r="K16" s="116">
        <v>4112979</v>
      </c>
      <c r="L16" s="116"/>
      <c r="M16" s="683"/>
      <c r="N16" s="682">
        <f t="shared" si="5"/>
        <v>4112979</v>
      </c>
      <c r="O16" s="116">
        <v>4112979</v>
      </c>
      <c r="P16" s="116"/>
      <c r="Q16" s="683"/>
      <c r="R16" s="682">
        <f t="shared" si="6"/>
        <v>4112979</v>
      </c>
      <c r="S16" s="116">
        <v>4112979</v>
      </c>
      <c r="T16" s="116"/>
      <c r="U16" s="683"/>
    </row>
    <row r="17" spans="1:21" ht="15" customHeight="1">
      <c r="A17" s="695" t="s">
        <v>654</v>
      </c>
      <c r="B17" s="682">
        <f t="shared" si="2"/>
        <v>200000</v>
      </c>
      <c r="C17" s="116">
        <v>200000</v>
      </c>
      <c r="D17" s="116"/>
      <c r="E17" s="683"/>
      <c r="F17" s="682">
        <f t="shared" si="3"/>
        <v>200000</v>
      </c>
      <c r="G17" s="116">
        <v>200000</v>
      </c>
      <c r="H17" s="116"/>
      <c r="I17" s="683"/>
      <c r="J17" s="682">
        <f t="shared" si="4"/>
        <v>200000</v>
      </c>
      <c r="K17" s="116">
        <v>200000</v>
      </c>
      <c r="L17" s="116"/>
      <c r="M17" s="683"/>
      <c r="N17" s="682">
        <f t="shared" si="5"/>
        <v>200000</v>
      </c>
      <c r="O17" s="116">
        <v>200000</v>
      </c>
      <c r="P17" s="116"/>
      <c r="Q17" s="683"/>
      <c r="R17" s="682">
        <f t="shared" si="6"/>
        <v>200000</v>
      </c>
      <c r="S17" s="116">
        <v>200000</v>
      </c>
      <c r="T17" s="116"/>
      <c r="U17" s="683"/>
    </row>
    <row r="18" spans="1:21" ht="15" customHeight="1">
      <c r="A18" s="695" t="s">
        <v>655</v>
      </c>
      <c r="B18" s="682">
        <f t="shared" si="2"/>
        <v>0</v>
      </c>
      <c r="C18" s="116"/>
      <c r="D18" s="116"/>
      <c r="E18" s="683"/>
      <c r="F18" s="682">
        <f t="shared" si="3"/>
        <v>0</v>
      </c>
      <c r="G18" s="116"/>
      <c r="H18" s="116"/>
      <c r="I18" s="683"/>
      <c r="J18" s="682">
        <f t="shared" si="4"/>
        <v>0</v>
      </c>
      <c r="K18" s="116"/>
      <c r="L18" s="116"/>
      <c r="M18" s="683"/>
      <c r="N18" s="682">
        <f t="shared" si="5"/>
        <v>0</v>
      </c>
      <c r="O18" s="116"/>
      <c r="P18" s="116"/>
      <c r="Q18" s="683"/>
      <c r="R18" s="682">
        <f t="shared" si="6"/>
        <v>0</v>
      </c>
      <c r="S18" s="116"/>
      <c r="T18" s="116"/>
      <c r="U18" s="683"/>
    </row>
    <row r="19" spans="1:21" ht="15" customHeight="1">
      <c r="A19" s="1549" t="s">
        <v>938</v>
      </c>
      <c r="B19" s="682">
        <f t="shared" si="2"/>
        <v>38291741</v>
      </c>
      <c r="C19" s="116"/>
      <c r="D19" s="116">
        <v>38291741</v>
      </c>
      <c r="E19" s="683"/>
      <c r="F19" s="682">
        <f t="shared" si="3"/>
        <v>35778999</v>
      </c>
      <c r="G19" s="116"/>
      <c r="H19" s="116">
        <v>35778999</v>
      </c>
      <c r="I19" s="683"/>
      <c r="J19" s="682">
        <f t="shared" si="4"/>
        <v>0</v>
      </c>
      <c r="K19" s="116"/>
      <c r="L19" s="116">
        <v>0</v>
      </c>
      <c r="M19" s="683"/>
      <c r="N19" s="682">
        <f t="shared" si="5"/>
        <v>0</v>
      </c>
      <c r="O19" s="116"/>
      <c r="P19" s="116">
        <v>0</v>
      </c>
      <c r="Q19" s="683"/>
      <c r="R19" s="682">
        <f t="shared" si="6"/>
        <v>0</v>
      </c>
      <c r="S19" s="116"/>
      <c r="T19" s="116">
        <v>0</v>
      </c>
      <c r="U19" s="683"/>
    </row>
    <row r="20" spans="1:21" ht="15" customHeight="1">
      <c r="A20" s="1549" t="s">
        <v>1248</v>
      </c>
      <c r="B20" s="682"/>
      <c r="C20" s="116"/>
      <c r="D20" s="116"/>
      <c r="E20" s="683"/>
      <c r="F20" s="682"/>
      <c r="G20" s="116"/>
      <c r="H20" s="116"/>
      <c r="I20" s="683"/>
      <c r="J20" s="682">
        <f t="shared" si="4"/>
        <v>1181118</v>
      </c>
      <c r="K20" s="116"/>
      <c r="L20" s="116">
        <v>1181118</v>
      </c>
      <c r="M20" s="683"/>
      <c r="N20" s="682">
        <f t="shared" si="5"/>
        <v>1012031</v>
      </c>
      <c r="O20" s="116"/>
      <c r="P20" s="116">
        <v>1012031</v>
      </c>
      <c r="Q20" s="683"/>
      <c r="R20" s="682">
        <f t="shared" si="6"/>
        <v>628398</v>
      </c>
      <c r="S20" s="116"/>
      <c r="T20" s="116">
        <v>628398</v>
      </c>
      <c r="U20" s="683"/>
    </row>
    <row r="21" spans="1:21" ht="31.5" customHeight="1">
      <c r="A21" s="1550" t="s">
        <v>940</v>
      </c>
      <c r="B21" s="682">
        <f t="shared" si="2"/>
        <v>3453000</v>
      </c>
      <c r="C21" s="116">
        <v>3453000</v>
      </c>
      <c r="D21" s="116"/>
      <c r="E21" s="683"/>
      <c r="F21" s="682">
        <f t="shared" si="3"/>
        <v>3803000</v>
      </c>
      <c r="G21" s="116">
        <v>3453000</v>
      </c>
      <c r="H21" s="116">
        <v>350000</v>
      </c>
      <c r="I21" s="683"/>
      <c r="J21" s="682">
        <f t="shared" si="4"/>
        <v>3453000</v>
      </c>
      <c r="K21" s="116">
        <v>3453000</v>
      </c>
      <c r="L21" s="116"/>
      <c r="M21" s="683"/>
      <c r="N21" s="682">
        <f t="shared" si="5"/>
        <v>3453000</v>
      </c>
      <c r="O21" s="116">
        <v>3453000</v>
      </c>
      <c r="P21" s="116"/>
      <c r="Q21" s="683"/>
      <c r="R21" s="682">
        <f t="shared" si="6"/>
        <v>4980000</v>
      </c>
      <c r="S21" s="116">
        <v>4980000</v>
      </c>
      <c r="T21" s="116"/>
      <c r="U21" s="683"/>
    </row>
    <row r="22" spans="1:21" ht="15" customHeight="1">
      <c r="A22" s="695" t="s">
        <v>656</v>
      </c>
      <c r="B22" s="682">
        <f t="shared" si="2"/>
        <v>539868521</v>
      </c>
      <c r="C22" s="116">
        <v>539868521</v>
      </c>
      <c r="D22" s="116"/>
      <c r="E22" s="683"/>
      <c r="F22" s="682">
        <f t="shared" si="3"/>
        <v>731315197</v>
      </c>
      <c r="G22" s="116">
        <v>731315197</v>
      </c>
      <c r="H22" s="116"/>
      <c r="I22" s="683"/>
      <c r="J22" s="682">
        <f t="shared" si="4"/>
        <v>762054649</v>
      </c>
      <c r="K22" s="116">
        <f>762054649-691330984</f>
        <v>70723665</v>
      </c>
      <c r="L22" s="116">
        <v>691330984</v>
      </c>
      <c r="M22" s="683"/>
      <c r="N22" s="682">
        <f t="shared" si="5"/>
        <v>759140773</v>
      </c>
      <c r="O22" s="116">
        <f>762054649-691330984</f>
        <v>70723665</v>
      </c>
      <c r="P22" s="116">
        <v>688417108</v>
      </c>
      <c r="Q22" s="683"/>
      <c r="R22" s="682">
        <f t="shared" si="6"/>
        <v>857583373</v>
      </c>
      <c r="S22" s="116">
        <v>169166265</v>
      </c>
      <c r="T22" s="116">
        <v>688417108</v>
      </c>
      <c r="U22" s="683"/>
    </row>
    <row r="23" spans="1:21" ht="15" customHeight="1">
      <c r="A23" s="695" t="s">
        <v>630</v>
      </c>
      <c r="B23" s="682">
        <f t="shared" si="2"/>
        <v>435723</v>
      </c>
      <c r="C23" s="116">
        <v>435723</v>
      </c>
      <c r="D23" s="116"/>
      <c r="E23" s="683"/>
      <c r="F23" s="682">
        <f t="shared" si="3"/>
        <v>435723</v>
      </c>
      <c r="G23" s="116">
        <v>435723</v>
      </c>
      <c r="H23" s="116"/>
      <c r="I23" s="683"/>
      <c r="J23" s="682">
        <f t="shared" si="4"/>
        <v>585492</v>
      </c>
      <c r="K23" s="116">
        <v>585492</v>
      </c>
      <c r="L23" s="116"/>
      <c r="M23" s="683"/>
      <c r="N23" s="682">
        <f t="shared" si="5"/>
        <v>585492</v>
      </c>
      <c r="O23" s="116">
        <v>585492</v>
      </c>
      <c r="P23" s="116"/>
      <c r="Q23" s="683"/>
      <c r="R23" s="682">
        <f t="shared" si="6"/>
        <v>655878</v>
      </c>
      <c r="S23" s="116">
        <v>655878</v>
      </c>
      <c r="T23" s="116"/>
      <c r="U23" s="683"/>
    </row>
    <row r="24" spans="1:21" ht="15" customHeight="1">
      <c r="A24" s="695" t="s">
        <v>642</v>
      </c>
      <c r="B24" s="682">
        <f t="shared" si="2"/>
        <v>8251931</v>
      </c>
      <c r="C24" s="116">
        <v>8251931</v>
      </c>
      <c r="D24" s="116"/>
      <c r="E24" s="683"/>
      <c r="F24" s="682">
        <f t="shared" si="3"/>
        <v>8432007</v>
      </c>
      <c r="G24" s="116">
        <v>8432007</v>
      </c>
      <c r="H24" s="116"/>
      <c r="I24" s="683"/>
      <c r="J24" s="682">
        <f t="shared" si="4"/>
        <v>8432007</v>
      </c>
      <c r="K24" s="116">
        <v>8432007</v>
      </c>
      <c r="L24" s="116"/>
      <c r="M24" s="683"/>
      <c r="N24" s="682">
        <f t="shared" si="5"/>
        <v>8835048</v>
      </c>
      <c r="O24" s="116">
        <v>8835048</v>
      </c>
      <c r="P24" s="116"/>
      <c r="Q24" s="683"/>
      <c r="R24" s="682">
        <f t="shared" si="6"/>
        <v>8830789</v>
      </c>
      <c r="S24" s="116">
        <v>8830789</v>
      </c>
      <c r="T24" s="116"/>
      <c r="U24" s="683"/>
    </row>
    <row r="25" spans="1:21" ht="15" customHeight="1">
      <c r="A25" s="696" t="s">
        <v>1156</v>
      </c>
      <c r="B25" s="682">
        <v>16137900</v>
      </c>
      <c r="C25" s="225"/>
      <c r="D25" s="225">
        <v>16137900</v>
      </c>
      <c r="E25" s="684"/>
      <c r="F25" s="682">
        <v>16137900</v>
      </c>
      <c r="G25" s="225"/>
      <c r="H25" s="225">
        <v>16137900</v>
      </c>
      <c r="I25" s="684"/>
      <c r="J25" s="682">
        <v>16137900</v>
      </c>
      <c r="K25" s="225"/>
      <c r="L25" s="225">
        <v>16137900</v>
      </c>
      <c r="M25" s="684"/>
      <c r="N25" s="682">
        <v>16137900</v>
      </c>
      <c r="O25" s="225"/>
      <c r="P25" s="225">
        <v>16137900</v>
      </c>
      <c r="Q25" s="684"/>
      <c r="R25" s="682">
        <v>16154900</v>
      </c>
      <c r="S25" s="225"/>
      <c r="T25" s="225">
        <v>16154900</v>
      </c>
      <c r="U25" s="684"/>
    </row>
    <row r="26" spans="1:21" ht="15" customHeight="1">
      <c r="A26" s="696" t="s">
        <v>1062</v>
      </c>
      <c r="B26" s="682"/>
      <c r="C26" s="225"/>
      <c r="D26" s="225"/>
      <c r="E26" s="684"/>
      <c r="F26" s="682"/>
      <c r="G26" s="225"/>
      <c r="H26" s="225"/>
      <c r="I26" s="684"/>
      <c r="J26" s="682"/>
      <c r="K26" s="225"/>
      <c r="L26" s="225"/>
      <c r="M26" s="684"/>
      <c r="N26" s="682"/>
      <c r="O26" s="225"/>
      <c r="P26" s="225"/>
      <c r="Q26" s="684"/>
      <c r="R26" s="682"/>
      <c r="S26" s="225"/>
      <c r="T26" s="225"/>
      <c r="U26" s="684"/>
    </row>
    <row r="27" spans="1:21" ht="24" customHeight="1">
      <c r="A27" s="1594" t="s">
        <v>1176</v>
      </c>
      <c r="B27" s="682"/>
      <c r="C27" s="225"/>
      <c r="D27" s="225"/>
      <c r="E27" s="684"/>
      <c r="F27" s="682">
        <v>2000000</v>
      </c>
      <c r="G27" s="225">
        <v>2000000</v>
      </c>
      <c r="H27" s="225"/>
      <c r="I27" s="684"/>
      <c r="J27" s="682">
        <v>2000000</v>
      </c>
      <c r="K27" s="225">
        <v>2000000</v>
      </c>
      <c r="L27" s="225"/>
      <c r="M27" s="684"/>
      <c r="N27" s="682">
        <v>2000000</v>
      </c>
      <c r="O27" s="225">
        <v>2000000</v>
      </c>
      <c r="P27" s="225"/>
      <c r="Q27" s="684"/>
      <c r="R27" s="682">
        <v>2000000</v>
      </c>
      <c r="S27" s="225">
        <v>2000000</v>
      </c>
      <c r="T27" s="225"/>
      <c r="U27" s="684"/>
    </row>
    <row r="28" spans="1:21" ht="15" customHeight="1">
      <c r="A28" s="1551" t="s">
        <v>910</v>
      </c>
      <c r="B28" s="682">
        <f>SUM(C28)</f>
        <v>6480000</v>
      </c>
      <c r="C28" s="225">
        <v>6480000</v>
      </c>
      <c r="D28" s="225"/>
      <c r="E28" s="684"/>
      <c r="F28" s="682">
        <f>SUM(G28)</f>
        <v>6480000</v>
      </c>
      <c r="G28" s="225">
        <v>6480000</v>
      </c>
      <c r="H28" s="225"/>
      <c r="I28" s="684"/>
      <c r="J28" s="682">
        <f>SUM(K28)</f>
        <v>7810000</v>
      </c>
      <c r="K28" s="225">
        <v>7810000</v>
      </c>
      <c r="L28" s="225"/>
      <c r="M28" s="684"/>
      <c r="N28" s="682">
        <f>SUM(O28)</f>
        <v>7990000</v>
      </c>
      <c r="O28" s="225">
        <v>7990000</v>
      </c>
      <c r="P28" s="225"/>
      <c r="Q28" s="684"/>
      <c r="R28" s="682">
        <f>SUM(S28)</f>
        <v>7990000</v>
      </c>
      <c r="S28" s="225">
        <v>7990000</v>
      </c>
      <c r="T28" s="225"/>
      <c r="U28" s="684"/>
    </row>
    <row r="29" spans="1:21" ht="15" customHeight="1" thickBot="1">
      <c r="A29" s="696" t="s">
        <v>610</v>
      </c>
      <c r="B29" s="682">
        <f>SUM(C29)</f>
        <v>329437179</v>
      </c>
      <c r="C29" s="225">
        <v>329437179</v>
      </c>
      <c r="D29" s="608"/>
      <c r="E29" s="684"/>
      <c r="F29" s="682">
        <f>SUM(G29)</f>
        <v>327680648</v>
      </c>
      <c r="G29" s="225">
        <v>327680648</v>
      </c>
      <c r="H29" s="608"/>
      <c r="I29" s="684"/>
      <c r="J29" s="682">
        <f>SUM(K29)</f>
        <v>365018533</v>
      </c>
      <c r="K29" s="225">
        <v>365018533</v>
      </c>
      <c r="L29" s="608"/>
      <c r="M29" s="684"/>
      <c r="N29" s="682">
        <f>SUM(O29)</f>
        <v>368380993</v>
      </c>
      <c r="O29" s="225">
        <v>368380993</v>
      </c>
      <c r="P29" s="608"/>
      <c r="Q29" s="684"/>
      <c r="R29" s="682">
        <f>SUM(S29)</f>
        <v>374063181</v>
      </c>
      <c r="S29" s="225">
        <v>374063181</v>
      </c>
      <c r="T29" s="608"/>
      <c r="U29" s="684"/>
    </row>
    <row r="30" spans="1:21" s="10" customFormat="1" ht="39" customHeight="1" thickBot="1">
      <c r="A30" s="819" t="s">
        <v>242</v>
      </c>
      <c r="B30" s="685">
        <f>SUM(B31:B39)</f>
        <v>103172725</v>
      </c>
      <c r="C30" s="609">
        <f>SUM(C31:C39)</f>
        <v>92552927</v>
      </c>
      <c r="D30" s="609">
        <f>SUM(D31:D39)</f>
        <v>10619798</v>
      </c>
      <c r="E30" s="610">
        <f>SUM(E34:E39)</f>
        <v>0</v>
      </c>
      <c r="F30" s="685">
        <f>SUM(F31:F39)</f>
        <v>100032622</v>
      </c>
      <c r="G30" s="609">
        <f>SUM(G31:G39)</f>
        <v>89412824</v>
      </c>
      <c r="H30" s="609">
        <f>SUM(H31:H39)</f>
        <v>10619798</v>
      </c>
      <c r="I30" s="610">
        <f>SUM(I34:I39)</f>
        <v>0</v>
      </c>
      <c r="J30" s="685">
        <f>SUM(J31:J39)</f>
        <v>100095654</v>
      </c>
      <c r="K30" s="609">
        <f>SUM(K31:K39)</f>
        <v>89475856</v>
      </c>
      <c r="L30" s="609">
        <f>SUM(L31:L39)</f>
        <v>10619798</v>
      </c>
      <c r="M30" s="610">
        <f>SUM(M34:M39)</f>
        <v>0</v>
      </c>
      <c r="N30" s="685">
        <f>SUM(N31:N39)</f>
        <v>101529210</v>
      </c>
      <c r="O30" s="609">
        <f>SUM(O31:O39)</f>
        <v>90909412</v>
      </c>
      <c r="P30" s="609">
        <f>SUM(P31:P39)</f>
        <v>10619798</v>
      </c>
      <c r="Q30" s="610">
        <f>SUM(Q34:Q39)</f>
        <v>0</v>
      </c>
      <c r="R30" s="685">
        <f>SUM(R31:R39)</f>
        <v>116840128</v>
      </c>
      <c r="S30" s="609">
        <f>SUM(S31:S39)</f>
        <v>106220330</v>
      </c>
      <c r="T30" s="609">
        <f>SUM(T31:T39)</f>
        <v>10619798</v>
      </c>
      <c r="U30" s="610">
        <f>SUM(U34:U39)</f>
        <v>0</v>
      </c>
    </row>
    <row r="31" spans="1:21" ht="15" customHeight="1">
      <c r="A31" s="697" t="s">
        <v>373</v>
      </c>
      <c r="B31" s="686">
        <f>SUM(C31:E31)</f>
        <v>37122932</v>
      </c>
      <c r="C31" s="228">
        <v>37122932</v>
      </c>
      <c r="D31" s="228"/>
      <c r="E31" s="687"/>
      <c r="F31" s="686">
        <f>SUM(G31:I31)</f>
        <v>33949106</v>
      </c>
      <c r="G31" s="228">
        <v>33949106</v>
      </c>
      <c r="H31" s="228"/>
      <c r="I31" s="687"/>
      <c r="J31" s="686">
        <f>SUM(K31:M31)</f>
        <v>33949106</v>
      </c>
      <c r="K31" s="228">
        <v>33949106</v>
      </c>
      <c r="L31" s="228"/>
      <c r="M31" s="687"/>
      <c r="N31" s="686">
        <f>SUM(O31:Q31)</f>
        <v>33949106</v>
      </c>
      <c r="O31" s="228">
        <v>33949106</v>
      </c>
      <c r="P31" s="228"/>
      <c r="Q31" s="687"/>
      <c r="R31" s="686">
        <f>SUM(S31:U31)</f>
        <v>33949106</v>
      </c>
      <c r="S31" s="228">
        <v>33949106</v>
      </c>
      <c r="T31" s="228"/>
      <c r="U31" s="687"/>
    </row>
    <row r="32" spans="1:21" ht="15" customHeight="1">
      <c r="A32" s="695" t="s">
        <v>378</v>
      </c>
      <c r="B32" s="686">
        <f aca="true" t="shared" si="7" ref="B32:B39">SUM(C32:E32)</f>
        <v>10619798</v>
      </c>
      <c r="C32" s="116"/>
      <c r="D32" s="116">
        <v>10619798</v>
      </c>
      <c r="E32" s="683"/>
      <c r="F32" s="686">
        <f aca="true" t="shared" si="8" ref="F32:F39">SUM(G32:I32)</f>
        <v>10619798</v>
      </c>
      <c r="G32" s="116"/>
      <c r="H32" s="116">
        <v>10619798</v>
      </c>
      <c r="I32" s="683"/>
      <c r="J32" s="686">
        <f aca="true" t="shared" si="9" ref="J32:J39">SUM(K32:M32)</f>
        <v>10619798</v>
      </c>
      <c r="K32" s="116"/>
      <c r="L32" s="116">
        <v>10619798</v>
      </c>
      <c r="M32" s="683"/>
      <c r="N32" s="686">
        <f aca="true" t="shared" si="10" ref="N32:N39">SUM(O32:Q32)</f>
        <v>10619798</v>
      </c>
      <c r="O32" s="116"/>
      <c r="P32" s="116">
        <v>10619798</v>
      </c>
      <c r="Q32" s="683"/>
      <c r="R32" s="686">
        <f aca="true" t="shared" si="11" ref="R32:R39">SUM(S32:U32)</f>
        <v>10619798</v>
      </c>
      <c r="S32" s="116"/>
      <c r="T32" s="116">
        <v>10619798</v>
      </c>
      <c r="U32" s="683"/>
    </row>
    <row r="33" spans="1:21" ht="15" customHeight="1">
      <c r="A33" s="695" t="s">
        <v>383</v>
      </c>
      <c r="B33" s="686">
        <f t="shared" si="7"/>
        <v>0</v>
      </c>
      <c r="C33" s="116"/>
      <c r="D33" s="116"/>
      <c r="E33" s="683"/>
      <c r="F33" s="686">
        <f t="shared" si="8"/>
        <v>0</v>
      </c>
      <c r="G33" s="116"/>
      <c r="H33" s="116"/>
      <c r="I33" s="683"/>
      <c r="J33" s="686">
        <f t="shared" si="9"/>
        <v>0</v>
      </c>
      <c r="K33" s="116"/>
      <c r="L33" s="116"/>
      <c r="M33" s="683"/>
      <c r="N33" s="686">
        <f t="shared" si="10"/>
        <v>0</v>
      </c>
      <c r="O33" s="116"/>
      <c r="P33" s="116"/>
      <c r="Q33" s="683"/>
      <c r="R33" s="686">
        <f t="shared" si="11"/>
        <v>0</v>
      </c>
      <c r="S33" s="116"/>
      <c r="T33" s="116"/>
      <c r="U33" s="683"/>
    </row>
    <row r="34" spans="1:21" ht="15" customHeight="1">
      <c r="A34" s="695" t="s">
        <v>526</v>
      </c>
      <c r="B34" s="686">
        <f t="shared" si="7"/>
        <v>500000</v>
      </c>
      <c r="C34" s="116">
        <v>500000</v>
      </c>
      <c r="D34" s="116"/>
      <c r="E34" s="683"/>
      <c r="F34" s="686">
        <f t="shared" si="8"/>
        <v>500000</v>
      </c>
      <c r="G34" s="116">
        <v>500000</v>
      </c>
      <c r="H34" s="116"/>
      <c r="I34" s="683"/>
      <c r="J34" s="686">
        <f t="shared" si="9"/>
        <v>500000</v>
      </c>
      <c r="K34" s="116">
        <v>500000</v>
      </c>
      <c r="L34" s="116"/>
      <c r="M34" s="683"/>
      <c r="N34" s="686">
        <f t="shared" si="10"/>
        <v>500000</v>
      </c>
      <c r="O34" s="116">
        <v>500000</v>
      </c>
      <c r="P34" s="116"/>
      <c r="Q34" s="683"/>
      <c r="R34" s="686">
        <f t="shared" si="11"/>
        <v>500000</v>
      </c>
      <c r="S34" s="116">
        <v>500000</v>
      </c>
      <c r="T34" s="116"/>
      <c r="U34" s="683"/>
    </row>
    <row r="35" spans="1:21" ht="15" customHeight="1">
      <c r="A35" s="695" t="s">
        <v>527</v>
      </c>
      <c r="B35" s="686">
        <f t="shared" si="7"/>
        <v>430000</v>
      </c>
      <c r="C35" s="223">
        <v>430000</v>
      </c>
      <c r="D35" s="116"/>
      <c r="E35" s="683"/>
      <c r="F35" s="686">
        <f t="shared" si="8"/>
        <v>430000</v>
      </c>
      <c r="G35" s="223">
        <v>430000</v>
      </c>
      <c r="H35" s="116"/>
      <c r="I35" s="683"/>
      <c r="J35" s="686">
        <f t="shared" si="9"/>
        <v>430000</v>
      </c>
      <c r="K35" s="223">
        <v>430000</v>
      </c>
      <c r="L35" s="116"/>
      <c r="M35" s="683"/>
      <c r="N35" s="686">
        <f t="shared" si="10"/>
        <v>430000</v>
      </c>
      <c r="O35" s="223">
        <v>430000</v>
      </c>
      <c r="P35" s="116"/>
      <c r="Q35" s="683"/>
      <c r="R35" s="686">
        <f t="shared" si="11"/>
        <v>430000</v>
      </c>
      <c r="S35" s="223">
        <v>430000</v>
      </c>
      <c r="T35" s="116"/>
      <c r="U35" s="683"/>
    </row>
    <row r="36" spans="1:21" ht="15" customHeight="1">
      <c r="A36" s="695" t="s">
        <v>1261</v>
      </c>
      <c r="B36" s="686">
        <f t="shared" si="7"/>
        <v>52889995</v>
      </c>
      <c r="C36" s="116">
        <v>52889995</v>
      </c>
      <c r="D36" s="116"/>
      <c r="E36" s="683"/>
      <c r="F36" s="686">
        <f t="shared" si="8"/>
        <v>52923718</v>
      </c>
      <c r="G36" s="116">
        <v>52923718</v>
      </c>
      <c r="H36" s="116"/>
      <c r="I36" s="683"/>
      <c r="J36" s="686">
        <f t="shared" si="9"/>
        <v>52986750</v>
      </c>
      <c r="K36" s="116">
        <v>52986750</v>
      </c>
      <c r="L36" s="116"/>
      <c r="M36" s="683"/>
      <c r="N36" s="686">
        <f t="shared" si="10"/>
        <v>54420306</v>
      </c>
      <c r="O36" s="116">
        <v>54420306</v>
      </c>
      <c r="P36" s="116"/>
      <c r="Q36" s="683"/>
      <c r="R36" s="686">
        <f t="shared" si="11"/>
        <v>69731224</v>
      </c>
      <c r="S36" s="116">
        <v>69731224</v>
      </c>
      <c r="T36" s="116"/>
      <c r="U36" s="683"/>
    </row>
    <row r="37" spans="1:21" ht="15" customHeight="1">
      <c r="A37" s="695" t="s">
        <v>528</v>
      </c>
      <c r="B37" s="686">
        <f t="shared" si="7"/>
        <v>640000</v>
      </c>
      <c r="C37" s="116">
        <v>640000</v>
      </c>
      <c r="D37" s="116"/>
      <c r="E37" s="683"/>
      <c r="F37" s="686">
        <f t="shared" si="8"/>
        <v>640000</v>
      </c>
      <c r="G37" s="116">
        <v>640000</v>
      </c>
      <c r="H37" s="116"/>
      <c r="I37" s="683"/>
      <c r="J37" s="686">
        <f t="shared" si="9"/>
        <v>640000</v>
      </c>
      <c r="K37" s="116">
        <v>640000</v>
      </c>
      <c r="L37" s="116"/>
      <c r="M37" s="683"/>
      <c r="N37" s="686">
        <f t="shared" si="10"/>
        <v>640000</v>
      </c>
      <c r="O37" s="116">
        <v>640000</v>
      </c>
      <c r="P37" s="116"/>
      <c r="Q37" s="683"/>
      <c r="R37" s="686">
        <f t="shared" si="11"/>
        <v>640000</v>
      </c>
      <c r="S37" s="116">
        <v>640000</v>
      </c>
      <c r="T37" s="116"/>
      <c r="U37" s="683"/>
    </row>
    <row r="38" spans="1:21" ht="15" customHeight="1">
      <c r="A38" s="695" t="s">
        <v>529</v>
      </c>
      <c r="B38" s="686">
        <f t="shared" si="7"/>
        <v>720000</v>
      </c>
      <c r="C38" s="116">
        <v>720000</v>
      </c>
      <c r="D38" s="116"/>
      <c r="E38" s="683"/>
      <c r="F38" s="686">
        <f t="shared" si="8"/>
        <v>720000</v>
      </c>
      <c r="G38" s="116">
        <v>720000</v>
      </c>
      <c r="H38" s="116"/>
      <c r="I38" s="683"/>
      <c r="J38" s="686">
        <f t="shared" si="9"/>
        <v>720000</v>
      </c>
      <c r="K38" s="116">
        <v>720000</v>
      </c>
      <c r="L38" s="116"/>
      <c r="M38" s="683"/>
      <c r="N38" s="686">
        <f t="shared" si="10"/>
        <v>720000</v>
      </c>
      <c r="O38" s="116">
        <v>720000</v>
      </c>
      <c r="P38" s="116"/>
      <c r="Q38" s="683"/>
      <c r="R38" s="686">
        <f t="shared" si="11"/>
        <v>720000</v>
      </c>
      <c r="S38" s="116">
        <v>720000</v>
      </c>
      <c r="T38" s="116"/>
      <c r="U38" s="683"/>
    </row>
    <row r="39" spans="1:21" ht="15" customHeight="1" thickBot="1">
      <c r="A39" s="696" t="s">
        <v>530</v>
      </c>
      <c r="B39" s="686">
        <f t="shared" si="7"/>
        <v>250000</v>
      </c>
      <c r="C39" s="225">
        <v>250000</v>
      </c>
      <c r="D39" s="225"/>
      <c r="E39" s="684"/>
      <c r="F39" s="686">
        <f t="shared" si="8"/>
        <v>250000</v>
      </c>
      <c r="G39" s="225">
        <v>250000</v>
      </c>
      <c r="H39" s="225"/>
      <c r="I39" s="684"/>
      <c r="J39" s="686">
        <f t="shared" si="9"/>
        <v>250000</v>
      </c>
      <c r="K39" s="225">
        <v>250000</v>
      </c>
      <c r="L39" s="225"/>
      <c r="M39" s="684"/>
      <c r="N39" s="686">
        <f t="shared" si="10"/>
        <v>250000</v>
      </c>
      <c r="O39" s="225">
        <v>250000</v>
      </c>
      <c r="P39" s="225"/>
      <c r="Q39" s="684"/>
      <c r="R39" s="686">
        <f t="shared" si="11"/>
        <v>250000</v>
      </c>
      <c r="S39" s="225">
        <v>250000</v>
      </c>
      <c r="T39" s="225"/>
      <c r="U39" s="684"/>
    </row>
    <row r="40" spans="1:21" ht="15" customHeight="1" thickBot="1">
      <c r="A40" s="1738" t="s">
        <v>305</v>
      </c>
      <c r="B40" s="1739">
        <f aca="true" t="shared" si="12" ref="B40:I40">SUM(B41:B42)</f>
        <v>99218452</v>
      </c>
      <c r="C40" s="1740">
        <f t="shared" si="12"/>
        <v>96944100</v>
      </c>
      <c r="D40" s="1740">
        <f t="shared" si="12"/>
        <v>2274352</v>
      </c>
      <c r="E40" s="1741">
        <f t="shared" si="12"/>
        <v>0</v>
      </c>
      <c r="F40" s="1739">
        <f t="shared" si="12"/>
        <v>105488509</v>
      </c>
      <c r="G40" s="1740">
        <f t="shared" si="12"/>
        <v>105488509</v>
      </c>
      <c r="H40" s="1740">
        <f t="shared" si="12"/>
        <v>0</v>
      </c>
      <c r="I40" s="1741">
        <f t="shared" si="12"/>
        <v>0</v>
      </c>
      <c r="J40" s="1739">
        <f aca="true" t="shared" si="13" ref="J40:Q40">SUM(J41:J42)</f>
        <v>105488532</v>
      </c>
      <c r="K40" s="1740">
        <f t="shared" si="13"/>
        <v>105488532</v>
      </c>
      <c r="L40" s="1740">
        <f t="shared" si="13"/>
        <v>0</v>
      </c>
      <c r="M40" s="1741">
        <f t="shared" si="13"/>
        <v>0</v>
      </c>
      <c r="N40" s="1739">
        <f t="shared" si="13"/>
        <v>105488541</v>
      </c>
      <c r="O40" s="1740">
        <f t="shared" si="13"/>
        <v>105488541</v>
      </c>
      <c r="P40" s="1740">
        <f t="shared" si="13"/>
        <v>0</v>
      </c>
      <c r="Q40" s="1741">
        <f t="shared" si="13"/>
        <v>0</v>
      </c>
      <c r="R40" s="1739">
        <f>SUM(R41:R42)</f>
        <v>101211543</v>
      </c>
      <c r="S40" s="1740">
        <f>SUM(S41:S42)</f>
        <v>101211543</v>
      </c>
      <c r="T40" s="1740">
        <f>SUM(T41:T42)</f>
        <v>0</v>
      </c>
      <c r="U40" s="1741">
        <f>SUM(U41:U42)</f>
        <v>0</v>
      </c>
    </row>
    <row r="41" spans="1:21" s="114" customFormat="1" ht="15" customHeight="1">
      <c r="A41" s="1308" t="s">
        <v>1147</v>
      </c>
      <c r="B41" s="1309">
        <f>SUM(C41:E41)</f>
        <v>90169179</v>
      </c>
      <c r="C41" s="1310">
        <v>87894827</v>
      </c>
      <c r="D41" s="1310">
        <v>2274352</v>
      </c>
      <c r="E41" s="1311"/>
      <c r="F41" s="1309">
        <f>SUM(G41:I41)</f>
        <v>96002136</v>
      </c>
      <c r="G41" s="1310">
        <v>96002136</v>
      </c>
      <c r="H41" s="1310">
        <v>0</v>
      </c>
      <c r="I41" s="1311"/>
      <c r="J41" s="1309">
        <f>SUM(K41:M41)</f>
        <v>96002159</v>
      </c>
      <c r="K41" s="1310">
        <v>96002159</v>
      </c>
      <c r="L41" s="1310">
        <v>0</v>
      </c>
      <c r="M41" s="1311"/>
      <c r="N41" s="1309">
        <f>SUM(O41:Q41)</f>
        <v>96002168</v>
      </c>
      <c r="O41" s="1310">
        <v>96002168</v>
      </c>
      <c r="P41" s="1310">
        <v>0</v>
      </c>
      <c r="Q41" s="1311"/>
      <c r="R41" s="1309">
        <f>SUM(S41:U41)</f>
        <v>91978641</v>
      </c>
      <c r="S41" s="1310">
        <v>91978641</v>
      </c>
      <c r="T41" s="1310">
        <v>0</v>
      </c>
      <c r="U41" s="1311"/>
    </row>
    <row r="42" spans="1:21" s="114" customFormat="1" ht="15" customHeight="1">
      <c r="A42" s="1114" t="s">
        <v>531</v>
      </c>
      <c r="B42" s="429">
        <f>SUM(C42:E42)</f>
        <v>9049273</v>
      </c>
      <c r="C42" s="429">
        <v>9049273</v>
      </c>
      <c r="D42" s="429"/>
      <c r="E42" s="1488"/>
      <c r="F42" s="429">
        <f>SUM(G42:I42)</f>
        <v>9486373</v>
      </c>
      <c r="G42" s="429">
        <v>9486373</v>
      </c>
      <c r="H42" s="429"/>
      <c r="I42" s="1488"/>
      <c r="J42" s="429">
        <f>SUM(K42:M42)</f>
        <v>9486373</v>
      </c>
      <c r="K42" s="429">
        <v>9486373</v>
      </c>
      <c r="L42" s="429"/>
      <c r="M42" s="1488"/>
      <c r="N42" s="429">
        <f>SUM(O42:Q42)</f>
        <v>9486373</v>
      </c>
      <c r="O42" s="429">
        <v>9486373</v>
      </c>
      <c r="P42" s="429"/>
      <c r="Q42" s="1488"/>
      <c r="R42" s="429">
        <f>SUM(S42:U42)</f>
        <v>9232902</v>
      </c>
      <c r="S42" s="429">
        <v>9232902</v>
      </c>
      <c r="T42" s="429"/>
      <c r="U42" s="1488"/>
    </row>
    <row r="43" spans="1:21" s="114" customFormat="1" ht="15" customHeight="1">
      <c r="A43" s="1114" t="s">
        <v>1020</v>
      </c>
      <c r="B43" s="429"/>
      <c r="C43" s="429"/>
      <c r="D43" s="429"/>
      <c r="E43" s="1488"/>
      <c r="F43" s="429"/>
      <c r="G43" s="429"/>
      <c r="H43" s="429"/>
      <c r="I43" s="1488"/>
      <c r="J43" s="429"/>
      <c r="K43" s="429"/>
      <c r="L43" s="429"/>
      <c r="M43" s="1488"/>
      <c r="N43" s="429"/>
      <c r="O43" s="429"/>
      <c r="P43" s="429"/>
      <c r="Q43" s="1488"/>
      <c r="R43" s="429"/>
      <c r="S43" s="429"/>
      <c r="T43" s="429"/>
      <c r="U43" s="1488"/>
    </row>
    <row r="44" spans="1:21" s="114" customFormat="1" ht="15" customHeight="1" thickBot="1">
      <c r="A44" s="1125" t="s">
        <v>1032</v>
      </c>
      <c r="B44" s="1339"/>
      <c r="C44" s="1339"/>
      <c r="D44" s="1339"/>
      <c r="E44" s="1552"/>
      <c r="F44" s="1339"/>
      <c r="G44" s="1339"/>
      <c r="H44" s="1339"/>
      <c r="I44" s="1552"/>
      <c r="J44" s="1339"/>
      <c r="K44" s="1339"/>
      <c r="L44" s="1339"/>
      <c r="M44" s="1552"/>
      <c r="N44" s="1339"/>
      <c r="O44" s="1339"/>
      <c r="P44" s="1339"/>
      <c r="Q44" s="1552"/>
      <c r="R44" s="1339"/>
      <c r="S44" s="1339"/>
      <c r="T44" s="1339"/>
      <c r="U44" s="1552"/>
    </row>
    <row r="45" spans="1:21" ht="15" customHeight="1" thickBot="1">
      <c r="A45" s="1341" t="s">
        <v>239</v>
      </c>
      <c r="B45" s="685">
        <f aca="true" t="shared" si="14" ref="B45:I45">SUM(B46:B53)</f>
        <v>130626828</v>
      </c>
      <c r="C45" s="609">
        <f t="shared" si="14"/>
        <v>86292205</v>
      </c>
      <c r="D45" s="609">
        <f t="shared" si="14"/>
        <v>44334623</v>
      </c>
      <c r="E45" s="610">
        <f t="shared" si="14"/>
        <v>0</v>
      </c>
      <c r="F45" s="685">
        <f t="shared" si="14"/>
        <v>125047485</v>
      </c>
      <c r="G45" s="609">
        <f t="shared" si="14"/>
        <v>81158816</v>
      </c>
      <c r="H45" s="609">
        <f t="shared" si="14"/>
        <v>43888669</v>
      </c>
      <c r="I45" s="610">
        <f t="shared" si="14"/>
        <v>0</v>
      </c>
      <c r="J45" s="685">
        <f aca="true" t="shared" si="15" ref="J45:Q45">SUM(J46:J53)</f>
        <v>125334519</v>
      </c>
      <c r="K45" s="609">
        <f t="shared" si="15"/>
        <v>109704808</v>
      </c>
      <c r="L45" s="609">
        <f t="shared" si="15"/>
        <v>15629711</v>
      </c>
      <c r="M45" s="610">
        <f t="shared" si="15"/>
        <v>0</v>
      </c>
      <c r="N45" s="685">
        <f t="shared" si="15"/>
        <v>125334529</v>
      </c>
      <c r="O45" s="609">
        <f t="shared" si="15"/>
        <v>109704818</v>
      </c>
      <c r="P45" s="609">
        <f t="shared" si="15"/>
        <v>15629711</v>
      </c>
      <c r="Q45" s="610">
        <f t="shared" si="15"/>
        <v>0</v>
      </c>
      <c r="R45" s="685">
        <f>SUM(R46:R53)</f>
        <v>135099567</v>
      </c>
      <c r="S45" s="609">
        <f>SUM(S46:S53)</f>
        <v>119469856</v>
      </c>
      <c r="T45" s="609">
        <f>SUM(T46:T53)</f>
        <v>15629711</v>
      </c>
      <c r="U45" s="610">
        <f>SUM(U46:U53)</f>
        <v>0</v>
      </c>
    </row>
    <row r="46" spans="1:21" s="114" customFormat="1" ht="15" customHeight="1">
      <c r="A46" s="1340" t="s">
        <v>532</v>
      </c>
      <c r="B46" s="688">
        <f>SUM(C46:E46)</f>
        <v>19116299</v>
      </c>
      <c r="C46" s="226">
        <v>19116299</v>
      </c>
      <c r="D46" s="226"/>
      <c r="E46" s="689"/>
      <c r="F46" s="688">
        <f>SUM(G46:I46)</f>
        <v>14423910</v>
      </c>
      <c r="G46" s="226">
        <v>14423910</v>
      </c>
      <c r="H46" s="226"/>
      <c r="I46" s="689"/>
      <c r="J46" s="688">
        <f>SUM(K46:M46)</f>
        <v>14710910</v>
      </c>
      <c r="K46" s="226">
        <v>14710910</v>
      </c>
      <c r="L46" s="226"/>
      <c r="M46" s="689"/>
      <c r="N46" s="688">
        <f>SUM(O46:Q46)</f>
        <v>14710910</v>
      </c>
      <c r="O46" s="226">
        <v>14710910</v>
      </c>
      <c r="P46" s="226"/>
      <c r="Q46" s="689"/>
      <c r="R46" s="688">
        <f>SUM(S46:U46)</f>
        <v>14710910</v>
      </c>
      <c r="S46" s="226">
        <v>14710910</v>
      </c>
      <c r="T46" s="226"/>
      <c r="U46" s="689"/>
    </row>
    <row r="47" spans="1:21" s="114" customFormat="1" ht="15" customHeight="1">
      <c r="A47" s="698" t="s">
        <v>533</v>
      </c>
      <c r="B47" s="688">
        <f aca="true" t="shared" si="16" ref="B47:B53">SUM(C47:E47)</f>
        <v>4850107</v>
      </c>
      <c r="C47" s="58"/>
      <c r="D47" s="58">
        <v>4850107</v>
      </c>
      <c r="E47" s="691"/>
      <c r="F47" s="688">
        <f aca="true" t="shared" si="17" ref="F47:F53">SUM(G47:I47)</f>
        <v>4350107</v>
      </c>
      <c r="G47" s="58"/>
      <c r="H47" s="58">
        <v>4350107</v>
      </c>
      <c r="I47" s="691"/>
      <c r="J47" s="688">
        <f aca="true" t="shared" si="18" ref="J47:J53">SUM(K47:M47)</f>
        <v>4350107</v>
      </c>
      <c r="K47" s="58">
        <v>4350107</v>
      </c>
      <c r="L47" s="58"/>
      <c r="M47" s="691"/>
      <c r="N47" s="688">
        <f aca="true" t="shared" si="19" ref="N47:N53">SUM(O47:Q47)</f>
        <v>4350107</v>
      </c>
      <c r="O47" s="58">
        <v>4350107</v>
      </c>
      <c r="P47" s="58"/>
      <c r="Q47" s="691"/>
      <c r="R47" s="688">
        <f aca="true" t="shared" si="20" ref="R47:R53">SUM(S47:U47)</f>
        <v>4350107</v>
      </c>
      <c r="S47" s="58">
        <v>4350107</v>
      </c>
      <c r="T47" s="58"/>
      <c r="U47" s="691"/>
    </row>
    <row r="48" spans="1:21" ht="15" customHeight="1">
      <c r="A48" s="698" t="s">
        <v>657</v>
      </c>
      <c r="B48" s="688">
        <f t="shared" si="16"/>
        <v>0</v>
      </c>
      <c r="C48" s="78"/>
      <c r="D48" s="78"/>
      <c r="E48" s="423"/>
      <c r="F48" s="688">
        <f t="shared" si="17"/>
        <v>0</v>
      </c>
      <c r="G48" s="78"/>
      <c r="H48" s="78"/>
      <c r="I48" s="423"/>
      <c r="J48" s="688">
        <f t="shared" si="18"/>
        <v>0</v>
      </c>
      <c r="K48" s="78"/>
      <c r="L48" s="78"/>
      <c r="M48" s="423"/>
      <c r="N48" s="688">
        <f t="shared" si="19"/>
        <v>0</v>
      </c>
      <c r="O48" s="78"/>
      <c r="P48" s="78"/>
      <c r="Q48" s="423"/>
      <c r="R48" s="688">
        <f t="shared" si="20"/>
        <v>0</v>
      </c>
      <c r="S48" s="78"/>
      <c r="T48" s="78"/>
      <c r="U48" s="423"/>
    </row>
    <row r="49" spans="1:21" ht="15" customHeight="1">
      <c r="A49" s="698" t="s">
        <v>658</v>
      </c>
      <c r="B49" s="688">
        <f t="shared" si="16"/>
        <v>62675906</v>
      </c>
      <c r="C49" s="78">
        <v>62675906</v>
      </c>
      <c r="D49" s="78"/>
      <c r="E49" s="423"/>
      <c r="F49" s="688">
        <f t="shared" si="17"/>
        <v>62675906</v>
      </c>
      <c r="G49" s="78">
        <v>62675906</v>
      </c>
      <c r="H49" s="78"/>
      <c r="I49" s="423"/>
      <c r="J49" s="688">
        <f t="shared" si="18"/>
        <v>62675906</v>
      </c>
      <c r="K49" s="78">
        <v>62675906</v>
      </c>
      <c r="L49" s="78"/>
      <c r="M49" s="423"/>
      <c r="N49" s="688">
        <f t="shared" si="19"/>
        <v>62675906</v>
      </c>
      <c r="O49" s="78">
        <v>62675906</v>
      </c>
      <c r="P49" s="78"/>
      <c r="Q49" s="423"/>
      <c r="R49" s="688">
        <f t="shared" si="20"/>
        <v>72607185</v>
      </c>
      <c r="S49" s="78">
        <v>72607185</v>
      </c>
      <c r="T49" s="78"/>
      <c r="U49" s="423"/>
    </row>
    <row r="50" spans="1:21" s="114" customFormat="1" ht="15" customHeight="1">
      <c r="A50" s="699" t="s">
        <v>487</v>
      </c>
      <c r="B50" s="688">
        <f t="shared" si="16"/>
        <v>0</v>
      </c>
      <c r="C50" s="58"/>
      <c r="D50" s="58"/>
      <c r="E50" s="691"/>
      <c r="F50" s="688">
        <f t="shared" si="17"/>
        <v>0</v>
      </c>
      <c r="G50" s="58"/>
      <c r="H50" s="58"/>
      <c r="I50" s="691"/>
      <c r="J50" s="688">
        <f t="shared" si="18"/>
        <v>0</v>
      </c>
      <c r="K50" s="58"/>
      <c r="L50" s="58"/>
      <c r="M50" s="691"/>
      <c r="N50" s="688">
        <f t="shared" si="19"/>
        <v>0</v>
      </c>
      <c r="O50" s="58"/>
      <c r="P50" s="58"/>
      <c r="Q50" s="691"/>
      <c r="R50" s="688">
        <f t="shared" si="20"/>
        <v>0</v>
      </c>
      <c r="S50" s="58"/>
      <c r="T50" s="58"/>
      <c r="U50" s="691"/>
    </row>
    <row r="51" spans="1:21" s="114" customFormat="1" ht="15" customHeight="1">
      <c r="A51" s="699" t="s">
        <v>659</v>
      </c>
      <c r="B51" s="688">
        <f t="shared" si="16"/>
        <v>15594465</v>
      </c>
      <c r="C51" s="58">
        <v>0</v>
      </c>
      <c r="D51" s="58">
        <v>15594465</v>
      </c>
      <c r="E51" s="691"/>
      <c r="F51" s="688">
        <f t="shared" si="17"/>
        <v>15629711</v>
      </c>
      <c r="G51" s="58">
        <v>0</v>
      </c>
      <c r="H51" s="58">
        <v>15629711</v>
      </c>
      <c r="I51" s="691"/>
      <c r="J51" s="688">
        <f t="shared" si="18"/>
        <v>15629711</v>
      </c>
      <c r="K51" s="58">
        <v>0</v>
      </c>
      <c r="L51" s="58">
        <v>15629711</v>
      </c>
      <c r="M51" s="691"/>
      <c r="N51" s="688">
        <f t="shared" si="19"/>
        <v>15629711</v>
      </c>
      <c r="O51" s="58">
        <v>0</v>
      </c>
      <c r="P51" s="58">
        <v>15629711</v>
      </c>
      <c r="Q51" s="691"/>
      <c r="R51" s="688">
        <f t="shared" si="20"/>
        <v>15629711</v>
      </c>
      <c r="S51" s="58">
        <v>0</v>
      </c>
      <c r="T51" s="58">
        <v>15629711</v>
      </c>
      <c r="U51" s="691"/>
    </row>
    <row r="52" spans="1:21" s="114" customFormat="1" ht="15" customHeight="1">
      <c r="A52" s="699" t="s">
        <v>534</v>
      </c>
      <c r="B52" s="688">
        <f t="shared" si="16"/>
        <v>23890051</v>
      </c>
      <c r="C52" s="68"/>
      <c r="D52" s="68">
        <v>23890051</v>
      </c>
      <c r="E52" s="690"/>
      <c r="F52" s="688">
        <f t="shared" si="17"/>
        <v>23908851</v>
      </c>
      <c r="G52" s="68"/>
      <c r="H52" s="68">
        <v>23908851</v>
      </c>
      <c r="I52" s="690"/>
      <c r="J52" s="688">
        <f t="shared" si="18"/>
        <v>23908851</v>
      </c>
      <c r="K52" s="68">
        <v>23908851</v>
      </c>
      <c r="L52" s="68"/>
      <c r="M52" s="690"/>
      <c r="N52" s="688">
        <f t="shared" si="19"/>
        <v>23908851</v>
      </c>
      <c r="O52" s="68">
        <v>23908851</v>
      </c>
      <c r="P52" s="68"/>
      <c r="Q52" s="690"/>
      <c r="R52" s="688">
        <f t="shared" si="20"/>
        <v>23908851</v>
      </c>
      <c r="S52" s="68">
        <v>23908851</v>
      </c>
      <c r="T52" s="68"/>
      <c r="U52" s="690"/>
    </row>
    <row r="53" spans="1:21" s="114" customFormat="1" ht="15" customHeight="1" thickBot="1">
      <c r="A53" s="700" t="s">
        <v>660</v>
      </c>
      <c r="B53" s="688">
        <f t="shared" si="16"/>
        <v>4500000</v>
      </c>
      <c r="C53" s="68">
        <v>4500000</v>
      </c>
      <c r="D53" s="68"/>
      <c r="E53" s="690"/>
      <c r="F53" s="688">
        <f t="shared" si="17"/>
        <v>4059000</v>
      </c>
      <c r="G53" s="68">
        <v>4059000</v>
      </c>
      <c r="H53" s="68"/>
      <c r="I53" s="690"/>
      <c r="J53" s="688">
        <f t="shared" si="18"/>
        <v>4059034</v>
      </c>
      <c r="K53" s="68">
        <v>4059034</v>
      </c>
      <c r="L53" s="68"/>
      <c r="M53" s="690"/>
      <c r="N53" s="688">
        <f t="shared" si="19"/>
        <v>4059044</v>
      </c>
      <c r="O53" s="68">
        <v>4059044</v>
      </c>
      <c r="P53" s="68"/>
      <c r="Q53" s="690"/>
      <c r="R53" s="688">
        <f t="shared" si="20"/>
        <v>3892803</v>
      </c>
      <c r="S53" s="68">
        <v>3892803</v>
      </c>
      <c r="T53" s="68"/>
      <c r="U53" s="690"/>
    </row>
    <row r="54" spans="1:21" ht="15" customHeight="1" thickBot="1">
      <c r="A54" s="1738" t="s">
        <v>1015</v>
      </c>
      <c r="B54" s="1739">
        <f aca="true" t="shared" si="21" ref="B54:I54">SUM(B55:B58)</f>
        <v>28177406</v>
      </c>
      <c r="C54" s="1740">
        <f t="shared" si="21"/>
        <v>25640406</v>
      </c>
      <c r="D54" s="1740">
        <f t="shared" si="21"/>
        <v>2537000</v>
      </c>
      <c r="E54" s="1741">
        <f t="shared" si="21"/>
        <v>0</v>
      </c>
      <c r="F54" s="1739">
        <f t="shared" si="21"/>
        <v>24292792</v>
      </c>
      <c r="G54" s="1740">
        <f t="shared" si="21"/>
        <v>21755792</v>
      </c>
      <c r="H54" s="1740">
        <f t="shared" si="21"/>
        <v>2537000</v>
      </c>
      <c r="I54" s="1741">
        <f t="shared" si="21"/>
        <v>0</v>
      </c>
      <c r="J54" s="1739">
        <f aca="true" t="shared" si="22" ref="J54:Q54">SUM(J55:J58)</f>
        <v>24573582</v>
      </c>
      <c r="K54" s="1740">
        <f t="shared" si="22"/>
        <v>23253582</v>
      </c>
      <c r="L54" s="1740">
        <f t="shared" si="22"/>
        <v>1320000</v>
      </c>
      <c r="M54" s="1741">
        <f t="shared" si="22"/>
        <v>0</v>
      </c>
      <c r="N54" s="1739">
        <f t="shared" si="22"/>
        <v>24941277</v>
      </c>
      <c r="O54" s="1740">
        <f t="shared" si="22"/>
        <v>23621277</v>
      </c>
      <c r="P54" s="1740">
        <f t="shared" si="22"/>
        <v>1320000</v>
      </c>
      <c r="Q54" s="1741">
        <f t="shared" si="22"/>
        <v>0</v>
      </c>
      <c r="R54" s="1739">
        <f>SUM(R55:R58)</f>
        <v>23844027</v>
      </c>
      <c r="S54" s="1740">
        <f>SUM(S55:S58)</f>
        <v>23844027</v>
      </c>
      <c r="T54" s="1740">
        <f>SUM(T55:T58)</f>
        <v>0</v>
      </c>
      <c r="U54" s="1741">
        <f>SUM(U55:U58)</f>
        <v>0</v>
      </c>
    </row>
    <row r="55" spans="1:21" ht="15" customHeight="1">
      <c r="A55" s="697" t="s">
        <v>1271</v>
      </c>
      <c r="B55" s="692">
        <f>SUM(C55:E55)</f>
        <v>26857406</v>
      </c>
      <c r="C55" s="228">
        <v>25640406</v>
      </c>
      <c r="D55" s="226">
        <v>1217000</v>
      </c>
      <c r="E55" s="693"/>
      <c r="F55" s="692">
        <f>SUM(G55:I55)</f>
        <v>22972792</v>
      </c>
      <c r="G55" s="228">
        <v>21755792</v>
      </c>
      <c r="H55" s="226">
        <v>1217000</v>
      </c>
      <c r="I55" s="693"/>
      <c r="J55" s="692">
        <f>SUM(K55:M55)</f>
        <v>23253582</v>
      </c>
      <c r="K55" s="228">
        <v>23253582</v>
      </c>
      <c r="L55" s="226"/>
      <c r="M55" s="693"/>
      <c r="N55" s="692">
        <f>SUM(O55:Q55)</f>
        <v>23621277</v>
      </c>
      <c r="O55" s="228">
        <v>23621277</v>
      </c>
      <c r="P55" s="226"/>
      <c r="Q55" s="693"/>
      <c r="R55" s="692">
        <f>SUM(S55:U55)</f>
        <v>22921489</v>
      </c>
      <c r="S55" s="228">
        <v>22921489</v>
      </c>
      <c r="T55" s="226"/>
      <c r="U55" s="693"/>
    </row>
    <row r="56" spans="1:21" ht="7.5" customHeight="1" hidden="1">
      <c r="A56" s="695" t="s">
        <v>535</v>
      </c>
      <c r="B56" s="692">
        <f>SUM(C56:E56)</f>
        <v>0</v>
      </c>
      <c r="C56" s="62"/>
      <c r="D56" s="58"/>
      <c r="E56" s="421"/>
      <c r="F56" s="692">
        <f>SUM(G56:I56)</f>
        <v>0</v>
      </c>
      <c r="G56" s="62"/>
      <c r="H56" s="58"/>
      <c r="I56" s="421"/>
      <c r="J56" s="692">
        <f>SUM(K56:M56)</f>
        <v>0</v>
      </c>
      <c r="K56" s="62"/>
      <c r="L56" s="58"/>
      <c r="M56" s="421"/>
      <c r="N56" s="692">
        <f>SUM(O56:Q56)</f>
        <v>0</v>
      </c>
      <c r="O56" s="62"/>
      <c r="P56" s="58"/>
      <c r="Q56" s="421"/>
      <c r="R56" s="692">
        <f>SUM(S56:U56)</f>
        <v>0</v>
      </c>
      <c r="S56" s="62"/>
      <c r="T56" s="58"/>
      <c r="U56" s="421"/>
    </row>
    <row r="57" spans="1:21" s="114" customFormat="1" ht="15" customHeight="1">
      <c r="A57" s="918" t="s">
        <v>495</v>
      </c>
      <c r="B57" s="919">
        <f>SUM(C57:E57)</f>
        <v>220000</v>
      </c>
      <c r="C57" s="230"/>
      <c r="D57" s="68">
        <v>220000</v>
      </c>
      <c r="E57" s="690"/>
      <c r="F57" s="919">
        <f>SUM(G57:I57)</f>
        <v>220000</v>
      </c>
      <c r="G57" s="230"/>
      <c r="H57" s="68">
        <v>220000</v>
      </c>
      <c r="I57" s="690"/>
      <c r="J57" s="919">
        <f>SUM(K57:M57)</f>
        <v>220000</v>
      </c>
      <c r="K57" s="230"/>
      <c r="L57" s="68">
        <v>220000</v>
      </c>
      <c r="M57" s="690"/>
      <c r="N57" s="919">
        <f>SUM(O57:Q57)</f>
        <v>220000</v>
      </c>
      <c r="O57" s="230"/>
      <c r="P57" s="68">
        <v>220000</v>
      </c>
      <c r="Q57" s="690"/>
      <c r="R57" s="919">
        <f>SUM(S57:U57)</f>
        <v>0</v>
      </c>
      <c r="S57" s="230"/>
      <c r="T57" s="68">
        <v>0</v>
      </c>
      <c r="U57" s="690"/>
    </row>
    <row r="58" spans="1:21" s="114" customFormat="1" ht="34.5" customHeight="1">
      <c r="A58" s="1553" t="s">
        <v>496</v>
      </c>
      <c r="B58" s="920">
        <f>SUM(C58:E58)</f>
        <v>1100000</v>
      </c>
      <c r="C58" s="921"/>
      <c r="D58" s="429">
        <v>1100000</v>
      </c>
      <c r="E58" s="1488"/>
      <c r="F58" s="920">
        <f>SUM(G58:I58)</f>
        <v>1100000</v>
      </c>
      <c r="G58" s="921"/>
      <c r="H58" s="429">
        <v>1100000</v>
      </c>
      <c r="I58" s="1488"/>
      <c r="J58" s="920">
        <f>SUM(K58:M58)</f>
        <v>1100000</v>
      </c>
      <c r="K58" s="921"/>
      <c r="L58" s="429">
        <v>1100000</v>
      </c>
      <c r="M58" s="1488"/>
      <c r="N58" s="920">
        <f>SUM(O58:Q58)</f>
        <v>1100000</v>
      </c>
      <c r="O58" s="921"/>
      <c r="P58" s="429">
        <v>1100000</v>
      </c>
      <c r="Q58" s="1488"/>
      <c r="R58" s="920">
        <f>SUM(S58:U58)</f>
        <v>922538</v>
      </c>
      <c r="S58" s="921">
        <v>922538</v>
      </c>
      <c r="T58" s="429"/>
      <c r="U58" s="1488"/>
    </row>
    <row r="59" spans="1:21" s="10" customFormat="1" ht="15" customHeight="1" thickBot="1">
      <c r="A59" s="1554" t="s">
        <v>25</v>
      </c>
      <c r="B59" s="579">
        <f aca="true" t="shared" si="23" ref="B59:Q59">SUM(B11+B30+B40+B45+B54)</f>
        <v>1311051406</v>
      </c>
      <c r="C59" s="579">
        <f t="shared" si="23"/>
        <v>1196655992</v>
      </c>
      <c r="D59" s="579">
        <f t="shared" si="23"/>
        <v>114395414</v>
      </c>
      <c r="E59" s="1489">
        <f t="shared" si="23"/>
        <v>0</v>
      </c>
      <c r="F59" s="579">
        <f t="shared" si="23"/>
        <v>1494424882</v>
      </c>
      <c r="G59" s="579">
        <f t="shared" si="23"/>
        <v>1384912516</v>
      </c>
      <c r="H59" s="579">
        <f t="shared" si="23"/>
        <v>109512366</v>
      </c>
      <c r="I59" s="1489">
        <f t="shared" si="23"/>
        <v>0</v>
      </c>
      <c r="J59" s="579">
        <f t="shared" si="23"/>
        <v>1533777965</v>
      </c>
      <c r="K59" s="579">
        <f t="shared" si="23"/>
        <v>797358454</v>
      </c>
      <c r="L59" s="579">
        <f t="shared" si="23"/>
        <v>736419511</v>
      </c>
      <c r="M59" s="1489">
        <f t="shared" si="23"/>
        <v>0</v>
      </c>
      <c r="N59" s="579">
        <f t="shared" si="23"/>
        <v>1536441773</v>
      </c>
      <c r="O59" s="579">
        <f t="shared" si="23"/>
        <v>803105225</v>
      </c>
      <c r="P59" s="579">
        <f t="shared" si="23"/>
        <v>733336548</v>
      </c>
      <c r="Q59" s="1489">
        <f t="shared" si="23"/>
        <v>0</v>
      </c>
      <c r="R59" s="579">
        <f>SUM(R11+R30+R40+R45+R54)</f>
        <v>1661494763</v>
      </c>
      <c r="S59" s="579">
        <f>SUM(S11+S30+S40+S45+S54)</f>
        <v>929844848</v>
      </c>
      <c r="T59" s="579">
        <f>SUM(T11+T30+T40+T45+T54)</f>
        <v>731649915</v>
      </c>
      <c r="U59" s="1489">
        <f>SUM(U11+U30+U40+U45+U54)</f>
        <v>0</v>
      </c>
    </row>
  </sheetData>
  <sheetProtection selectLockedCells="1" selectUnlockedCells="1"/>
  <mergeCells count="21">
    <mergeCell ref="N9:N10"/>
    <mergeCell ref="J9:J10"/>
    <mergeCell ref="A1:U1"/>
    <mergeCell ref="K9:M9"/>
    <mergeCell ref="C9:E9"/>
    <mergeCell ref="H8:I8"/>
    <mergeCell ref="F9:F10"/>
    <mergeCell ref="G9:I9"/>
    <mergeCell ref="D8:E8"/>
    <mergeCell ref="A9:A10"/>
    <mergeCell ref="P8:Q8"/>
    <mergeCell ref="J3:L3"/>
    <mergeCell ref="T8:U8"/>
    <mergeCell ref="S9:U9"/>
    <mergeCell ref="A2:U2"/>
    <mergeCell ref="A4:U4"/>
    <mergeCell ref="A5:U5"/>
    <mergeCell ref="R9:R10"/>
    <mergeCell ref="O9:Q9"/>
    <mergeCell ref="B9:B10"/>
    <mergeCell ref="L8:M8"/>
  </mergeCells>
  <printOptions horizontalCentered="1"/>
  <pageMargins left="0.4724409448818898" right="0.11811023622047245" top="0.5905511811023623" bottom="0.5905511811023623" header="0.5118110236220472" footer="0.5118110236220472"/>
  <pageSetup horizontalDpi="600" verticalDpi="600" orientation="landscape" paperSize="9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4"/>
  <sheetViews>
    <sheetView showGridLines="0" view="pageBreakPreview" zoomScaleSheetLayoutView="10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3" sqref="I23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17.140625" style="0" customWidth="1"/>
    <col min="4" max="4" width="16.7109375" style="0" customWidth="1"/>
    <col min="5" max="5" width="11.421875" style="0" customWidth="1"/>
    <col min="6" max="6" width="17.28125" style="0" customWidth="1"/>
    <col min="7" max="7" width="17.140625" style="0" customWidth="1"/>
    <col min="8" max="8" width="16.7109375" style="0" customWidth="1"/>
    <col min="9" max="9" width="11.421875" style="0" customWidth="1"/>
    <col min="10" max="10" width="17.28125" style="0" customWidth="1"/>
    <col min="11" max="11" width="17.140625" style="0" customWidth="1"/>
    <col min="12" max="12" width="16.7109375" style="0" customWidth="1"/>
    <col min="13" max="13" width="11.421875" style="0" customWidth="1"/>
    <col min="14" max="14" width="17.28125" style="0" customWidth="1"/>
    <col min="15" max="15" width="17.140625" style="0" customWidth="1"/>
    <col min="16" max="16" width="16.7109375" style="0" customWidth="1"/>
    <col min="17" max="17" width="11.421875" style="0" customWidth="1"/>
    <col min="18" max="18" width="17.28125" style="0" customWidth="1"/>
    <col min="19" max="19" width="17.140625" style="0" customWidth="1"/>
    <col min="20" max="20" width="16.7109375" style="0" customWidth="1"/>
    <col min="21" max="21" width="11.421875" style="0" customWidth="1"/>
    <col min="22" max="22" width="17.28125" style="0" customWidth="1"/>
  </cols>
  <sheetData>
    <row r="1" spans="1:18" ht="15">
      <c r="A1" s="2238" t="s">
        <v>719</v>
      </c>
      <c r="B1" s="2238"/>
      <c r="C1" s="2238"/>
      <c r="D1" s="2238"/>
      <c r="E1" s="2238"/>
      <c r="F1" s="2238"/>
      <c r="G1" s="2238"/>
      <c r="H1" s="2238"/>
      <c r="I1" s="2238"/>
      <c r="J1" s="2238"/>
      <c r="K1" s="2238"/>
      <c r="L1" s="2238"/>
      <c r="M1" s="2238"/>
      <c r="N1" s="2238"/>
      <c r="O1" s="2238"/>
      <c r="P1" s="2238"/>
      <c r="Q1" s="2238"/>
      <c r="R1" s="2238"/>
    </row>
    <row r="2" spans="1:22" ht="15.75">
      <c r="A2" s="1890" t="s">
        <v>1295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  <c r="M2" s="1890"/>
      <c r="N2" s="1890"/>
      <c r="O2" s="1890"/>
      <c r="P2" s="1890"/>
      <c r="Q2" s="1890"/>
      <c r="R2" s="1890"/>
      <c r="S2" s="1890"/>
      <c r="T2" s="1890"/>
      <c r="U2" s="1890"/>
      <c r="V2" s="1890"/>
    </row>
    <row r="3" spans="1:22" ht="15.75">
      <c r="A3" s="1824"/>
      <c r="B3" s="1824"/>
      <c r="C3" s="1824"/>
      <c r="D3" s="1824"/>
      <c r="E3" s="1824"/>
      <c r="F3" s="1824"/>
      <c r="G3" s="1824"/>
      <c r="H3" s="1824"/>
      <c r="I3" s="1824"/>
      <c r="J3" s="2236" t="s">
        <v>1296</v>
      </c>
      <c r="K3" s="2236"/>
      <c r="L3" s="2236"/>
      <c r="M3" s="1824"/>
      <c r="N3" s="1824"/>
      <c r="O3" s="1824"/>
      <c r="P3" s="1824" t="s">
        <v>1312</v>
      </c>
      <c r="Q3" s="1824"/>
      <c r="R3" s="1824"/>
      <c r="S3" s="1824"/>
      <c r="T3" s="1824"/>
      <c r="U3" s="1824"/>
      <c r="V3" s="1824"/>
    </row>
    <row r="4" spans="1:22" ht="15.75">
      <c r="A4" s="1824"/>
      <c r="B4" s="1824"/>
      <c r="C4" s="1824"/>
      <c r="D4" s="1824"/>
      <c r="E4" s="1824"/>
      <c r="F4" s="1824"/>
      <c r="G4" s="1824"/>
      <c r="H4" s="1824"/>
      <c r="I4" s="1824"/>
      <c r="J4" s="1824"/>
      <c r="K4" s="1824"/>
      <c r="L4" s="1824"/>
      <c r="M4" s="1824"/>
      <c r="N4" s="1824"/>
      <c r="O4" s="1824"/>
      <c r="P4" s="1824"/>
      <c r="Q4" s="1824"/>
      <c r="R4" s="1824"/>
      <c r="S4" s="1824"/>
      <c r="T4" s="1824"/>
      <c r="U4" s="1824"/>
      <c r="V4" s="1824"/>
    </row>
    <row r="5" spans="1:22" ht="12.75">
      <c r="A5" s="703"/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</row>
    <row r="6" spans="1:22" ht="29.25" customHeight="1">
      <c r="A6" s="2237" t="s">
        <v>720</v>
      </c>
      <c r="B6" s="2237"/>
      <c r="C6" s="2237"/>
      <c r="D6" s="2237"/>
      <c r="E6" s="2237"/>
      <c r="F6" s="2237"/>
      <c r="G6" s="2237"/>
      <c r="H6" s="2237"/>
      <c r="I6" s="2237"/>
      <c r="J6" s="2237"/>
      <c r="K6" s="2237"/>
      <c r="L6" s="2237"/>
      <c r="M6" s="2237"/>
      <c r="N6" s="2237"/>
      <c r="O6" s="2237"/>
      <c r="P6" s="2237"/>
      <c r="Q6" s="2237"/>
      <c r="R6" s="2237"/>
      <c r="S6" s="2237"/>
      <c r="T6" s="2237"/>
      <c r="U6" s="2237"/>
      <c r="V6" s="2237"/>
    </row>
    <row r="9" spans="6:22" ht="13.5" thickBot="1">
      <c r="F9" s="838"/>
      <c r="J9" s="838"/>
      <c r="N9" s="838"/>
      <c r="R9" s="838"/>
      <c r="V9" s="838" t="s">
        <v>214</v>
      </c>
    </row>
    <row r="10" spans="1:22" ht="12.75">
      <c r="A10" s="2230" t="s">
        <v>703</v>
      </c>
      <c r="B10" s="2231"/>
      <c r="C10" s="2234" t="s">
        <v>522</v>
      </c>
      <c r="D10" s="2234"/>
      <c r="E10" s="2234"/>
      <c r="F10" s="2235"/>
      <c r="G10" s="2234" t="s">
        <v>1157</v>
      </c>
      <c r="H10" s="2234"/>
      <c r="I10" s="2234"/>
      <c r="J10" s="2235"/>
      <c r="K10" s="2234" t="s">
        <v>1178</v>
      </c>
      <c r="L10" s="2234"/>
      <c r="M10" s="2234"/>
      <c r="N10" s="2235"/>
      <c r="O10" s="2234" t="s">
        <v>1250</v>
      </c>
      <c r="P10" s="2234"/>
      <c r="Q10" s="2234"/>
      <c r="R10" s="2235"/>
      <c r="S10" s="2234" t="s">
        <v>1267</v>
      </c>
      <c r="T10" s="2234"/>
      <c r="U10" s="2234"/>
      <c r="V10" s="2235"/>
    </row>
    <row r="11" spans="1:22" s="4" customFormat="1" ht="48.75" customHeight="1" thickBot="1">
      <c r="A11" s="2232"/>
      <c r="B11" s="2233"/>
      <c r="C11" s="738" t="s">
        <v>704</v>
      </c>
      <c r="D11" s="738" t="s">
        <v>705</v>
      </c>
      <c r="E11" s="738" t="s">
        <v>706</v>
      </c>
      <c r="F11" s="739" t="s">
        <v>25</v>
      </c>
      <c r="G11" s="738" t="s">
        <v>704</v>
      </c>
      <c r="H11" s="738" t="s">
        <v>705</v>
      </c>
      <c r="I11" s="738" t="s">
        <v>706</v>
      </c>
      <c r="J11" s="739" t="s">
        <v>25</v>
      </c>
      <c r="K11" s="738" t="s">
        <v>704</v>
      </c>
      <c r="L11" s="738" t="s">
        <v>705</v>
      </c>
      <c r="M11" s="738" t="s">
        <v>706</v>
      </c>
      <c r="N11" s="739" t="s">
        <v>25</v>
      </c>
      <c r="O11" s="738" t="s">
        <v>704</v>
      </c>
      <c r="P11" s="738" t="s">
        <v>705</v>
      </c>
      <c r="Q11" s="738" t="s">
        <v>706</v>
      </c>
      <c r="R11" s="739" t="s">
        <v>25</v>
      </c>
      <c r="S11" s="738" t="s">
        <v>704</v>
      </c>
      <c r="T11" s="738" t="s">
        <v>705</v>
      </c>
      <c r="U11" s="738" t="s">
        <v>706</v>
      </c>
      <c r="V11" s="739" t="s">
        <v>25</v>
      </c>
    </row>
    <row r="12" spans="1:22" s="10" customFormat="1" ht="26.25" thickBot="1">
      <c r="A12" s="733" t="s">
        <v>164</v>
      </c>
      <c r="B12" s="1312" t="s">
        <v>709</v>
      </c>
      <c r="C12" s="1233">
        <f>SUM(C13)</f>
        <v>0</v>
      </c>
      <c r="D12" s="719">
        <f>SUM(D13)</f>
        <v>0</v>
      </c>
      <c r="E12" s="719">
        <v>0</v>
      </c>
      <c r="F12" s="720">
        <f>SUM(F13)</f>
        <v>0</v>
      </c>
      <c r="G12" s="1233"/>
      <c r="H12" s="719">
        <v>35340</v>
      </c>
      <c r="I12" s="719">
        <v>0</v>
      </c>
      <c r="J12" s="720">
        <f>SUM(J13)</f>
        <v>35340</v>
      </c>
      <c r="K12" s="1233"/>
      <c r="L12" s="719">
        <v>35340</v>
      </c>
      <c r="M12" s="719">
        <v>0</v>
      </c>
      <c r="N12" s="720">
        <f>SUM(N13)</f>
        <v>35340</v>
      </c>
      <c r="O12" s="1233"/>
      <c r="P12" s="719">
        <v>35340</v>
      </c>
      <c r="Q12" s="719">
        <v>0</v>
      </c>
      <c r="R12" s="720">
        <f>SUM(R13)</f>
        <v>35340</v>
      </c>
      <c r="S12" s="1233"/>
      <c r="T12" s="719">
        <v>35340</v>
      </c>
      <c r="U12" s="719">
        <v>0</v>
      </c>
      <c r="V12" s="720">
        <f>SUM(V13)</f>
        <v>35340</v>
      </c>
    </row>
    <row r="13" spans="1:22" s="114" customFormat="1" ht="26.25" thickBot="1">
      <c r="A13" s="1237"/>
      <c r="B13" s="1313" t="s">
        <v>707</v>
      </c>
      <c r="C13" s="1232"/>
      <c r="D13" s="721"/>
      <c r="E13" s="721"/>
      <c r="F13" s="1131">
        <f aca="true" t="shared" si="0" ref="F13:F19">SUM(C13:E13)</f>
        <v>0</v>
      </c>
      <c r="G13" s="1232"/>
      <c r="H13" s="721">
        <v>35340</v>
      </c>
      <c r="I13" s="721"/>
      <c r="J13" s="1131">
        <f>SUM(G13:I13)</f>
        <v>35340</v>
      </c>
      <c r="K13" s="1232"/>
      <c r="L13" s="721">
        <v>35340</v>
      </c>
      <c r="M13" s="721"/>
      <c r="N13" s="1131">
        <f>SUM(K13:M13)</f>
        <v>35340</v>
      </c>
      <c r="O13" s="1232"/>
      <c r="P13" s="721">
        <v>35340</v>
      </c>
      <c r="Q13" s="721"/>
      <c r="R13" s="1131">
        <f>SUM(O13:Q13)</f>
        <v>35340</v>
      </c>
      <c r="S13" s="1232"/>
      <c r="T13" s="721">
        <v>35340</v>
      </c>
      <c r="U13" s="721"/>
      <c r="V13" s="1131">
        <f>SUM(S13:U13)</f>
        <v>35340</v>
      </c>
    </row>
    <row r="14" spans="1:22" s="10" customFormat="1" ht="13.5" thickBot="1">
      <c r="A14" s="733" t="s">
        <v>166</v>
      </c>
      <c r="B14" s="1247" t="s">
        <v>708</v>
      </c>
      <c r="C14" s="1233">
        <f>SUM(C15:C19)</f>
        <v>0</v>
      </c>
      <c r="D14" s="719">
        <f>SUM(D15:D19)</f>
        <v>2265000</v>
      </c>
      <c r="E14" s="719">
        <v>0</v>
      </c>
      <c r="F14" s="720">
        <f t="shared" si="0"/>
        <v>2265000</v>
      </c>
      <c r="G14" s="1233">
        <f>SUM(G15:G19)</f>
        <v>0</v>
      </c>
      <c r="H14" s="719">
        <f>SUM(H15:H19)</f>
        <v>1824006</v>
      </c>
      <c r="I14" s="719">
        <v>0</v>
      </c>
      <c r="J14" s="720">
        <f>SUM(G14:I14)</f>
        <v>1824006</v>
      </c>
      <c r="K14" s="1233">
        <f>SUM(K15:K19)</f>
        <v>0</v>
      </c>
      <c r="L14" s="719">
        <f>SUM(L15:L19)</f>
        <v>2111040</v>
      </c>
      <c r="M14" s="719">
        <v>0</v>
      </c>
      <c r="N14" s="720">
        <f>SUM(K14:M14)</f>
        <v>2111040</v>
      </c>
      <c r="O14" s="1233">
        <f>SUM(O15:O19)</f>
        <v>0</v>
      </c>
      <c r="P14" s="719">
        <f>SUM(P15:P19)</f>
        <v>2111050</v>
      </c>
      <c r="Q14" s="719">
        <v>0</v>
      </c>
      <c r="R14" s="720">
        <f>SUM(O14:Q14)</f>
        <v>2111050</v>
      </c>
      <c r="S14" s="1233">
        <f>SUM(S15:S19)</f>
        <v>0</v>
      </c>
      <c r="T14" s="719">
        <f>SUM(T15:T19)</f>
        <v>2499228</v>
      </c>
      <c r="U14" s="719">
        <v>0</v>
      </c>
      <c r="V14" s="720">
        <f>SUM(S14:U14)</f>
        <v>2499228</v>
      </c>
    </row>
    <row r="15" spans="1:22" s="114" customFormat="1" ht="12.75">
      <c r="A15" s="1238"/>
      <c r="B15" s="1314" t="s">
        <v>710</v>
      </c>
      <c r="C15" s="1234"/>
      <c r="D15" s="723">
        <v>1765000</v>
      </c>
      <c r="E15" s="723"/>
      <c r="F15" s="1118">
        <f t="shared" si="0"/>
        <v>1765000</v>
      </c>
      <c r="G15" s="1234"/>
      <c r="H15" s="723">
        <v>1324000</v>
      </c>
      <c r="I15" s="723"/>
      <c r="J15" s="1118">
        <f>SUM(G15:I15)</f>
        <v>1324000</v>
      </c>
      <c r="K15" s="1234"/>
      <c r="L15" s="723">
        <v>1324000</v>
      </c>
      <c r="M15" s="723"/>
      <c r="N15" s="1118">
        <f>SUM(K15:M15)</f>
        <v>1324000</v>
      </c>
      <c r="O15" s="1234"/>
      <c r="P15" s="723">
        <v>1324000</v>
      </c>
      <c r="Q15" s="723"/>
      <c r="R15" s="1118">
        <f>SUM(O15:Q15)</f>
        <v>1324000</v>
      </c>
      <c r="S15" s="1234"/>
      <c r="T15" s="723">
        <v>1695679</v>
      </c>
      <c r="U15" s="723"/>
      <c r="V15" s="1118">
        <f>SUM(S15:U15)</f>
        <v>1695679</v>
      </c>
    </row>
    <row r="16" spans="1:22" s="114" customFormat="1" ht="25.5">
      <c r="A16" s="801"/>
      <c r="B16" s="1315" t="s">
        <v>711</v>
      </c>
      <c r="C16" s="1235"/>
      <c r="D16" s="717">
        <v>500000</v>
      </c>
      <c r="E16" s="717"/>
      <c r="F16" s="1120">
        <f t="shared" si="0"/>
        <v>500000</v>
      </c>
      <c r="G16" s="1235"/>
      <c r="H16" s="717">
        <v>500000</v>
      </c>
      <c r="I16" s="717"/>
      <c r="J16" s="1120">
        <f>SUM(G16:I16)</f>
        <v>500000</v>
      </c>
      <c r="K16" s="1235"/>
      <c r="L16" s="717">
        <v>500000</v>
      </c>
      <c r="M16" s="717"/>
      <c r="N16" s="1120">
        <f>SUM(K16:M16)</f>
        <v>500000</v>
      </c>
      <c r="O16" s="1235"/>
      <c r="P16" s="717">
        <v>500000</v>
      </c>
      <c r="Q16" s="717"/>
      <c r="R16" s="1120">
        <f>SUM(O16:Q16)</f>
        <v>500000</v>
      </c>
      <c r="S16" s="1235"/>
      <c r="T16" s="717">
        <v>457849</v>
      </c>
      <c r="U16" s="717"/>
      <c r="V16" s="1120">
        <f>SUM(S16:U16)</f>
        <v>457849</v>
      </c>
    </row>
    <row r="17" spans="1:22" s="114" customFormat="1" ht="25.5">
      <c r="A17" s="801"/>
      <c r="B17" s="1315" t="s">
        <v>712</v>
      </c>
      <c r="C17" s="1235"/>
      <c r="D17" s="717"/>
      <c r="E17" s="717"/>
      <c r="F17" s="1120">
        <f t="shared" si="0"/>
        <v>0</v>
      </c>
      <c r="G17" s="1235"/>
      <c r="H17" s="717"/>
      <c r="I17" s="717"/>
      <c r="J17" s="1120">
        <f>SUM(G17:I17)</f>
        <v>0</v>
      </c>
      <c r="K17" s="1235"/>
      <c r="L17" s="717"/>
      <c r="M17" s="717"/>
      <c r="N17" s="1120">
        <f>SUM(K17:M17)</f>
        <v>0</v>
      </c>
      <c r="O17" s="1235"/>
      <c r="P17" s="717"/>
      <c r="Q17" s="717"/>
      <c r="R17" s="1120">
        <f>SUM(O17:Q17)</f>
        <v>0</v>
      </c>
      <c r="S17" s="1235"/>
      <c r="T17" s="717"/>
      <c r="U17" s="717"/>
      <c r="V17" s="1120">
        <f>SUM(S17:U17)</f>
        <v>0</v>
      </c>
    </row>
    <row r="18" spans="1:22" s="114" customFormat="1" ht="12.75">
      <c r="A18" s="801"/>
      <c r="B18" s="1315" t="s">
        <v>1052</v>
      </c>
      <c r="C18" s="1235"/>
      <c r="D18" s="717"/>
      <c r="E18" s="717"/>
      <c r="F18" s="1120"/>
      <c r="G18" s="1235"/>
      <c r="H18" s="717">
        <v>6</v>
      </c>
      <c r="I18" s="717"/>
      <c r="J18" s="1120">
        <v>6</v>
      </c>
      <c r="K18" s="1235"/>
      <c r="L18" s="717">
        <v>40</v>
      </c>
      <c r="M18" s="717"/>
      <c r="N18" s="1120">
        <v>40</v>
      </c>
      <c r="O18" s="1235"/>
      <c r="P18" s="717">
        <v>50</v>
      </c>
      <c r="Q18" s="717"/>
      <c r="R18" s="1120">
        <v>50</v>
      </c>
      <c r="S18" s="1235"/>
      <c r="T18" s="717">
        <v>58700</v>
      </c>
      <c r="U18" s="717"/>
      <c r="V18" s="1120">
        <v>50</v>
      </c>
    </row>
    <row r="19" spans="1:22" s="114" customFormat="1" ht="25.5">
      <c r="A19" s="801"/>
      <c r="B19" s="1315" t="s">
        <v>696</v>
      </c>
      <c r="C19" s="1235"/>
      <c r="D19" s="717"/>
      <c r="E19" s="717"/>
      <c r="F19" s="1120">
        <f t="shared" si="0"/>
        <v>0</v>
      </c>
      <c r="G19" s="1235"/>
      <c r="H19" s="717"/>
      <c r="I19" s="717"/>
      <c r="J19" s="1120">
        <f>SUM(G19:I19)</f>
        <v>0</v>
      </c>
      <c r="K19" s="1235"/>
      <c r="L19" s="717">
        <v>287000</v>
      </c>
      <c r="M19" s="717"/>
      <c r="N19" s="1120">
        <f>SUM(K19:M19)</f>
        <v>287000</v>
      </c>
      <c r="O19" s="1235"/>
      <c r="P19" s="717">
        <v>287000</v>
      </c>
      <c r="Q19" s="717"/>
      <c r="R19" s="1120">
        <f>SUM(O19:Q19)</f>
        <v>287000</v>
      </c>
      <c r="S19" s="1235"/>
      <c r="T19" s="717">
        <v>287000</v>
      </c>
      <c r="U19" s="717"/>
      <c r="V19" s="1120">
        <f>SUM(S19:U19)</f>
        <v>287000</v>
      </c>
    </row>
    <row r="20" spans="1:22" s="10" customFormat="1" ht="26.25" thickBot="1">
      <c r="A20" s="735" t="s">
        <v>173</v>
      </c>
      <c r="B20" s="1316" t="s">
        <v>1017</v>
      </c>
      <c r="C20" s="1236"/>
      <c r="D20" s="1230"/>
      <c r="E20" s="1230"/>
      <c r="F20" s="1231"/>
      <c r="G20" s="1236"/>
      <c r="H20" s="1230"/>
      <c r="I20" s="1230"/>
      <c r="J20" s="1231"/>
      <c r="K20" s="1236"/>
      <c r="L20" s="1230"/>
      <c r="M20" s="1230"/>
      <c r="N20" s="1231"/>
      <c r="O20" s="1236"/>
      <c r="P20" s="1230"/>
      <c r="Q20" s="1230"/>
      <c r="R20" s="1231"/>
      <c r="S20" s="1236"/>
      <c r="T20" s="1230">
        <v>178500</v>
      </c>
      <c r="U20" s="1230"/>
      <c r="V20" s="1231">
        <f>SUM(S20:U20)</f>
        <v>178500</v>
      </c>
    </row>
    <row r="21" spans="1:22" s="10" customFormat="1" ht="26.25" thickBot="1">
      <c r="A21" s="733" t="s">
        <v>182</v>
      </c>
      <c r="B21" s="710" t="s">
        <v>714</v>
      </c>
      <c r="C21" s="719"/>
      <c r="D21" s="719"/>
      <c r="E21" s="719"/>
      <c r="F21" s="720"/>
      <c r="G21" s="719"/>
      <c r="H21" s="719"/>
      <c r="I21" s="719"/>
      <c r="J21" s="720"/>
      <c r="K21" s="719"/>
      <c r="L21" s="719"/>
      <c r="M21" s="719"/>
      <c r="N21" s="720"/>
      <c r="O21" s="719"/>
      <c r="P21" s="719"/>
      <c r="Q21" s="719"/>
      <c r="R21" s="720"/>
      <c r="S21" s="719"/>
      <c r="T21" s="719"/>
      <c r="U21" s="719"/>
      <c r="V21" s="720"/>
    </row>
    <row r="22" spans="1:22" s="514" customFormat="1" ht="16.5" thickBot="1">
      <c r="A22" s="2239" t="s">
        <v>479</v>
      </c>
      <c r="B22" s="2240"/>
      <c r="C22" s="726">
        <f aca="true" t="shared" si="1" ref="C22:J22">SUM(C12+C14+C21)+C20</f>
        <v>0</v>
      </c>
      <c r="D22" s="726">
        <f t="shared" si="1"/>
        <v>2265000</v>
      </c>
      <c r="E22" s="726">
        <f t="shared" si="1"/>
        <v>0</v>
      </c>
      <c r="F22" s="727">
        <f t="shared" si="1"/>
        <v>2265000</v>
      </c>
      <c r="G22" s="726">
        <f t="shared" si="1"/>
        <v>0</v>
      </c>
      <c r="H22" s="726">
        <f t="shared" si="1"/>
        <v>1859346</v>
      </c>
      <c r="I22" s="726">
        <f t="shared" si="1"/>
        <v>0</v>
      </c>
      <c r="J22" s="727">
        <f t="shared" si="1"/>
        <v>1859346</v>
      </c>
      <c r="K22" s="726">
        <f aca="true" t="shared" si="2" ref="K22:R22">SUM(K12+K14+K21)+K20</f>
        <v>0</v>
      </c>
      <c r="L22" s="726">
        <f t="shared" si="2"/>
        <v>2146380</v>
      </c>
      <c r="M22" s="726">
        <f t="shared" si="2"/>
        <v>0</v>
      </c>
      <c r="N22" s="727">
        <f t="shared" si="2"/>
        <v>2146380</v>
      </c>
      <c r="O22" s="726">
        <f t="shared" si="2"/>
        <v>0</v>
      </c>
      <c r="P22" s="726">
        <f t="shared" si="2"/>
        <v>2146390</v>
      </c>
      <c r="Q22" s="726">
        <f t="shared" si="2"/>
        <v>0</v>
      </c>
      <c r="R22" s="727">
        <f t="shared" si="2"/>
        <v>2146390</v>
      </c>
      <c r="S22" s="726">
        <f>SUM(S12+S14+S21)+S20</f>
        <v>0</v>
      </c>
      <c r="T22" s="726">
        <f>SUM(T12+T14+T21)+T20</f>
        <v>2713068</v>
      </c>
      <c r="U22" s="726">
        <f>SUM(U12+U14+U21)+U20</f>
        <v>0</v>
      </c>
      <c r="V22" s="727">
        <f>SUM(V12+V14+V21)+V20</f>
        <v>2713068</v>
      </c>
    </row>
    <row r="23" spans="1:22" ht="38.25">
      <c r="A23" s="1239"/>
      <c r="B23" s="705" t="s">
        <v>715</v>
      </c>
      <c r="C23" s="728">
        <v>193701</v>
      </c>
      <c r="D23" s="728"/>
      <c r="E23" s="728"/>
      <c r="F23" s="1107">
        <f>SUM(C23)</f>
        <v>193701</v>
      </c>
      <c r="G23" s="728">
        <v>193701</v>
      </c>
      <c r="H23" s="728"/>
      <c r="I23" s="728"/>
      <c r="J23" s="1107">
        <f>SUM(G23)</f>
        <v>193701</v>
      </c>
      <c r="K23" s="728">
        <v>193701</v>
      </c>
      <c r="L23" s="728"/>
      <c r="M23" s="728"/>
      <c r="N23" s="1107">
        <f>SUM(K23)</f>
        <v>193701</v>
      </c>
      <c r="O23" s="728">
        <v>193701</v>
      </c>
      <c r="P23" s="728"/>
      <c r="Q23" s="728"/>
      <c r="R23" s="1107">
        <f>SUM(O23)</f>
        <v>193701</v>
      </c>
      <c r="S23" s="728">
        <v>193702</v>
      </c>
      <c r="T23" s="728"/>
      <c r="U23" s="728"/>
      <c r="V23" s="1107">
        <f>SUM(S23)</f>
        <v>193702</v>
      </c>
    </row>
    <row r="24" spans="1:22" ht="12.75">
      <c r="A24" s="1113"/>
      <c r="B24" s="706" t="s">
        <v>716</v>
      </c>
      <c r="C24" s="607">
        <f aca="true" t="shared" si="3" ref="C24:J24">SUM(C23)</f>
        <v>193701</v>
      </c>
      <c r="D24" s="607">
        <f t="shared" si="3"/>
        <v>0</v>
      </c>
      <c r="E24" s="607">
        <f t="shared" si="3"/>
        <v>0</v>
      </c>
      <c r="F24" s="1132">
        <f t="shared" si="3"/>
        <v>193701</v>
      </c>
      <c r="G24" s="607">
        <f t="shared" si="3"/>
        <v>193701</v>
      </c>
      <c r="H24" s="607">
        <f t="shared" si="3"/>
        <v>0</v>
      </c>
      <c r="I24" s="607">
        <f t="shared" si="3"/>
        <v>0</v>
      </c>
      <c r="J24" s="1132">
        <f t="shared" si="3"/>
        <v>193701</v>
      </c>
      <c r="K24" s="607">
        <f aca="true" t="shared" si="4" ref="K24:R24">SUM(K23)</f>
        <v>193701</v>
      </c>
      <c r="L24" s="607">
        <f t="shared" si="4"/>
        <v>0</v>
      </c>
      <c r="M24" s="607">
        <f t="shared" si="4"/>
        <v>0</v>
      </c>
      <c r="N24" s="1132">
        <f t="shared" si="4"/>
        <v>193701</v>
      </c>
      <c r="O24" s="607">
        <f t="shared" si="4"/>
        <v>193701</v>
      </c>
      <c r="P24" s="607">
        <f t="shared" si="4"/>
        <v>0</v>
      </c>
      <c r="Q24" s="607">
        <f t="shared" si="4"/>
        <v>0</v>
      </c>
      <c r="R24" s="1132">
        <f t="shared" si="4"/>
        <v>193701</v>
      </c>
      <c r="S24" s="607">
        <f>SUM(S23)</f>
        <v>193702</v>
      </c>
      <c r="T24" s="607">
        <f>SUM(T23)</f>
        <v>0</v>
      </c>
      <c r="U24" s="607">
        <f>SUM(U23)</f>
        <v>0</v>
      </c>
      <c r="V24" s="1132">
        <f>SUM(V23)</f>
        <v>193702</v>
      </c>
    </row>
    <row r="25" spans="1:22" ht="26.25" thickBot="1">
      <c r="A25" s="1240"/>
      <c r="B25" s="712" t="s">
        <v>717</v>
      </c>
      <c r="C25" s="729">
        <v>101692969</v>
      </c>
      <c r="D25" s="729">
        <v>26475158</v>
      </c>
      <c r="E25" s="729"/>
      <c r="F25" s="1133">
        <f>SUM(C25:E25)</f>
        <v>128168127</v>
      </c>
      <c r="G25" s="729">
        <v>122994438</v>
      </c>
      <c r="H25" s="729"/>
      <c r="I25" s="729"/>
      <c r="J25" s="1133">
        <f>SUM(G25:I25)</f>
        <v>122994438</v>
      </c>
      <c r="K25" s="729">
        <v>109511107</v>
      </c>
      <c r="L25" s="729">
        <v>13483331</v>
      </c>
      <c r="M25" s="729"/>
      <c r="N25" s="1133">
        <f>SUM(K25:M25)</f>
        <v>122994438</v>
      </c>
      <c r="O25" s="729">
        <v>109511107</v>
      </c>
      <c r="P25" s="729">
        <v>13483331</v>
      </c>
      <c r="Q25" s="729"/>
      <c r="R25" s="1133">
        <f>SUM(O25:Q25)</f>
        <v>122994438</v>
      </c>
      <c r="S25" s="729">
        <v>106646907</v>
      </c>
      <c r="T25" s="729">
        <v>25545890</v>
      </c>
      <c r="U25" s="729"/>
      <c r="V25" s="1133">
        <f>SUM(S25:U25)</f>
        <v>132192797</v>
      </c>
    </row>
    <row r="26" spans="1:22" ht="32.25" thickBot="1">
      <c r="A26" s="714"/>
      <c r="B26" s="715" t="s">
        <v>718</v>
      </c>
      <c r="C26" s="719">
        <f aca="true" t="shared" si="5" ref="C26:J26">SUM(C24:C25)</f>
        <v>101886670</v>
      </c>
      <c r="D26" s="719">
        <f t="shared" si="5"/>
        <v>26475158</v>
      </c>
      <c r="E26" s="719">
        <f t="shared" si="5"/>
        <v>0</v>
      </c>
      <c r="F26" s="720">
        <f t="shared" si="5"/>
        <v>128361828</v>
      </c>
      <c r="G26" s="719">
        <f t="shared" si="5"/>
        <v>123188139</v>
      </c>
      <c r="H26" s="719">
        <f t="shared" si="5"/>
        <v>0</v>
      </c>
      <c r="I26" s="719">
        <f t="shared" si="5"/>
        <v>0</v>
      </c>
      <c r="J26" s="720">
        <f t="shared" si="5"/>
        <v>123188139</v>
      </c>
      <c r="K26" s="719">
        <f aca="true" t="shared" si="6" ref="K26:R26">SUM(K24:K25)</f>
        <v>109704808</v>
      </c>
      <c r="L26" s="719">
        <f t="shared" si="6"/>
        <v>13483331</v>
      </c>
      <c r="M26" s="719">
        <f t="shared" si="6"/>
        <v>0</v>
      </c>
      <c r="N26" s="720">
        <f t="shared" si="6"/>
        <v>123188139</v>
      </c>
      <c r="O26" s="719">
        <f t="shared" si="6"/>
        <v>109704808</v>
      </c>
      <c r="P26" s="719">
        <f t="shared" si="6"/>
        <v>13483331</v>
      </c>
      <c r="Q26" s="719">
        <f t="shared" si="6"/>
        <v>0</v>
      </c>
      <c r="R26" s="720">
        <f t="shared" si="6"/>
        <v>123188139</v>
      </c>
      <c r="S26" s="719">
        <f>SUM(S24:S25)</f>
        <v>106840609</v>
      </c>
      <c r="T26" s="719">
        <f>SUM(T24:T25)</f>
        <v>25545890</v>
      </c>
      <c r="U26" s="719">
        <f>SUM(U24:U25)</f>
        <v>0</v>
      </c>
      <c r="V26" s="720">
        <f>SUM(V24:V25)</f>
        <v>132386499</v>
      </c>
    </row>
    <row r="27" spans="1:22" ht="16.5" thickBot="1">
      <c r="A27" s="2228" t="s">
        <v>157</v>
      </c>
      <c r="B27" s="2229"/>
      <c r="C27" s="731">
        <f aca="true" t="shared" si="7" ref="C27:J27">SUM(C22+C26)</f>
        <v>101886670</v>
      </c>
      <c r="D27" s="731">
        <f t="shared" si="7"/>
        <v>28740158</v>
      </c>
      <c r="E27" s="731">
        <f t="shared" si="7"/>
        <v>0</v>
      </c>
      <c r="F27" s="732">
        <f t="shared" si="7"/>
        <v>130626828</v>
      </c>
      <c r="G27" s="731">
        <f t="shared" si="7"/>
        <v>123188139</v>
      </c>
      <c r="H27" s="731">
        <f t="shared" si="7"/>
        <v>1859346</v>
      </c>
      <c r="I27" s="731">
        <f t="shared" si="7"/>
        <v>0</v>
      </c>
      <c r="J27" s="732">
        <f t="shared" si="7"/>
        <v>125047485</v>
      </c>
      <c r="K27" s="731">
        <f aca="true" t="shared" si="8" ref="K27:R27">SUM(K22+K26)</f>
        <v>109704808</v>
      </c>
      <c r="L27" s="731">
        <f t="shared" si="8"/>
        <v>15629711</v>
      </c>
      <c r="M27" s="731">
        <f t="shared" si="8"/>
        <v>0</v>
      </c>
      <c r="N27" s="732">
        <f t="shared" si="8"/>
        <v>125334519</v>
      </c>
      <c r="O27" s="731">
        <f t="shared" si="8"/>
        <v>109704808</v>
      </c>
      <c r="P27" s="731">
        <f t="shared" si="8"/>
        <v>15629721</v>
      </c>
      <c r="Q27" s="731">
        <f t="shared" si="8"/>
        <v>0</v>
      </c>
      <c r="R27" s="732">
        <f t="shared" si="8"/>
        <v>125334529</v>
      </c>
      <c r="S27" s="731">
        <f>SUM(S22+S26)</f>
        <v>106840609</v>
      </c>
      <c r="T27" s="731">
        <f>SUM(T22+T26)</f>
        <v>28258958</v>
      </c>
      <c r="U27" s="731">
        <f>SUM(U22+U26)</f>
        <v>0</v>
      </c>
      <c r="V27" s="732">
        <f>SUM(V22+V26)</f>
        <v>135099567</v>
      </c>
    </row>
    <row r="28" spans="1:22" ht="12.75">
      <c r="A28" s="1241" t="s">
        <v>164</v>
      </c>
      <c r="B28" s="706" t="s">
        <v>721</v>
      </c>
      <c r="C28" s="431">
        <v>54436516</v>
      </c>
      <c r="D28" s="431">
        <v>32033817</v>
      </c>
      <c r="E28" s="709"/>
      <c r="F28" s="432">
        <f>SUM(C28:E28)</f>
        <v>86470333</v>
      </c>
      <c r="G28" s="431">
        <v>86486333</v>
      </c>
      <c r="H28" s="431"/>
      <c r="I28" s="709"/>
      <c r="J28" s="432">
        <f>SUM(G28:I28)</f>
        <v>86486333</v>
      </c>
      <c r="K28" s="431">
        <v>73839223</v>
      </c>
      <c r="L28" s="431">
        <v>12647110</v>
      </c>
      <c r="M28" s="709"/>
      <c r="N28" s="432">
        <f>SUM(K28:M28)</f>
        <v>86486333</v>
      </c>
      <c r="O28" s="431">
        <v>73839223</v>
      </c>
      <c r="P28" s="431">
        <v>12647110</v>
      </c>
      <c r="Q28" s="709"/>
      <c r="R28" s="432">
        <f>SUM(O28:Q28)</f>
        <v>86486333</v>
      </c>
      <c r="S28" s="431">
        <v>74359013</v>
      </c>
      <c r="T28" s="431">
        <v>19402707</v>
      </c>
      <c r="U28" s="709"/>
      <c r="V28" s="432">
        <f>SUM(S28:U28)</f>
        <v>93761720</v>
      </c>
    </row>
    <row r="29" spans="1:22" ht="38.25">
      <c r="A29" s="1242" t="s">
        <v>166</v>
      </c>
      <c r="B29" s="706" t="s">
        <v>722</v>
      </c>
      <c r="C29" s="431">
        <v>9914284</v>
      </c>
      <c r="D29" s="431">
        <v>5810806</v>
      </c>
      <c r="E29" s="391"/>
      <c r="F29" s="432">
        <f>SUM(C29:E29)</f>
        <v>15725090</v>
      </c>
      <c r="G29" s="431">
        <v>15727890</v>
      </c>
      <c r="H29" s="431"/>
      <c r="I29" s="391"/>
      <c r="J29" s="432">
        <f>SUM(G29:I29)</f>
        <v>15727890</v>
      </c>
      <c r="K29" s="431">
        <v>13470535</v>
      </c>
      <c r="L29" s="431">
        <v>2257355</v>
      </c>
      <c r="M29" s="391"/>
      <c r="N29" s="432">
        <f>SUM(K29:M29)</f>
        <v>15727890</v>
      </c>
      <c r="O29" s="431">
        <v>13470535</v>
      </c>
      <c r="P29" s="431">
        <v>2257355</v>
      </c>
      <c r="Q29" s="391"/>
      <c r="R29" s="432">
        <f>SUM(O29:Q29)</f>
        <v>15727890</v>
      </c>
      <c r="S29" s="431">
        <v>13257520</v>
      </c>
      <c r="T29" s="431">
        <v>3556251</v>
      </c>
      <c r="U29" s="391"/>
      <c r="V29" s="432">
        <f>SUM(S29:U29)</f>
        <v>16813771</v>
      </c>
    </row>
    <row r="30" spans="1:22" s="10" customFormat="1" ht="12.75">
      <c r="A30" s="1242" t="s">
        <v>173</v>
      </c>
      <c r="B30" s="605" t="s">
        <v>723</v>
      </c>
      <c r="C30" s="431">
        <v>21441405</v>
      </c>
      <c r="D30" s="431">
        <v>6490000</v>
      </c>
      <c r="E30" s="406"/>
      <c r="F30" s="432">
        <f>SUM(C30:E30)</f>
        <v>27931405</v>
      </c>
      <c r="G30" s="431">
        <v>20973916</v>
      </c>
      <c r="H30" s="431">
        <v>1359346</v>
      </c>
      <c r="I30" s="406"/>
      <c r="J30" s="432">
        <f>SUM(G30:I30)</f>
        <v>22333262</v>
      </c>
      <c r="K30" s="431">
        <v>21895050</v>
      </c>
      <c r="L30" s="431">
        <v>725246</v>
      </c>
      <c r="M30" s="406"/>
      <c r="N30" s="432">
        <f>SUM(K30:M30)</f>
        <v>22620296</v>
      </c>
      <c r="O30" s="431">
        <v>21895050</v>
      </c>
      <c r="P30" s="431">
        <v>725256</v>
      </c>
      <c r="Q30" s="406"/>
      <c r="R30" s="432">
        <f>SUM(O30:Q30)</f>
        <v>22620306</v>
      </c>
      <c r="S30" s="431">
        <v>18890317</v>
      </c>
      <c r="T30" s="431">
        <v>5300000</v>
      </c>
      <c r="U30" s="406"/>
      <c r="V30" s="432">
        <f>SUM(S30:U30)</f>
        <v>24190317</v>
      </c>
    </row>
    <row r="31" spans="1:22" s="10" customFormat="1" ht="12.75">
      <c r="A31" s="1242" t="s">
        <v>182</v>
      </c>
      <c r="B31" s="605" t="s">
        <v>724</v>
      </c>
      <c r="C31" s="740">
        <f>SUM(C32:C33)</f>
        <v>500000</v>
      </c>
      <c r="D31" s="740"/>
      <c r="E31" s="740">
        <f>SUM(E32:E33)</f>
        <v>0</v>
      </c>
      <c r="F31" s="432">
        <f>SUM(C31:E31)</f>
        <v>500000</v>
      </c>
      <c r="G31" s="740">
        <f>SUM(G32:G33)</f>
        <v>0</v>
      </c>
      <c r="H31" s="740">
        <v>500000</v>
      </c>
      <c r="I31" s="740">
        <f>SUM(I32:I33)</f>
        <v>0</v>
      </c>
      <c r="J31" s="432">
        <f>SUM(G31:I31)</f>
        <v>500000</v>
      </c>
      <c r="K31" s="740">
        <f>SUM(K32:K33)</f>
        <v>500000</v>
      </c>
      <c r="L31" s="740">
        <v>0</v>
      </c>
      <c r="M31" s="740">
        <f>SUM(M32:M33)</f>
        <v>0</v>
      </c>
      <c r="N31" s="432">
        <f>SUM(K31:M31)</f>
        <v>500000</v>
      </c>
      <c r="O31" s="740">
        <f>SUM(O32:O33)</f>
        <v>500000</v>
      </c>
      <c r="P31" s="740">
        <v>0</v>
      </c>
      <c r="Q31" s="740">
        <f>SUM(Q32:Q33)</f>
        <v>0</v>
      </c>
      <c r="R31" s="432">
        <f>SUM(O31:Q31)</f>
        <v>500000</v>
      </c>
      <c r="S31" s="740">
        <f>SUM(S32:S33)</f>
        <v>333759</v>
      </c>
      <c r="T31" s="740">
        <v>0</v>
      </c>
      <c r="U31" s="740">
        <f>SUM(U32:U33)</f>
        <v>0</v>
      </c>
      <c r="V31" s="432">
        <f>SUM(S31:U31)</f>
        <v>333759</v>
      </c>
    </row>
    <row r="32" spans="1:22" s="114" customFormat="1" ht="12.75">
      <c r="A32" s="1114"/>
      <c r="B32" s="707" t="s">
        <v>132</v>
      </c>
      <c r="C32" s="429">
        <v>500000</v>
      </c>
      <c r="D32" s="707"/>
      <c r="E32" s="707"/>
      <c r="F32" s="432">
        <f>SUM(C32:E32)</f>
        <v>500000</v>
      </c>
      <c r="G32" s="429">
        <v>0</v>
      </c>
      <c r="H32" s="707">
        <v>500000</v>
      </c>
      <c r="I32" s="707"/>
      <c r="J32" s="432">
        <f>SUM(G32:I32)</f>
        <v>500000</v>
      </c>
      <c r="K32" s="429">
        <v>500000</v>
      </c>
      <c r="L32" s="707">
        <v>0</v>
      </c>
      <c r="M32" s="707"/>
      <c r="N32" s="432">
        <f>SUM(K32:M32)</f>
        <v>500000</v>
      </c>
      <c r="O32" s="429">
        <v>500000</v>
      </c>
      <c r="P32" s="707">
        <v>0</v>
      </c>
      <c r="Q32" s="707"/>
      <c r="R32" s="432">
        <f>SUM(O32:Q32)</f>
        <v>500000</v>
      </c>
      <c r="S32" s="429">
        <v>333759</v>
      </c>
      <c r="T32" s="707">
        <v>0</v>
      </c>
      <c r="U32" s="707"/>
      <c r="V32" s="432">
        <f>SUM(S32:U32)</f>
        <v>333759</v>
      </c>
    </row>
    <row r="33" spans="1:22" s="114" customFormat="1" ht="13.5" thickBot="1">
      <c r="A33" s="1125"/>
      <c r="B33" s="716" t="s">
        <v>134</v>
      </c>
      <c r="C33" s="716"/>
      <c r="D33" s="716"/>
      <c r="E33" s="716"/>
      <c r="F33" s="1126"/>
      <c r="G33" s="716"/>
      <c r="H33" s="716"/>
      <c r="I33" s="716"/>
      <c r="J33" s="1126"/>
      <c r="K33" s="716"/>
      <c r="L33" s="716"/>
      <c r="M33" s="716"/>
      <c r="N33" s="1126"/>
      <c r="O33" s="716"/>
      <c r="P33" s="716"/>
      <c r="Q33" s="716"/>
      <c r="R33" s="1126"/>
      <c r="S33" s="716"/>
      <c r="T33" s="716"/>
      <c r="U33" s="716"/>
      <c r="V33" s="1126"/>
    </row>
    <row r="34" spans="1:22" ht="16.5" thickBot="1">
      <c r="A34" s="741"/>
      <c r="B34" s="742" t="s">
        <v>725</v>
      </c>
      <c r="C34" s="743">
        <f>SUM(C28:C32)</f>
        <v>86792205</v>
      </c>
      <c r="D34" s="743">
        <f>SUM(D28:D32)</f>
        <v>44334623</v>
      </c>
      <c r="E34" s="743">
        <f>SUM(E28:E31)</f>
        <v>0</v>
      </c>
      <c r="F34" s="744">
        <f>SUM(F28:F31)</f>
        <v>130626828</v>
      </c>
      <c r="G34" s="743">
        <f>SUM(G28:G32)</f>
        <v>123188139</v>
      </c>
      <c r="H34" s="743">
        <f aca="true" t="shared" si="9" ref="H34:R34">SUM(H28:H31)</f>
        <v>1859346</v>
      </c>
      <c r="I34" s="743">
        <f t="shared" si="9"/>
        <v>0</v>
      </c>
      <c r="J34" s="744">
        <f t="shared" si="9"/>
        <v>125047485</v>
      </c>
      <c r="K34" s="743">
        <f t="shared" si="9"/>
        <v>109704808</v>
      </c>
      <c r="L34" s="743">
        <f t="shared" si="9"/>
        <v>15629711</v>
      </c>
      <c r="M34" s="743">
        <f t="shared" si="9"/>
        <v>0</v>
      </c>
      <c r="N34" s="744">
        <f t="shared" si="9"/>
        <v>125334519</v>
      </c>
      <c r="O34" s="743">
        <f t="shared" si="9"/>
        <v>109704808</v>
      </c>
      <c r="P34" s="743">
        <f t="shared" si="9"/>
        <v>15629721</v>
      </c>
      <c r="Q34" s="743">
        <f t="shared" si="9"/>
        <v>0</v>
      </c>
      <c r="R34" s="744">
        <f t="shared" si="9"/>
        <v>125334529</v>
      </c>
      <c r="S34" s="743">
        <f>SUM(S28:S31)</f>
        <v>106840609</v>
      </c>
      <c r="T34" s="743">
        <f>SUM(T28:T31)</f>
        <v>28258958</v>
      </c>
      <c r="U34" s="743">
        <f>SUM(U28:U31)</f>
        <v>0</v>
      </c>
      <c r="V34" s="744">
        <f>SUM(V28:V31)</f>
        <v>135099567</v>
      </c>
    </row>
  </sheetData>
  <sheetProtection/>
  <mergeCells count="12">
    <mergeCell ref="S10:V10"/>
    <mergeCell ref="A6:V6"/>
    <mergeCell ref="A2:V2"/>
    <mergeCell ref="A1:R1"/>
    <mergeCell ref="G10:J10"/>
    <mergeCell ref="A22:B22"/>
    <mergeCell ref="A27:B27"/>
    <mergeCell ref="A10:B11"/>
    <mergeCell ref="C10:F10"/>
    <mergeCell ref="K10:N10"/>
    <mergeCell ref="O10:R10"/>
    <mergeCell ref="J3:L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V29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R15" sqref="R15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16.421875" style="0" customWidth="1"/>
    <col min="4" max="4" width="16.7109375" style="0" customWidth="1"/>
    <col min="5" max="5" width="13.7109375" style="0" customWidth="1"/>
    <col min="6" max="6" width="17.28125" style="0" customWidth="1"/>
    <col min="7" max="7" width="16.421875" style="0" hidden="1" customWidth="1"/>
    <col min="8" max="8" width="16.7109375" style="0" hidden="1" customWidth="1"/>
    <col min="9" max="9" width="13.7109375" style="0" hidden="1" customWidth="1"/>
    <col min="10" max="10" width="17.28125" style="0" hidden="1" customWidth="1"/>
    <col min="11" max="11" width="16.421875" style="0" hidden="1" customWidth="1"/>
    <col min="12" max="12" width="16.7109375" style="0" hidden="1" customWidth="1"/>
    <col min="13" max="13" width="13.7109375" style="0" hidden="1" customWidth="1"/>
    <col min="14" max="14" width="17.28125" style="0" hidden="1" customWidth="1"/>
    <col min="15" max="15" width="16.421875" style="0" customWidth="1"/>
    <col min="16" max="16" width="16.7109375" style="0" customWidth="1"/>
    <col min="17" max="17" width="13.7109375" style="0" customWidth="1"/>
    <col min="18" max="18" width="17.28125" style="0" customWidth="1"/>
    <col min="19" max="19" width="16.421875" style="0" customWidth="1"/>
    <col min="20" max="20" width="16.7109375" style="0" customWidth="1"/>
    <col min="21" max="21" width="13.7109375" style="0" customWidth="1"/>
    <col min="22" max="22" width="17.28125" style="0" customWidth="1"/>
  </cols>
  <sheetData>
    <row r="1" spans="1:22" ht="15.75">
      <c r="A1" s="2241" t="s">
        <v>728</v>
      </c>
      <c r="B1" s="2241"/>
      <c r="C1" s="2241"/>
      <c r="D1" s="2241"/>
      <c r="E1" s="2241"/>
      <c r="F1" s="2241"/>
      <c r="G1" s="2241"/>
      <c r="H1" s="2241"/>
      <c r="I1" s="2241"/>
      <c r="J1" s="2241"/>
      <c r="K1" s="2241"/>
      <c r="L1" s="2241"/>
      <c r="M1" s="2241"/>
      <c r="N1" s="2241"/>
      <c r="O1" s="2241"/>
      <c r="P1" s="2241"/>
      <c r="Q1" s="2241"/>
      <c r="R1" s="2241"/>
      <c r="S1" s="2241"/>
      <c r="T1" s="2241"/>
      <c r="U1" s="2241"/>
      <c r="V1" s="2241"/>
    </row>
    <row r="2" spans="1:22" ht="15.75">
      <c r="A2" s="2241" t="s">
        <v>1295</v>
      </c>
      <c r="B2" s="2241"/>
      <c r="C2" s="2241"/>
      <c r="D2" s="2241"/>
      <c r="E2" s="2241"/>
      <c r="F2" s="2241"/>
      <c r="G2" s="2241"/>
      <c r="H2" s="2241"/>
      <c r="I2" s="2241"/>
      <c r="J2" s="2241"/>
      <c r="K2" s="2241"/>
      <c r="L2" s="2241"/>
      <c r="M2" s="2241"/>
      <c r="N2" s="2241"/>
      <c r="O2" s="2241"/>
      <c r="P2" s="2241"/>
      <c r="Q2" s="2241"/>
      <c r="R2" s="2241"/>
      <c r="S2" s="2241"/>
      <c r="T2" s="2241"/>
      <c r="U2" s="2241"/>
      <c r="V2" s="2241"/>
    </row>
    <row r="3" spans="1:22" ht="15.75">
      <c r="A3" s="1825"/>
      <c r="B3" s="1825"/>
      <c r="C3" s="1825"/>
      <c r="D3" s="1825"/>
      <c r="E3" s="1825"/>
      <c r="F3" s="2241" t="s">
        <v>1296</v>
      </c>
      <c r="G3" s="2241"/>
      <c r="H3" s="2241"/>
      <c r="I3" s="2241"/>
      <c r="J3" s="2241"/>
      <c r="K3" s="2241"/>
      <c r="L3" s="2241"/>
      <c r="M3" s="2241"/>
      <c r="N3" s="2241"/>
      <c r="O3" s="2241"/>
      <c r="P3" s="2241"/>
      <c r="Q3" s="2241"/>
      <c r="R3" s="1825"/>
      <c r="S3" s="1825"/>
      <c r="T3" s="2241" t="s">
        <v>1311</v>
      </c>
      <c r="U3" s="2241"/>
      <c r="V3" s="1825"/>
    </row>
    <row r="4" spans="1:22" ht="12.75">
      <c r="A4" s="703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</row>
    <row r="5" spans="1:22" ht="12.75">
      <c r="A5" s="703"/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</row>
    <row r="6" spans="1:22" ht="29.25" customHeight="1">
      <c r="A6" s="2237" t="s">
        <v>1018</v>
      </c>
      <c r="B6" s="2237"/>
      <c r="C6" s="2237"/>
      <c r="D6" s="2237"/>
      <c r="E6" s="2237"/>
      <c r="F6" s="2237"/>
      <c r="G6" s="2237"/>
      <c r="H6" s="2237"/>
      <c r="I6" s="2237"/>
      <c r="J6" s="2237"/>
      <c r="K6" s="2237"/>
      <c r="L6" s="2237"/>
      <c r="M6" s="2237"/>
      <c r="N6" s="2237"/>
      <c r="O6" s="2237"/>
      <c r="P6" s="2237"/>
      <c r="Q6" s="2237"/>
      <c r="R6" s="2237"/>
      <c r="S6" s="2237"/>
      <c r="T6" s="2237"/>
      <c r="U6" s="2237"/>
      <c r="V6" s="2237"/>
    </row>
    <row r="9" spans="6:22" ht="13.5" thickBot="1">
      <c r="F9" s="838"/>
      <c r="J9" s="838"/>
      <c r="N9" s="838"/>
      <c r="R9" s="838"/>
      <c r="V9" s="838" t="s">
        <v>214</v>
      </c>
    </row>
    <row r="10" spans="1:22" ht="12.75">
      <c r="A10" s="2230" t="s">
        <v>703</v>
      </c>
      <c r="B10" s="2231"/>
      <c r="C10" s="2234" t="s">
        <v>522</v>
      </c>
      <c r="D10" s="2234"/>
      <c r="E10" s="2234"/>
      <c r="F10" s="2235"/>
      <c r="G10" s="2234" t="s">
        <v>1157</v>
      </c>
      <c r="H10" s="2234"/>
      <c r="I10" s="2234"/>
      <c r="J10" s="2235"/>
      <c r="K10" s="2234" t="s">
        <v>1178</v>
      </c>
      <c r="L10" s="2234"/>
      <c r="M10" s="2234"/>
      <c r="N10" s="2235"/>
      <c r="O10" s="2234" t="s">
        <v>1250</v>
      </c>
      <c r="P10" s="2234"/>
      <c r="Q10" s="2234"/>
      <c r="R10" s="2235"/>
      <c r="S10" s="2234" t="s">
        <v>1267</v>
      </c>
      <c r="T10" s="2234"/>
      <c r="U10" s="2234"/>
      <c r="V10" s="2235"/>
    </row>
    <row r="11" spans="1:22" s="4" customFormat="1" ht="39.75" customHeight="1" thickBot="1">
      <c r="A11" s="2232"/>
      <c r="B11" s="2233"/>
      <c r="C11" s="738" t="s">
        <v>704</v>
      </c>
      <c r="D11" s="738" t="s">
        <v>705</v>
      </c>
      <c r="E11" s="738" t="s">
        <v>706</v>
      </c>
      <c r="F11" s="739" t="s">
        <v>25</v>
      </c>
      <c r="G11" s="738" t="s">
        <v>704</v>
      </c>
      <c r="H11" s="738" t="s">
        <v>705</v>
      </c>
      <c r="I11" s="738" t="s">
        <v>706</v>
      </c>
      <c r="J11" s="739" t="s">
        <v>25</v>
      </c>
      <c r="K11" s="738" t="s">
        <v>704</v>
      </c>
      <c r="L11" s="738" t="s">
        <v>705</v>
      </c>
      <c r="M11" s="738" t="s">
        <v>706</v>
      </c>
      <c r="N11" s="739" t="s">
        <v>25</v>
      </c>
      <c r="O11" s="738" t="s">
        <v>704</v>
      </c>
      <c r="P11" s="738" t="s">
        <v>705</v>
      </c>
      <c r="Q11" s="738" t="s">
        <v>706</v>
      </c>
      <c r="R11" s="739" t="s">
        <v>25</v>
      </c>
      <c r="S11" s="738" t="s">
        <v>704</v>
      </c>
      <c r="T11" s="738" t="s">
        <v>705</v>
      </c>
      <c r="U11" s="738" t="s">
        <v>706</v>
      </c>
      <c r="V11" s="739" t="s">
        <v>25</v>
      </c>
    </row>
    <row r="12" spans="1:22" s="4" customFormat="1" ht="39.75" customHeight="1" thickBot="1">
      <c r="A12" s="820"/>
      <c r="B12" s="1335" t="s">
        <v>1029</v>
      </c>
      <c r="C12" s="1333"/>
      <c r="D12" s="1333"/>
      <c r="E12" s="1333"/>
      <c r="F12" s="1334"/>
      <c r="G12" s="1333"/>
      <c r="H12" s="1333"/>
      <c r="I12" s="1333"/>
      <c r="J12" s="1334"/>
      <c r="K12" s="1333"/>
      <c r="L12" s="1333"/>
      <c r="M12" s="1333"/>
      <c r="N12" s="1334"/>
      <c r="O12" s="1333"/>
      <c r="P12" s="1333"/>
      <c r="Q12" s="1333"/>
      <c r="R12" s="1334"/>
      <c r="S12" s="1333"/>
      <c r="T12" s="1333"/>
      <c r="U12" s="1333"/>
      <c r="V12" s="1334"/>
    </row>
    <row r="13" spans="1:22" s="10" customFormat="1" ht="13.5" thickBot="1">
      <c r="A13" s="733"/>
      <c r="B13" s="711" t="s">
        <v>708</v>
      </c>
      <c r="C13" s="719">
        <f>SUM(C14:C16)</f>
        <v>0</v>
      </c>
      <c r="D13" s="719">
        <f>SUM(D14:D16)</f>
        <v>1217000</v>
      </c>
      <c r="E13" s="719">
        <v>0</v>
      </c>
      <c r="F13" s="720">
        <f>SUM(C13:E13)</f>
        <v>1217000</v>
      </c>
      <c r="G13" s="719">
        <f>SUM(G14:G16)</f>
        <v>0</v>
      </c>
      <c r="H13" s="719">
        <f>SUM(H14:H16)</f>
        <v>350000</v>
      </c>
      <c r="I13" s="719">
        <v>0</v>
      </c>
      <c r="J13" s="720">
        <f>SUM(G13:I13)</f>
        <v>350000</v>
      </c>
      <c r="K13" s="719">
        <f>SUM(K14:K16)</f>
        <v>0</v>
      </c>
      <c r="L13" s="719">
        <f>SUM(L14:L16)</f>
        <v>400020</v>
      </c>
      <c r="M13" s="719">
        <v>0</v>
      </c>
      <c r="N13" s="720">
        <f>SUM(K13:M13)</f>
        <v>400020</v>
      </c>
      <c r="O13" s="719">
        <f>SUM(O14:O16)</f>
        <v>0</v>
      </c>
      <c r="P13" s="719">
        <f>SUM(P14:P16)</f>
        <v>590018</v>
      </c>
      <c r="Q13" s="719">
        <v>0</v>
      </c>
      <c r="R13" s="720">
        <f>SUM(O13:Q13)</f>
        <v>590018</v>
      </c>
      <c r="S13" s="719">
        <f>SUM(S14:S16)</f>
        <v>0</v>
      </c>
      <c r="T13" s="719">
        <f>SUM(T14:T16)</f>
        <v>702157</v>
      </c>
      <c r="U13" s="719">
        <v>0</v>
      </c>
      <c r="V13" s="720">
        <f>SUM(S13:U13)</f>
        <v>702157</v>
      </c>
    </row>
    <row r="14" spans="1:22" s="114" customFormat="1" ht="12.75">
      <c r="A14" s="1238"/>
      <c r="B14" s="705" t="s">
        <v>726</v>
      </c>
      <c r="C14" s="722"/>
      <c r="D14" s="723">
        <v>1217000</v>
      </c>
      <c r="E14" s="723"/>
      <c r="F14" s="1118">
        <f>SUM(C14:E14)</f>
        <v>1217000</v>
      </c>
      <c r="G14" s="722"/>
      <c r="H14" s="723">
        <v>350000</v>
      </c>
      <c r="I14" s="723"/>
      <c r="J14" s="1118">
        <f>SUM(G14:I14)</f>
        <v>350000</v>
      </c>
      <c r="K14" s="722"/>
      <c r="L14" s="723">
        <v>400000</v>
      </c>
      <c r="M14" s="723"/>
      <c r="N14" s="1118">
        <f>SUM(K14:M14)</f>
        <v>400000</v>
      </c>
      <c r="O14" s="722"/>
      <c r="P14" s="723">
        <v>550000</v>
      </c>
      <c r="Q14" s="723"/>
      <c r="R14" s="1118">
        <v>550000</v>
      </c>
      <c r="S14" s="722"/>
      <c r="T14" s="723">
        <v>643630</v>
      </c>
      <c r="U14" s="723"/>
      <c r="V14" s="1118">
        <v>550000</v>
      </c>
    </row>
    <row r="15" spans="1:22" s="114" customFormat="1" ht="25.5">
      <c r="A15" s="801"/>
      <c r="B15" s="705" t="s">
        <v>712</v>
      </c>
      <c r="C15" s="724">
        <v>0</v>
      </c>
      <c r="D15" s="717"/>
      <c r="E15" s="717"/>
      <c r="F15" s="1120">
        <f>SUM(C15:E15)</f>
        <v>0</v>
      </c>
      <c r="G15" s="724">
        <v>0</v>
      </c>
      <c r="H15" s="717"/>
      <c r="I15" s="717"/>
      <c r="J15" s="1120">
        <f>SUM(G15:I15)</f>
        <v>0</v>
      </c>
      <c r="K15" s="724">
        <v>0</v>
      </c>
      <c r="L15" s="717"/>
      <c r="M15" s="717"/>
      <c r="N15" s="1120">
        <f>SUM(K15:M15)</f>
        <v>0</v>
      </c>
      <c r="O15" s="724">
        <v>0</v>
      </c>
      <c r="P15" s="717"/>
      <c r="Q15" s="717"/>
      <c r="R15" s="1120">
        <f>SUM(O15:Q15)</f>
        <v>0</v>
      </c>
      <c r="S15" s="724">
        <v>0</v>
      </c>
      <c r="T15" s="717"/>
      <c r="U15" s="717"/>
      <c r="V15" s="1120">
        <f>SUM(S15:U15)</f>
        <v>0</v>
      </c>
    </row>
    <row r="16" spans="1:22" s="114" customFormat="1" ht="13.5" thickBot="1">
      <c r="A16" s="801"/>
      <c r="B16" s="886" t="s">
        <v>727</v>
      </c>
      <c r="C16" s="725">
        <v>0</v>
      </c>
      <c r="D16" s="718"/>
      <c r="E16" s="718"/>
      <c r="F16" s="1555">
        <f>SUM(C16:E16)</f>
        <v>0</v>
      </c>
      <c r="G16" s="725">
        <v>0</v>
      </c>
      <c r="H16" s="718"/>
      <c r="I16" s="718"/>
      <c r="J16" s="1555">
        <f>SUM(G16:I16)</f>
        <v>0</v>
      </c>
      <c r="K16" s="725">
        <v>0</v>
      </c>
      <c r="L16" s="718">
        <v>20</v>
      </c>
      <c r="M16" s="718"/>
      <c r="N16" s="1555">
        <f>SUM(K16:M16)</f>
        <v>20</v>
      </c>
      <c r="O16" s="725">
        <v>0</v>
      </c>
      <c r="P16" s="718">
        <v>40018</v>
      </c>
      <c r="Q16" s="718"/>
      <c r="R16" s="1555">
        <v>40018</v>
      </c>
      <c r="S16" s="725">
        <v>0</v>
      </c>
      <c r="T16" s="718">
        <v>58527</v>
      </c>
      <c r="U16" s="718"/>
      <c r="V16" s="1555">
        <v>40018</v>
      </c>
    </row>
    <row r="17" spans="1:22" s="514" customFormat="1" ht="16.5" thickBot="1">
      <c r="A17" s="1556" t="s">
        <v>164</v>
      </c>
      <c r="B17" s="887" t="s">
        <v>479</v>
      </c>
      <c r="C17" s="726">
        <f aca="true" t="shared" si="0" ref="C17:J17">SUM(C13)</f>
        <v>0</v>
      </c>
      <c r="D17" s="726">
        <f t="shared" si="0"/>
        <v>1217000</v>
      </c>
      <c r="E17" s="726">
        <f t="shared" si="0"/>
        <v>0</v>
      </c>
      <c r="F17" s="727">
        <f t="shared" si="0"/>
        <v>1217000</v>
      </c>
      <c r="G17" s="726">
        <f t="shared" si="0"/>
        <v>0</v>
      </c>
      <c r="H17" s="726">
        <f t="shared" si="0"/>
        <v>350000</v>
      </c>
      <c r="I17" s="726">
        <f t="shared" si="0"/>
        <v>0</v>
      </c>
      <c r="J17" s="727">
        <f t="shared" si="0"/>
        <v>350000</v>
      </c>
      <c r="K17" s="726">
        <f aca="true" t="shared" si="1" ref="K17:R17">SUM(K13)</f>
        <v>0</v>
      </c>
      <c r="L17" s="726">
        <f t="shared" si="1"/>
        <v>400020</v>
      </c>
      <c r="M17" s="726">
        <f t="shared" si="1"/>
        <v>0</v>
      </c>
      <c r="N17" s="727">
        <f t="shared" si="1"/>
        <v>400020</v>
      </c>
      <c r="O17" s="726">
        <f t="shared" si="1"/>
        <v>0</v>
      </c>
      <c r="P17" s="726">
        <f t="shared" si="1"/>
        <v>590018</v>
      </c>
      <c r="Q17" s="726">
        <f t="shared" si="1"/>
        <v>0</v>
      </c>
      <c r="R17" s="727">
        <f t="shared" si="1"/>
        <v>590018</v>
      </c>
      <c r="S17" s="726">
        <f>SUM(S13)</f>
        <v>0</v>
      </c>
      <c r="T17" s="726">
        <f>SUM(T13)</f>
        <v>702157</v>
      </c>
      <c r="U17" s="726">
        <f>SUM(U13)</f>
        <v>0</v>
      </c>
      <c r="V17" s="727">
        <f>SUM(V13)</f>
        <v>702157</v>
      </c>
    </row>
    <row r="18" spans="1:22" ht="25.5">
      <c r="A18" s="1113"/>
      <c r="B18" s="886" t="s">
        <v>715</v>
      </c>
      <c r="C18" s="728">
        <v>269743</v>
      </c>
      <c r="D18" s="728"/>
      <c r="E18" s="728"/>
      <c r="F18" s="1107">
        <v>269743</v>
      </c>
      <c r="G18" s="728">
        <v>269743</v>
      </c>
      <c r="H18" s="728"/>
      <c r="I18" s="728"/>
      <c r="J18" s="1107">
        <v>269743</v>
      </c>
      <c r="K18" s="728">
        <v>269743</v>
      </c>
      <c r="L18" s="728"/>
      <c r="M18" s="728"/>
      <c r="N18" s="1107">
        <v>269743</v>
      </c>
      <c r="O18" s="728">
        <v>269743</v>
      </c>
      <c r="P18" s="728"/>
      <c r="Q18" s="728"/>
      <c r="R18" s="1107">
        <v>269743</v>
      </c>
      <c r="S18" s="728">
        <v>269743</v>
      </c>
      <c r="T18" s="728"/>
      <c r="U18" s="728"/>
      <c r="V18" s="1107">
        <v>269743</v>
      </c>
    </row>
    <row r="19" spans="1:22" ht="12.75">
      <c r="A19" s="1113"/>
      <c r="B19" s="888" t="s">
        <v>716</v>
      </c>
      <c r="C19" s="606">
        <v>269743</v>
      </c>
      <c r="D19" s="606"/>
      <c r="E19" s="606"/>
      <c r="F19" s="1128">
        <v>269743</v>
      </c>
      <c r="G19" s="606">
        <v>269743</v>
      </c>
      <c r="H19" s="606"/>
      <c r="I19" s="606"/>
      <c r="J19" s="1128">
        <v>269743</v>
      </c>
      <c r="K19" s="606">
        <v>269743</v>
      </c>
      <c r="L19" s="606"/>
      <c r="M19" s="606"/>
      <c r="N19" s="1128">
        <v>269743</v>
      </c>
      <c r="O19" s="606">
        <v>269743</v>
      </c>
      <c r="P19" s="606"/>
      <c r="Q19" s="606"/>
      <c r="R19" s="1128">
        <v>269743</v>
      </c>
      <c r="S19" s="606">
        <v>269743</v>
      </c>
      <c r="T19" s="606"/>
      <c r="U19" s="606"/>
      <c r="V19" s="1128">
        <v>269743</v>
      </c>
    </row>
    <row r="20" spans="1:22" ht="26.25" thickBot="1">
      <c r="A20" s="1240"/>
      <c r="B20" s="712" t="s">
        <v>717</v>
      </c>
      <c r="C20" s="729">
        <v>25310663</v>
      </c>
      <c r="D20" s="729">
        <v>1320000</v>
      </c>
      <c r="E20" s="729"/>
      <c r="F20" s="1133">
        <f>SUM(C20:E20)</f>
        <v>26630663</v>
      </c>
      <c r="G20" s="729">
        <v>21853049</v>
      </c>
      <c r="H20" s="729">
        <v>1820000</v>
      </c>
      <c r="I20" s="729"/>
      <c r="J20" s="1133">
        <f>SUM(G20:I20)</f>
        <v>23673049</v>
      </c>
      <c r="K20" s="729">
        <v>22483839</v>
      </c>
      <c r="L20" s="729">
        <v>1419980</v>
      </c>
      <c r="M20" s="729"/>
      <c r="N20" s="1133">
        <f>SUM(K20:M20)</f>
        <v>23903819</v>
      </c>
      <c r="O20" s="729">
        <v>22661536</v>
      </c>
      <c r="P20" s="729">
        <v>1419980</v>
      </c>
      <c r="Q20" s="729"/>
      <c r="R20" s="1133">
        <f>SUM(O20:Q20)</f>
        <v>24081516</v>
      </c>
      <c r="S20" s="729">
        <v>22872127</v>
      </c>
      <c r="T20" s="729"/>
      <c r="U20" s="729"/>
      <c r="V20" s="1133">
        <f>SUM(S20:U20)</f>
        <v>22872127</v>
      </c>
    </row>
    <row r="21" spans="1:22" ht="32.25" thickBot="1">
      <c r="A21" s="885" t="s">
        <v>166</v>
      </c>
      <c r="B21" s="715" t="s">
        <v>718</v>
      </c>
      <c r="C21" s="730">
        <f>SUM(C20+C19)</f>
        <v>25580406</v>
      </c>
      <c r="D21" s="730">
        <f>SUM(D19:D20)</f>
        <v>1320000</v>
      </c>
      <c r="E21" s="730">
        <f>SUM(E19:E20)</f>
        <v>0</v>
      </c>
      <c r="F21" s="1111">
        <f>SUM(F19:F20)</f>
        <v>26900406</v>
      </c>
      <c r="G21" s="730">
        <f>SUM(G20+G19)</f>
        <v>22122792</v>
      </c>
      <c r="H21" s="730">
        <f>SUM(H19:H20)</f>
        <v>1820000</v>
      </c>
      <c r="I21" s="730">
        <f>SUM(I19:I20)</f>
        <v>0</v>
      </c>
      <c r="J21" s="1111">
        <f>SUM(J19:J20)</f>
        <v>23942792</v>
      </c>
      <c r="K21" s="730">
        <f>SUM(K20+K19)</f>
        <v>22753582</v>
      </c>
      <c r="L21" s="730">
        <f>SUM(L19:L20)</f>
        <v>1419980</v>
      </c>
      <c r="M21" s="730">
        <f>SUM(M19:M20)</f>
        <v>0</v>
      </c>
      <c r="N21" s="1111">
        <f>SUM(N19:N20)</f>
        <v>24173562</v>
      </c>
      <c r="O21" s="730">
        <f>SUM(O20+O19)</f>
        <v>22931279</v>
      </c>
      <c r="P21" s="730">
        <f>SUM(P19:P20)</f>
        <v>1419980</v>
      </c>
      <c r="Q21" s="730">
        <f>SUM(Q19:Q20)</f>
        <v>0</v>
      </c>
      <c r="R21" s="1111">
        <f>SUM(R19:R20)</f>
        <v>24351259</v>
      </c>
      <c r="S21" s="730">
        <f>SUM(S20+S19)</f>
        <v>23141870</v>
      </c>
      <c r="T21" s="730">
        <f>SUM(T19:T20)</f>
        <v>0</v>
      </c>
      <c r="U21" s="730">
        <f>SUM(U19:U20)</f>
        <v>0</v>
      </c>
      <c r="V21" s="1111">
        <f>SUM(V19:V20)</f>
        <v>23141870</v>
      </c>
    </row>
    <row r="22" spans="1:22" ht="16.5" thickBot="1">
      <c r="A22" s="2228" t="s">
        <v>157</v>
      </c>
      <c r="B22" s="2229"/>
      <c r="C22" s="731">
        <f aca="true" t="shared" si="2" ref="C22:J22">SUM(C17+C21)</f>
        <v>25580406</v>
      </c>
      <c r="D22" s="731">
        <f t="shared" si="2"/>
        <v>2537000</v>
      </c>
      <c r="E22" s="731">
        <f t="shared" si="2"/>
        <v>0</v>
      </c>
      <c r="F22" s="732">
        <f t="shared" si="2"/>
        <v>28117406</v>
      </c>
      <c r="G22" s="731">
        <f t="shared" si="2"/>
        <v>22122792</v>
      </c>
      <c r="H22" s="731">
        <f t="shared" si="2"/>
        <v>2170000</v>
      </c>
      <c r="I22" s="731">
        <f t="shared" si="2"/>
        <v>0</v>
      </c>
      <c r="J22" s="732">
        <f t="shared" si="2"/>
        <v>24292792</v>
      </c>
      <c r="K22" s="731">
        <f aca="true" t="shared" si="3" ref="K22:R22">SUM(K17+K21)</f>
        <v>22753582</v>
      </c>
      <c r="L22" s="731">
        <f t="shared" si="3"/>
        <v>1820000</v>
      </c>
      <c r="M22" s="731">
        <f t="shared" si="3"/>
        <v>0</v>
      </c>
      <c r="N22" s="732">
        <f t="shared" si="3"/>
        <v>24573582</v>
      </c>
      <c r="O22" s="731">
        <f t="shared" si="3"/>
        <v>22931279</v>
      </c>
      <c r="P22" s="731">
        <f t="shared" si="3"/>
        <v>2009998</v>
      </c>
      <c r="Q22" s="731">
        <f t="shared" si="3"/>
        <v>0</v>
      </c>
      <c r="R22" s="732">
        <f t="shared" si="3"/>
        <v>24941277</v>
      </c>
      <c r="S22" s="731">
        <f>SUM(S17+S21)</f>
        <v>23141870</v>
      </c>
      <c r="T22" s="731">
        <f>SUM(T17+T21)</f>
        <v>702157</v>
      </c>
      <c r="U22" s="731">
        <f>SUM(U17+U21)</f>
        <v>0</v>
      </c>
      <c r="V22" s="732">
        <f>SUM(V17+V21)</f>
        <v>23844027</v>
      </c>
    </row>
    <row r="23" spans="1:22" ht="12.75">
      <c r="A23" s="1241" t="s">
        <v>164</v>
      </c>
      <c r="B23" s="706" t="s">
        <v>721</v>
      </c>
      <c r="C23" s="431">
        <v>11927834</v>
      </c>
      <c r="D23" s="431"/>
      <c r="E23" s="709"/>
      <c r="F23" s="1557">
        <f aca="true" t="shared" si="4" ref="F23:F28">SUM(C23:E23)</f>
        <v>11927834</v>
      </c>
      <c r="G23" s="431">
        <v>12026035</v>
      </c>
      <c r="H23" s="431"/>
      <c r="I23" s="709"/>
      <c r="J23" s="1557">
        <f aca="true" t="shared" si="5" ref="J23:J28">SUM(G23:I23)</f>
        <v>12026035</v>
      </c>
      <c r="K23" s="431">
        <v>12222435</v>
      </c>
      <c r="L23" s="431"/>
      <c r="M23" s="709"/>
      <c r="N23" s="1557">
        <f aca="true" t="shared" si="6" ref="N23:N28">SUM(K23:M23)</f>
        <v>12222435</v>
      </c>
      <c r="O23" s="431">
        <v>12376285</v>
      </c>
      <c r="P23" s="431"/>
      <c r="Q23" s="709"/>
      <c r="R23" s="1557">
        <f aca="true" t="shared" si="7" ref="R23:R28">SUM(O23:Q23)</f>
        <v>12376285</v>
      </c>
      <c r="S23" s="431">
        <v>13184023</v>
      </c>
      <c r="T23" s="431"/>
      <c r="U23" s="709"/>
      <c r="V23" s="1557">
        <f aca="true" t="shared" si="8" ref="V23:V28">SUM(S23:U23)</f>
        <v>13184023</v>
      </c>
    </row>
    <row r="24" spans="1:22" ht="25.5">
      <c r="A24" s="1242" t="s">
        <v>166</v>
      </c>
      <c r="B24" s="706" t="s">
        <v>722</v>
      </c>
      <c r="C24" s="431">
        <v>2129572</v>
      </c>
      <c r="D24" s="406"/>
      <c r="E24" s="391"/>
      <c r="F24" s="1557">
        <f t="shared" si="4"/>
        <v>2129572</v>
      </c>
      <c r="G24" s="431">
        <v>2146757</v>
      </c>
      <c r="H24" s="406"/>
      <c r="I24" s="391"/>
      <c r="J24" s="1557">
        <f t="shared" si="5"/>
        <v>2146757</v>
      </c>
      <c r="K24" s="431">
        <v>2181127</v>
      </c>
      <c r="L24" s="406"/>
      <c r="M24" s="391"/>
      <c r="N24" s="1557">
        <f t="shared" si="6"/>
        <v>2181127</v>
      </c>
      <c r="O24" s="431">
        <v>2204974</v>
      </c>
      <c r="P24" s="406"/>
      <c r="Q24" s="391"/>
      <c r="R24" s="1557">
        <f t="shared" si="7"/>
        <v>2204974</v>
      </c>
      <c r="S24" s="431">
        <v>1531952</v>
      </c>
      <c r="T24" s="406">
        <v>702157</v>
      </c>
      <c r="U24" s="391"/>
      <c r="V24" s="1557">
        <f t="shared" si="8"/>
        <v>2234109</v>
      </c>
    </row>
    <row r="25" spans="1:22" s="10" customFormat="1" ht="12.75">
      <c r="A25" s="1242" t="s">
        <v>173</v>
      </c>
      <c r="B25" s="605" t="s">
        <v>723</v>
      </c>
      <c r="C25" s="431">
        <v>11523000</v>
      </c>
      <c r="D25" s="406">
        <v>2037000</v>
      </c>
      <c r="E25" s="406"/>
      <c r="F25" s="1557">
        <f t="shared" si="4"/>
        <v>13560000</v>
      </c>
      <c r="G25" s="431">
        <v>8300000</v>
      </c>
      <c r="H25" s="406">
        <v>1320000</v>
      </c>
      <c r="I25" s="406"/>
      <c r="J25" s="1557">
        <f t="shared" si="5"/>
        <v>9620000</v>
      </c>
      <c r="K25" s="431">
        <v>8350020</v>
      </c>
      <c r="L25" s="406">
        <v>1320000</v>
      </c>
      <c r="M25" s="406"/>
      <c r="N25" s="1557">
        <f t="shared" si="6"/>
        <v>9670020</v>
      </c>
      <c r="O25" s="431">
        <v>8350020</v>
      </c>
      <c r="P25" s="406">
        <v>1509998</v>
      </c>
      <c r="Q25" s="406"/>
      <c r="R25" s="1557">
        <f t="shared" si="7"/>
        <v>9860018</v>
      </c>
      <c r="S25" s="431">
        <v>8181114</v>
      </c>
      <c r="T25" s="406"/>
      <c r="U25" s="406"/>
      <c r="V25" s="1557">
        <f t="shared" si="8"/>
        <v>8181114</v>
      </c>
    </row>
    <row r="26" spans="1:22" s="10" customFormat="1" ht="12.75">
      <c r="A26" s="1242" t="s">
        <v>182</v>
      </c>
      <c r="B26" s="605" t="s">
        <v>724</v>
      </c>
      <c r="C26" s="740"/>
      <c r="D26" s="740">
        <v>500000</v>
      </c>
      <c r="E26" s="740">
        <f>SUM(E27:E28)</f>
        <v>0</v>
      </c>
      <c r="F26" s="1557">
        <f t="shared" si="4"/>
        <v>500000</v>
      </c>
      <c r="G26" s="740"/>
      <c r="H26" s="740">
        <v>500000</v>
      </c>
      <c r="I26" s="740">
        <f>SUM(I27:I28)</f>
        <v>0</v>
      </c>
      <c r="J26" s="1557">
        <f t="shared" si="5"/>
        <v>500000</v>
      </c>
      <c r="K26" s="740"/>
      <c r="L26" s="740">
        <v>500000</v>
      </c>
      <c r="M26" s="740">
        <f>SUM(M27:M28)</f>
        <v>0</v>
      </c>
      <c r="N26" s="1557">
        <f t="shared" si="6"/>
        <v>500000</v>
      </c>
      <c r="O26" s="740"/>
      <c r="P26" s="740">
        <v>500000</v>
      </c>
      <c r="Q26" s="740">
        <f>SUM(Q27:Q28)</f>
        <v>0</v>
      </c>
      <c r="R26" s="1557">
        <f t="shared" si="7"/>
        <v>500000</v>
      </c>
      <c r="S26" s="740">
        <v>244781</v>
      </c>
      <c r="T26" s="740"/>
      <c r="U26" s="740">
        <f>SUM(U27:U28)</f>
        <v>0</v>
      </c>
      <c r="V26" s="1557">
        <f t="shared" si="8"/>
        <v>244781</v>
      </c>
    </row>
    <row r="27" spans="1:22" s="114" customFormat="1" ht="12.75">
      <c r="A27" s="1114"/>
      <c r="B27" s="707" t="s">
        <v>132</v>
      </c>
      <c r="C27" s="429"/>
      <c r="D27" s="707">
        <v>500000</v>
      </c>
      <c r="E27" s="707"/>
      <c r="F27" s="1557">
        <f t="shared" si="4"/>
        <v>500000</v>
      </c>
      <c r="G27" s="429"/>
      <c r="H27" s="707">
        <v>500000</v>
      </c>
      <c r="I27" s="707"/>
      <c r="J27" s="1557">
        <f t="shared" si="5"/>
        <v>500000</v>
      </c>
      <c r="K27" s="429"/>
      <c r="L27" s="707">
        <v>500000</v>
      </c>
      <c r="M27" s="707"/>
      <c r="N27" s="1557">
        <f t="shared" si="6"/>
        <v>500000</v>
      </c>
      <c r="O27" s="429"/>
      <c r="P27" s="707">
        <v>500000</v>
      </c>
      <c r="Q27" s="707"/>
      <c r="R27" s="1557">
        <f t="shared" si="7"/>
        <v>500000</v>
      </c>
      <c r="S27" s="429">
        <v>244781</v>
      </c>
      <c r="T27" s="707"/>
      <c r="U27" s="707"/>
      <c r="V27" s="1557">
        <f t="shared" si="8"/>
        <v>244781</v>
      </c>
    </row>
    <row r="28" spans="1:22" s="114" customFormat="1" ht="13.5" thickBot="1">
      <c r="A28" s="1125"/>
      <c r="B28" s="716" t="s">
        <v>134</v>
      </c>
      <c r="C28" s="559"/>
      <c r="D28" s="716"/>
      <c r="E28" s="716"/>
      <c r="F28" s="1557">
        <f t="shared" si="4"/>
        <v>0</v>
      </c>
      <c r="G28" s="559"/>
      <c r="H28" s="716"/>
      <c r="I28" s="716"/>
      <c r="J28" s="1557">
        <f t="shared" si="5"/>
        <v>0</v>
      </c>
      <c r="K28" s="559"/>
      <c r="L28" s="716"/>
      <c r="M28" s="716"/>
      <c r="N28" s="1557">
        <f t="shared" si="6"/>
        <v>0</v>
      </c>
      <c r="O28" s="559"/>
      <c r="P28" s="716"/>
      <c r="Q28" s="716"/>
      <c r="R28" s="1557">
        <f t="shared" si="7"/>
        <v>0</v>
      </c>
      <c r="S28" s="559"/>
      <c r="T28" s="716"/>
      <c r="U28" s="716"/>
      <c r="V28" s="1557">
        <f t="shared" si="8"/>
        <v>0</v>
      </c>
    </row>
    <row r="29" spans="1:22" ht="16.5" thickBot="1">
      <c r="A29" s="741"/>
      <c r="B29" s="742" t="s">
        <v>725</v>
      </c>
      <c r="C29" s="743">
        <f>SUM(C23:C28)</f>
        <v>25580406</v>
      </c>
      <c r="D29" s="743">
        <f>SUM(D23:D26)</f>
        <v>2537000</v>
      </c>
      <c r="E29" s="743">
        <f>SUM(E23:E26)</f>
        <v>0</v>
      </c>
      <c r="F29" s="744">
        <f>SUM(F23:F26)</f>
        <v>28117406</v>
      </c>
      <c r="G29" s="743">
        <f>SUM(G23:G28)</f>
        <v>22472792</v>
      </c>
      <c r="H29" s="743">
        <f>SUM(H23:H26)</f>
        <v>1820000</v>
      </c>
      <c r="I29" s="743">
        <f>SUM(I23:I26)</f>
        <v>0</v>
      </c>
      <c r="J29" s="744">
        <f>SUM(J23:J26)</f>
        <v>24292792</v>
      </c>
      <c r="K29" s="743">
        <f>SUM(K23:K28)</f>
        <v>22753582</v>
      </c>
      <c r="L29" s="743">
        <f>SUM(L23:L26)</f>
        <v>1820000</v>
      </c>
      <c r="M29" s="743">
        <f>SUM(M23:M26)</f>
        <v>0</v>
      </c>
      <c r="N29" s="744">
        <f>SUM(N23:N26)</f>
        <v>24573582</v>
      </c>
      <c r="O29" s="743">
        <f>SUM(O23:O28)</f>
        <v>22931279</v>
      </c>
      <c r="P29" s="743">
        <f>SUM(P23:P26)</f>
        <v>2009998</v>
      </c>
      <c r="Q29" s="743">
        <f>SUM(Q23:Q26)</f>
        <v>0</v>
      </c>
      <c r="R29" s="744">
        <f>SUM(R23:R26)</f>
        <v>24941277</v>
      </c>
      <c r="S29" s="743">
        <f>SUM(S23:S28)</f>
        <v>23386651</v>
      </c>
      <c r="T29" s="743">
        <f>SUM(T23:T26)</f>
        <v>702157</v>
      </c>
      <c r="U29" s="743">
        <f>SUM(U23:U26)</f>
        <v>0</v>
      </c>
      <c r="V29" s="744">
        <f>SUM(V23:V26)</f>
        <v>23844027</v>
      </c>
    </row>
  </sheetData>
  <sheetProtection/>
  <mergeCells count="12">
    <mergeCell ref="A22:B22"/>
    <mergeCell ref="A10:B11"/>
    <mergeCell ref="C10:F10"/>
    <mergeCell ref="O10:R10"/>
    <mergeCell ref="A6:V6"/>
    <mergeCell ref="A2:V2"/>
    <mergeCell ref="F3:Q3"/>
    <mergeCell ref="T3:U3"/>
    <mergeCell ref="A1:V1"/>
    <mergeCell ref="S10:V10"/>
    <mergeCell ref="K10:N10"/>
    <mergeCell ref="G10:J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V33"/>
  <sheetViews>
    <sheetView showGridLines="0" view="pageBreakPreview" zoomScaleSheetLayoutView="100" zoomScalePageLayoutView="0" workbookViewId="0" topLeftCell="D1">
      <selection activeCell="J3" sqref="J3:L4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9.00390625" style="0" customWidth="1"/>
    <col min="4" max="4" width="16.7109375" style="0" customWidth="1"/>
    <col min="5" max="5" width="16.8515625" style="0" customWidth="1"/>
    <col min="6" max="6" width="17.28125" style="0" customWidth="1"/>
    <col min="7" max="7" width="19.00390625" style="0" customWidth="1"/>
    <col min="8" max="8" width="16.7109375" style="0" customWidth="1"/>
    <col min="9" max="9" width="16.8515625" style="0" customWidth="1"/>
    <col min="10" max="10" width="17.28125" style="0" customWidth="1"/>
    <col min="11" max="11" width="19.00390625" style="0" customWidth="1"/>
    <col min="12" max="12" width="16.7109375" style="0" customWidth="1"/>
    <col min="13" max="13" width="16.8515625" style="0" customWidth="1"/>
    <col min="14" max="14" width="17.28125" style="0" customWidth="1"/>
    <col min="15" max="15" width="19.00390625" style="0" customWidth="1"/>
    <col min="16" max="16" width="16.7109375" style="0" customWidth="1"/>
    <col min="17" max="17" width="16.8515625" style="0" customWidth="1"/>
    <col min="18" max="18" width="17.28125" style="0" customWidth="1"/>
    <col min="19" max="19" width="19.00390625" style="0" customWidth="1"/>
    <col min="20" max="20" width="16.7109375" style="0" customWidth="1"/>
    <col min="21" max="21" width="16.8515625" style="0" customWidth="1"/>
    <col min="22" max="22" width="17.28125" style="0" customWidth="1"/>
  </cols>
  <sheetData>
    <row r="1" spans="1:22" ht="15">
      <c r="A1" s="2238" t="s">
        <v>730</v>
      </c>
      <c r="B1" s="2238"/>
      <c r="C1" s="2238"/>
      <c r="D1" s="2238"/>
      <c r="E1" s="2238"/>
      <c r="F1" s="2238"/>
      <c r="G1" s="2238"/>
      <c r="H1" s="2238"/>
      <c r="I1" s="2238"/>
      <c r="J1" s="2238"/>
      <c r="K1" s="2238"/>
      <c r="L1" s="2238"/>
      <c r="M1" s="2238"/>
      <c r="N1" s="2238"/>
      <c r="O1" s="2238"/>
      <c r="P1" s="2238"/>
      <c r="Q1" s="2238"/>
      <c r="R1" s="2238"/>
      <c r="S1" s="2238"/>
      <c r="T1" s="2238"/>
      <c r="U1" s="2238"/>
      <c r="V1" s="2238"/>
    </row>
    <row r="2" spans="1:22" ht="15.75">
      <c r="A2" s="1890" t="s">
        <v>1295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  <c r="M2" s="1890"/>
      <c r="N2" s="1890"/>
      <c r="O2" s="1890"/>
      <c r="P2" s="1890"/>
      <c r="Q2" s="1890"/>
      <c r="R2" s="1890"/>
      <c r="S2" s="1890"/>
      <c r="T2" s="1890"/>
      <c r="U2" s="1890"/>
      <c r="V2" s="1890"/>
    </row>
    <row r="3" spans="1:22" ht="15.75">
      <c r="A3" s="1824"/>
      <c r="B3" s="1824"/>
      <c r="C3" s="1824"/>
      <c r="D3" s="1824"/>
      <c r="E3" s="1824"/>
      <c r="F3" s="1824"/>
      <c r="G3" s="1824"/>
      <c r="H3" s="1824"/>
      <c r="I3" s="1824"/>
      <c r="J3" s="1890" t="s">
        <v>1296</v>
      </c>
      <c r="K3" s="1890"/>
      <c r="L3" s="1890"/>
      <c r="M3" s="1824"/>
      <c r="N3" s="1824"/>
      <c r="O3" s="1824"/>
      <c r="P3" s="1824" t="s">
        <v>1310</v>
      </c>
      <c r="Q3" s="1824"/>
      <c r="R3" s="1824"/>
      <c r="S3" s="1824"/>
      <c r="T3" s="1824"/>
      <c r="U3" s="1824"/>
      <c r="V3" s="1824"/>
    </row>
    <row r="4" spans="1:22" ht="15.75">
      <c r="A4" s="1824"/>
      <c r="B4" s="1824"/>
      <c r="C4" s="1824"/>
      <c r="D4" s="1824"/>
      <c r="E4" s="1824"/>
      <c r="F4" s="1824"/>
      <c r="G4" s="1824"/>
      <c r="H4" s="1824"/>
      <c r="I4" s="1824"/>
      <c r="J4" s="1890"/>
      <c r="K4" s="1890"/>
      <c r="L4" s="1890"/>
      <c r="M4" s="1824"/>
      <c r="N4" s="1824"/>
      <c r="O4" s="1824"/>
      <c r="P4" s="1824"/>
      <c r="Q4" s="1824"/>
      <c r="R4" s="1824"/>
      <c r="S4" s="1824"/>
      <c r="T4" s="1824"/>
      <c r="U4" s="1824"/>
      <c r="V4" s="1824"/>
    </row>
    <row r="5" spans="1:22" ht="15.75">
      <c r="A5" s="1824"/>
      <c r="B5" s="1824"/>
      <c r="C5" s="1824"/>
      <c r="D5" s="1824"/>
      <c r="E5" s="1824"/>
      <c r="F5" s="1824"/>
      <c r="G5" s="1824"/>
      <c r="H5" s="1824"/>
      <c r="I5" s="1824"/>
      <c r="J5" s="1824"/>
      <c r="K5" s="1824"/>
      <c r="L5" s="1824"/>
      <c r="M5" s="1824"/>
      <c r="N5" s="1824"/>
      <c r="O5" s="1824"/>
      <c r="P5" s="1824"/>
      <c r="Q5" s="1824"/>
      <c r="R5" s="1824"/>
      <c r="S5" s="1824"/>
      <c r="T5" s="1824"/>
      <c r="U5" s="1824"/>
      <c r="V5" s="1824"/>
    </row>
    <row r="6" spans="1:22" ht="29.25" customHeight="1">
      <c r="A6" s="1947" t="s">
        <v>729</v>
      </c>
      <c r="B6" s="1947"/>
      <c r="C6" s="1947"/>
      <c r="D6" s="1947"/>
      <c r="E6" s="1947"/>
      <c r="F6" s="1947"/>
      <c r="G6" s="1947"/>
      <c r="H6" s="1947"/>
      <c r="I6" s="1947"/>
      <c r="J6" s="1947"/>
      <c r="K6" s="1947"/>
      <c r="L6" s="1947"/>
      <c r="M6" s="1947"/>
      <c r="N6" s="1947"/>
      <c r="O6" s="1947"/>
      <c r="P6" s="1947"/>
      <c r="Q6" s="1947"/>
      <c r="R6" s="1947"/>
      <c r="S6" s="1947"/>
      <c r="T6" s="1947"/>
      <c r="U6" s="1947"/>
      <c r="V6" s="1947"/>
    </row>
    <row r="9" spans="6:22" ht="13.5" thickBot="1">
      <c r="F9" s="838"/>
      <c r="J9" s="838"/>
      <c r="N9" s="838"/>
      <c r="R9" s="838"/>
      <c r="V9" s="838" t="s">
        <v>214</v>
      </c>
    </row>
    <row r="10" spans="1:22" ht="12.75">
      <c r="A10" s="2230" t="s">
        <v>703</v>
      </c>
      <c r="B10" s="2243"/>
      <c r="C10" s="2245" t="s">
        <v>522</v>
      </c>
      <c r="D10" s="2234"/>
      <c r="E10" s="2234"/>
      <c r="F10" s="2235"/>
      <c r="G10" s="2245" t="s">
        <v>1157</v>
      </c>
      <c r="H10" s="2234"/>
      <c r="I10" s="2234"/>
      <c r="J10" s="2235"/>
      <c r="K10" s="2245" t="s">
        <v>1178</v>
      </c>
      <c r="L10" s="2234"/>
      <c r="M10" s="2234"/>
      <c r="N10" s="2235"/>
      <c r="O10" s="2245" t="s">
        <v>1250</v>
      </c>
      <c r="P10" s="2234"/>
      <c r="Q10" s="2234"/>
      <c r="R10" s="2235"/>
      <c r="S10" s="2245" t="s">
        <v>1267</v>
      </c>
      <c r="T10" s="2234"/>
      <c r="U10" s="2234"/>
      <c r="V10" s="2235"/>
    </row>
    <row r="11" spans="1:22" s="4" customFormat="1" ht="26.25" customHeight="1" thickBot="1">
      <c r="A11" s="2232"/>
      <c r="B11" s="2244"/>
      <c r="C11" s="1106" t="s">
        <v>704</v>
      </c>
      <c r="D11" s="738" t="s">
        <v>705</v>
      </c>
      <c r="E11" s="738" t="s">
        <v>706</v>
      </c>
      <c r="F11" s="739" t="s">
        <v>25</v>
      </c>
      <c r="G11" s="1106" t="s">
        <v>704</v>
      </c>
      <c r="H11" s="738" t="s">
        <v>705</v>
      </c>
      <c r="I11" s="738" t="s">
        <v>706</v>
      </c>
      <c r="J11" s="739" t="s">
        <v>25</v>
      </c>
      <c r="K11" s="1106" t="s">
        <v>704</v>
      </c>
      <c r="L11" s="738" t="s">
        <v>705</v>
      </c>
      <c r="M11" s="738" t="s">
        <v>706</v>
      </c>
      <c r="N11" s="739" t="s">
        <v>25</v>
      </c>
      <c r="O11" s="1106" t="s">
        <v>704</v>
      </c>
      <c r="P11" s="738" t="s">
        <v>705</v>
      </c>
      <c r="Q11" s="738" t="s">
        <v>706</v>
      </c>
      <c r="R11" s="739" t="s">
        <v>25</v>
      </c>
      <c r="S11" s="1106" t="s">
        <v>704</v>
      </c>
      <c r="T11" s="738" t="s">
        <v>705</v>
      </c>
      <c r="U11" s="738" t="s">
        <v>706</v>
      </c>
      <c r="V11" s="739" t="s">
        <v>25</v>
      </c>
    </row>
    <row r="12" spans="1:22" s="10" customFormat="1" ht="13.5" thickBot="1">
      <c r="A12" s="733" t="s">
        <v>164</v>
      </c>
      <c r="B12" s="1247" t="s">
        <v>708</v>
      </c>
      <c r="C12" s="1116">
        <f>SUM(C13:C15)</f>
        <v>0</v>
      </c>
      <c r="D12" s="719">
        <f>SUM(D13:D16)</f>
        <v>2071000</v>
      </c>
      <c r="E12" s="719">
        <f>SUM(E13:E16)</f>
        <v>0</v>
      </c>
      <c r="F12" s="720">
        <f>SUM(F13:F16)</f>
        <v>2071000</v>
      </c>
      <c r="G12" s="1116">
        <f>SUM(G13:G15)</f>
        <v>0</v>
      </c>
      <c r="H12" s="719">
        <f>SUM(H13:H17)</f>
        <v>2000008</v>
      </c>
      <c r="I12" s="719">
        <f>SUM(I13:I16)</f>
        <v>0</v>
      </c>
      <c r="J12" s="720">
        <f>SUM(J13:J17)</f>
        <v>2000008</v>
      </c>
      <c r="K12" s="1116">
        <f>SUM(K13:K15)</f>
        <v>0</v>
      </c>
      <c r="L12" s="719">
        <f>SUM(L13:L17)</f>
        <v>2000031</v>
      </c>
      <c r="M12" s="719">
        <f>SUM(M13:M16)</f>
        <v>0</v>
      </c>
      <c r="N12" s="720">
        <f>SUM(N13:N17)</f>
        <v>2000031</v>
      </c>
      <c r="O12" s="1116">
        <f>SUM(O13:O15)</f>
        <v>0</v>
      </c>
      <c r="P12" s="719">
        <f>SUM(P13:P17)</f>
        <v>1900040</v>
      </c>
      <c r="Q12" s="719">
        <f>SUM(Q13:Q16)</f>
        <v>0</v>
      </c>
      <c r="R12" s="720">
        <f>SUM(R13:R17)</f>
        <v>1900040</v>
      </c>
      <c r="S12" s="1116">
        <f>SUM(S13:S15)</f>
        <v>0</v>
      </c>
      <c r="T12" s="719">
        <f>SUM(T13:T17)</f>
        <v>1329246</v>
      </c>
      <c r="U12" s="719">
        <f>SUM(U13:U16)</f>
        <v>0</v>
      </c>
      <c r="V12" s="720">
        <f>SUM(V13:V17)</f>
        <v>1329246</v>
      </c>
    </row>
    <row r="13" spans="1:22" s="114" customFormat="1" ht="12.75">
      <c r="A13" s="1238"/>
      <c r="B13" s="1248" t="s">
        <v>726</v>
      </c>
      <c r="C13" s="1117"/>
      <c r="D13" s="723">
        <v>171000</v>
      </c>
      <c r="E13" s="723"/>
      <c r="F13" s="1118">
        <f>SUM(C13:E13)</f>
        <v>171000</v>
      </c>
      <c r="G13" s="1117"/>
      <c r="H13" s="723">
        <v>100000</v>
      </c>
      <c r="I13" s="723"/>
      <c r="J13" s="1118">
        <f>SUM(G13:I13)</f>
        <v>100000</v>
      </c>
      <c r="K13" s="1117"/>
      <c r="L13" s="723">
        <v>100000</v>
      </c>
      <c r="M13" s="723"/>
      <c r="N13" s="1118">
        <f>SUM(K13:M13)</f>
        <v>100000</v>
      </c>
      <c r="O13" s="1117"/>
      <c r="P13" s="723">
        <v>100000</v>
      </c>
      <c r="Q13" s="723"/>
      <c r="R13" s="1118">
        <f>SUM(O13:Q13)</f>
        <v>100000</v>
      </c>
      <c r="S13" s="1117"/>
      <c r="T13" s="723">
        <v>2000</v>
      </c>
      <c r="U13" s="723"/>
      <c r="V13" s="1118">
        <f>SUM(S13:U13)</f>
        <v>2000</v>
      </c>
    </row>
    <row r="14" spans="1:22" s="114" customFormat="1" ht="25.5">
      <c r="A14" s="801"/>
      <c r="B14" s="1248" t="s">
        <v>731</v>
      </c>
      <c r="C14" s="1119"/>
      <c r="D14" s="723">
        <v>1500000</v>
      </c>
      <c r="E14" s="717"/>
      <c r="F14" s="1120">
        <f>SUM(C14:E14)</f>
        <v>1500000</v>
      </c>
      <c r="G14" s="1119"/>
      <c r="H14" s="723">
        <v>1500000</v>
      </c>
      <c r="I14" s="717"/>
      <c r="J14" s="1120">
        <f>SUM(G14:I14)</f>
        <v>1500000</v>
      </c>
      <c r="K14" s="1119"/>
      <c r="L14" s="723">
        <v>1500000</v>
      </c>
      <c r="M14" s="717"/>
      <c r="N14" s="1120">
        <f>SUM(K14:M14)</f>
        <v>1500000</v>
      </c>
      <c r="O14" s="1119"/>
      <c r="P14" s="723">
        <v>1400000</v>
      </c>
      <c r="Q14" s="717"/>
      <c r="R14" s="1120">
        <f>SUM(O14:Q14)</f>
        <v>1400000</v>
      </c>
      <c r="S14" s="1119"/>
      <c r="T14" s="723">
        <v>1044636</v>
      </c>
      <c r="U14" s="717"/>
      <c r="V14" s="1120">
        <f>SUM(S14:U14)</f>
        <v>1044636</v>
      </c>
    </row>
    <row r="15" spans="1:22" s="114" customFormat="1" ht="25.5">
      <c r="A15" s="801"/>
      <c r="B15" s="1248" t="s">
        <v>711</v>
      </c>
      <c r="C15" s="1119"/>
      <c r="D15" s="723">
        <v>400000</v>
      </c>
      <c r="E15" s="717"/>
      <c r="F15" s="1120">
        <f>SUM(C15:E15)</f>
        <v>400000</v>
      </c>
      <c r="G15" s="1119"/>
      <c r="H15" s="723">
        <v>400000</v>
      </c>
      <c r="I15" s="717"/>
      <c r="J15" s="1120">
        <f>SUM(G15:I15)</f>
        <v>400000</v>
      </c>
      <c r="K15" s="1119"/>
      <c r="L15" s="723">
        <v>400000</v>
      </c>
      <c r="M15" s="717"/>
      <c r="N15" s="1120">
        <f>SUM(K15:M15)</f>
        <v>400000</v>
      </c>
      <c r="O15" s="1119"/>
      <c r="P15" s="723">
        <v>400000</v>
      </c>
      <c r="Q15" s="717"/>
      <c r="R15" s="1120">
        <f>SUM(O15:Q15)</f>
        <v>400000</v>
      </c>
      <c r="S15" s="1119"/>
      <c r="T15" s="723">
        <v>282588</v>
      </c>
      <c r="U15" s="717"/>
      <c r="V15" s="1120">
        <f>SUM(S15:U15)</f>
        <v>282588</v>
      </c>
    </row>
    <row r="16" spans="1:22" s="114" customFormat="1" ht="25.5">
      <c r="A16" s="801"/>
      <c r="B16" s="1248" t="s">
        <v>712</v>
      </c>
      <c r="C16" s="1119"/>
      <c r="D16" s="717"/>
      <c r="E16" s="717"/>
      <c r="F16" s="1120"/>
      <c r="G16" s="1119"/>
      <c r="H16" s="717"/>
      <c r="I16" s="717"/>
      <c r="J16" s="1120"/>
      <c r="K16" s="1119"/>
      <c r="L16" s="717">
        <v>1</v>
      </c>
      <c r="M16" s="717"/>
      <c r="N16" s="1120">
        <v>1</v>
      </c>
      <c r="O16" s="1119"/>
      <c r="P16" s="717">
        <v>2</v>
      </c>
      <c r="Q16" s="717"/>
      <c r="R16" s="1120">
        <v>2</v>
      </c>
      <c r="S16" s="1119"/>
      <c r="T16" s="717">
        <v>1</v>
      </c>
      <c r="U16" s="717"/>
      <c r="V16" s="1120">
        <v>1</v>
      </c>
    </row>
    <row r="17" spans="1:22" s="114" customFormat="1" ht="13.5" thickBot="1">
      <c r="A17" s="1317"/>
      <c r="B17" s="1318" t="s">
        <v>181</v>
      </c>
      <c r="C17" s="1127"/>
      <c r="D17" s="745"/>
      <c r="E17" s="745"/>
      <c r="F17" s="1229"/>
      <c r="G17" s="1127"/>
      <c r="H17" s="745">
        <v>8</v>
      </c>
      <c r="I17" s="745"/>
      <c r="J17" s="1229">
        <v>8</v>
      </c>
      <c r="K17" s="1127"/>
      <c r="L17" s="745">
        <v>30</v>
      </c>
      <c r="M17" s="745"/>
      <c r="N17" s="1229">
        <v>30</v>
      </c>
      <c r="O17" s="1127"/>
      <c r="P17" s="745">
        <v>38</v>
      </c>
      <c r="Q17" s="745"/>
      <c r="R17" s="1229">
        <v>38</v>
      </c>
      <c r="S17" s="1127"/>
      <c r="T17" s="745">
        <v>21</v>
      </c>
      <c r="U17" s="745"/>
      <c r="V17" s="1229">
        <v>21</v>
      </c>
    </row>
    <row r="18" spans="1:22" s="10" customFormat="1" ht="26.25" thickBot="1">
      <c r="A18" s="733" t="s">
        <v>166</v>
      </c>
      <c r="B18" s="711" t="s">
        <v>1033</v>
      </c>
      <c r="C18" s="1322"/>
      <c r="D18" s="719"/>
      <c r="E18" s="719"/>
      <c r="F18" s="720"/>
      <c r="G18" s="1322"/>
      <c r="H18" s="719"/>
      <c r="I18" s="719"/>
      <c r="J18" s="720"/>
      <c r="K18" s="1322"/>
      <c r="L18" s="719"/>
      <c r="M18" s="719"/>
      <c r="N18" s="720"/>
      <c r="O18" s="1322"/>
      <c r="P18" s="719"/>
      <c r="Q18" s="719"/>
      <c r="R18" s="720"/>
      <c r="S18" s="1322"/>
      <c r="T18" s="719"/>
      <c r="U18" s="719"/>
      <c r="V18" s="720"/>
    </row>
    <row r="19" spans="1:22" s="1423" customFormat="1" ht="13.5" thickBot="1">
      <c r="A19" s="1677"/>
      <c r="B19" s="1678" t="s">
        <v>1258</v>
      </c>
      <c r="C19" s="1679"/>
      <c r="D19" s="1680"/>
      <c r="E19" s="1680"/>
      <c r="F19" s="1680"/>
      <c r="G19" s="1679"/>
      <c r="H19" s="1680"/>
      <c r="I19" s="1680"/>
      <c r="J19" s="1680"/>
      <c r="K19" s="1679"/>
      <c r="L19" s="1680"/>
      <c r="M19" s="1680"/>
      <c r="N19" s="1680"/>
      <c r="O19" s="1679"/>
      <c r="P19" s="1680">
        <v>100000</v>
      </c>
      <c r="Q19" s="1680"/>
      <c r="R19" s="1680">
        <v>100000</v>
      </c>
      <c r="S19" s="1679"/>
      <c r="T19" s="1680">
        <v>145000</v>
      </c>
      <c r="U19" s="1680"/>
      <c r="V19" s="1680">
        <v>145000</v>
      </c>
    </row>
    <row r="20" spans="1:22" s="10" customFormat="1" ht="13.5" thickBot="1">
      <c r="A20" s="733" t="s">
        <v>173</v>
      </c>
      <c r="B20" s="711" t="s">
        <v>174</v>
      </c>
      <c r="C20" s="1681"/>
      <c r="D20" s="719"/>
      <c r="E20" s="719"/>
      <c r="F20" s="719"/>
      <c r="G20" s="1681"/>
      <c r="H20" s="719"/>
      <c r="I20" s="719"/>
      <c r="J20" s="719"/>
      <c r="K20" s="1681"/>
      <c r="L20" s="719"/>
      <c r="M20" s="719"/>
      <c r="N20" s="719"/>
      <c r="O20" s="1681"/>
      <c r="P20" s="719">
        <f>SUM(P19)</f>
        <v>100000</v>
      </c>
      <c r="Q20" s="719"/>
      <c r="R20" s="720">
        <v>100000</v>
      </c>
      <c r="S20" s="1681"/>
      <c r="T20" s="719">
        <f>SUM(T19)</f>
        <v>145000</v>
      </c>
      <c r="U20" s="719"/>
      <c r="V20" s="720">
        <v>145000</v>
      </c>
    </row>
    <row r="21" spans="1:22" s="514" customFormat="1" ht="16.5" thickBot="1">
      <c r="A21" s="2246" t="s">
        <v>479</v>
      </c>
      <c r="B21" s="2247"/>
      <c r="C21" s="1319">
        <f aca="true" t="shared" si="0" ref="C21:J21">SUM(C12)</f>
        <v>0</v>
      </c>
      <c r="D21" s="1320">
        <f t="shared" si="0"/>
        <v>2071000</v>
      </c>
      <c r="E21" s="1320">
        <f t="shared" si="0"/>
        <v>0</v>
      </c>
      <c r="F21" s="1321">
        <f t="shared" si="0"/>
        <v>2071000</v>
      </c>
      <c r="G21" s="1319">
        <f t="shared" si="0"/>
        <v>0</v>
      </c>
      <c r="H21" s="1320">
        <f t="shared" si="0"/>
        <v>2000008</v>
      </c>
      <c r="I21" s="1320">
        <f t="shared" si="0"/>
        <v>0</v>
      </c>
      <c r="J21" s="1321">
        <f t="shared" si="0"/>
        <v>2000008</v>
      </c>
      <c r="K21" s="1319">
        <f>SUM(K12)</f>
        <v>0</v>
      </c>
      <c r="L21" s="1320">
        <f>SUM(L12)</f>
        <v>2000031</v>
      </c>
      <c r="M21" s="1320">
        <f>SUM(M12)</f>
        <v>0</v>
      </c>
      <c r="N21" s="1321">
        <f>SUM(N12)</f>
        <v>2000031</v>
      </c>
      <c r="O21" s="1319">
        <f>SUM(O12)</f>
        <v>0</v>
      </c>
      <c r="P21" s="1320">
        <f>SUM(P12)+P20</f>
        <v>2000040</v>
      </c>
      <c r="Q21" s="1320">
        <f>SUM(Q12)</f>
        <v>0</v>
      </c>
      <c r="R21" s="1321">
        <f>SUM(R12)+R20</f>
        <v>2000040</v>
      </c>
      <c r="S21" s="1319">
        <f>SUM(S12)</f>
        <v>0</v>
      </c>
      <c r="T21" s="1320">
        <f>SUM(T12)+T20</f>
        <v>1474246</v>
      </c>
      <c r="U21" s="1320">
        <f>SUM(U12)</f>
        <v>0</v>
      </c>
      <c r="V21" s="1321">
        <f>SUM(V12)+V20</f>
        <v>1474246</v>
      </c>
    </row>
    <row r="22" spans="1:22" ht="25.5">
      <c r="A22" s="1239"/>
      <c r="B22" s="1248" t="s">
        <v>715</v>
      </c>
      <c r="C22" s="1244"/>
      <c r="D22" s="1245">
        <v>203352</v>
      </c>
      <c r="E22" s="1245"/>
      <c r="F22" s="1246">
        <f>SUM(C22:E22)</f>
        <v>203352</v>
      </c>
      <c r="G22" s="1244"/>
      <c r="H22" s="1245">
        <v>203352</v>
      </c>
      <c r="I22" s="1245"/>
      <c r="J22" s="1246">
        <f>SUM(G22:I22)</f>
        <v>203352</v>
      </c>
      <c r="K22" s="1244"/>
      <c r="L22" s="1245">
        <v>203352</v>
      </c>
      <c r="M22" s="1245"/>
      <c r="N22" s="1246">
        <f>SUM(K22:M22)</f>
        <v>203352</v>
      </c>
      <c r="O22" s="1244"/>
      <c r="P22" s="1245">
        <v>203352</v>
      </c>
      <c r="Q22" s="1245"/>
      <c r="R22" s="1246">
        <f>SUM(O22:Q22)</f>
        <v>203352</v>
      </c>
      <c r="S22" s="1244"/>
      <c r="T22" s="1245">
        <v>202352</v>
      </c>
      <c r="U22" s="1245"/>
      <c r="V22" s="1246">
        <f>SUM(S22:U22)</f>
        <v>202352</v>
      </c>
    </row>
    <row r="23" spans="1:22" ht="12.75">
      <c r="A23" s="1113"/>
      <c r="B23" s="1249" t="s">
        <v>716</v>
      </c>
      <c r="C23" s="1108">
        <f aca="true" t="shared" si="1" ref="C23:J23">SUM(C22)</f>
        <v>0</v>
      </c>
      <c r="D23" s="606">
        <f t="shared" si="1"/>
        <v>203352</v>
      </c>
      <c r="E23" s="606">
        <f t="shared" si="1"/>
        <v>0</v>
      </c>
      <c r="F23" s="1128">
        <f t="shared" si="1"/>
        <v>203352</v>
      </c>
      <c r="G23" s="1108">
        <f t="shared" si="1"/>
        <v>0</v>
      </c>
      <c r="H23" s="606">
        <f t="shared" si="1"/>
        <v>203352</v>
      </c>
      <c r="I23" s="606">
        <f t="shared" si="1"/>
        <v>0</v>
      </c>
      <c r="J23" s="1128">
        <f t="shared" si="1"/>
        <v>203352</v>
      </c>
      <c r="K23" s="1108">
        <f aca="true" t="shared" si="2" ref="K23:R23">SUM(K22)</f>
        <v>0</v>
      </c>
      <c r="L23" s="606">
        <f t="shared" si="2"/>
        <v>203352</v>
      </c>
      <c r="M23" s="606">
        <f t="shared" si="2"/>
        <v>0</v>
      </c>
      <c r="N23" s="1128">
        <f t="shared" si="2"/>
        <v>203352</v>
      </c>
      <c r="O23" s="1108">
        <f t="shared" si="2"/>
        <v>0</v>
      </c>
      <c r="P23" s="606">
        <f t="shared" si="2"/>
        <v>203352</v>
      </c>
      <c r="Q23" s="606">
        <f t="shared" si="2"/>
        <v>0</v>
      </c>
      <c r="R23" s="1128">
        <f t="shared" si="2"/>
        <v>203352</v>
      </c>
      <c r="S23" s="1108">
        <f>SUM(S22)</f>
        <v>0</v>
      </c>
      <c r="T23" s="606">
        <f>SUM(T22)</f>
        <v>202352</v>
      </c>
      <c r="U23" s="606">
        <f>SUM(U22)</f>
        <v>0</v>
      </c>
      <c r="V23" s="1128">
        <f>SUM(V22)</f>
        <v>202352</v>
      </c>
    </row>
    <row r="24" spans="1:22" ht="26.25" thickBot="1">
      <c r="A24" s="1240"/>
      <c r="B24" s="1250" t="s">
        <v>717</v>
      </c>
      <c r="C24" s="1109">
        <v>96944100</v>
      </c>
      <c r="D24" s="729"/>
      <c r="E24" s="729"/>
      <c r="F24" s="1107">
        <f>SUM(C24:E24)</f>
        <v>96944100</v>
      </c>
      <c r="G24" s="1109">
        <v>103214157</v>
      </c>
      <c r="H24" s="729">
        <v>70992</v>
      </c>
      <c r="I24" s="729"/>
      <c r="J24" s="1107">
        <f>SUM(G24:I24)</f>
        <v>103285149</v>
      </c>
      <c r="K24" s="1109">
        <v>103214157</v>
      </c>
      <c r="L24" s="729">
        <v>70992</v>
      </c>
      <c r="M24" s="729"/>
      <c r="N24" s="1107">
        <f>SUM(K24:M24)</f>
        <v>103285149</v>
      </c>
      <c r="O24" s="1109">
        <v>103214157</v>
      </c>
      <c r="P24" s="729">
        <v>70992</v>
      </c>
      <c r="Q24" s="729"/>
      <c r="R24" s="1107">
        <f>SUM(O24:Q24)</f>
        <v>103285149</v>
      </c>
      <c r="S24" s="1109">
        <v>99534945</v>
      </c>
      <c r="T24" s="729"/>
      <c r="U24" s="729"/>
      <c r="V24" s="1107">
        <f>SUM(S24:U24)</f>
        <v>99534945</v>
      </c>
    </row>
    <row r="25" spans="1:22" ht="16.5" thickBot="1">
      <c r="A25" s="714"/>
      <c r="B25" s="1251" t="s">
        <v>718</v>
      </c>
      <c r="C25" s="1110">
        <f aca="true" t="shared" si="3" ref="C25:J25">SUM(C23:C24)</f>
        <v>96944100</v>
      </c>
      <c r="D25" s="730">
        <f t="shared" si="3"/>
        <v>203352</v>
      </c>
      <c r="E25" s="730">
        <f t="shared" si="3"/>
        <v>0</v>
      </c>
      <c r="F25" s="1111">
        <f t="shared" si="3"/>
        <v>97147452</v>
      </c>
      <c r="G25" s="1110">
        <f t="shared" si="3"/>
        <v>103214157</v>
      </c>
      <c r="H25" s="730">
        <f t="shared" si="3"/>
        <v>274344</v>
      </c>
      <c r="I25" s="730">
        <f t="shared" si="3"/>
        <v>0</v>
      </c>
      <c r="J25" s="1111">
        <f t="shared" si="3"/>
        <v>103488501</v>
      </c>
      <c r="K25" s="1110">
        <f aca="true" t="shared" si="4" ref="K25:R25">SUM(K23:K24)</f>
        <v>103214157</v>
      </c>
      <c r="L25" s="730">
        <f t="shared" si="4"/>
        <v>274344</v>
      </c>
      <c r="M25" s="730">
        <f t="shared" si="4"/>
        <v>0</v>
      </c>
      <c r="N25" s="1111">
        <f t="shared" si="4"/>
        <v>103488501</v>
      </c>
      <c r="O25" s="1110">
        <f t="shared" si="4"/>
        <v>103214157</v>
      </c>
      <c r="P25" s="730">
        <f t="shared" si="4"/>
        <v>274344</v>
      </c>
      <c r="Q25" s="730">
        <f t="shared" si="4"/>
        <v>0</v>
      </c>
      <c r="R25" s="1111">
        <f t="shared" si="4"/>
        <v>103488501</v>
      </c>
      <c r="S25" s="1110">
        <f>SUM(S23:S24)</f>
        <v>99534945</v>
      </c>
      <c r="T25" s="730">
        <f>SUM(T23:T24)</f>
        <v>202352</v>
      </c>
      <c r="U25" s="730">
        <f>SUM(U23:U24)</f>
        <v>0</v>
      </c>
      <c r="V25" s="1111">
        <f>SUM(V23:V24)</f>
        <v>99737297</v>
      </c>
    </row>
    <row r="26" spans="1:22" ht="16.5" thickBot="1">
      <c r="A26" s="2228" t="s">
        <v>157</v>
      </c>
      <c r="B26" s="2242"/>
      <c r="C26" s="1112">
        <f aca="true" t="shared" si="5" ref="C26:J26">SUM(C21+C25)</f>
        <v>96944100</v>
      </c>
      <c r="D26" s="731">
        <f t="shared" si="5"/>
        <v>2274352</v>
      </c>
      <c r="E26" s="731">
        <f t="shared" si="5"/>
        <v>0</v>
      </c>
      <c r="F26" s="732">
        <f t="shared" si="5"/>
        <v>99218452</v>
      </c>
      <c r="G26" s="1112">
        <f t="shared" si="5"/>
        <v>103214157</v>
      </c>
      <c r="H26" s="731">
        <f t="shared" si="5"/>
        <v>2274352</v>
      </c>
      <c r="I26" s="731">
        <f t="shared" si="5"/>
        <v>0</v>
      </c>
      <c r="J26" s="732">
        <f t="shared" si="5"/>
        <v>105488509</v>
      </c>
      <c r="K26" s="1112">
        <f aca="true" t="shared" si="6" ref="K26:R26">SUM(K21+K25)</f>
        <v>103214157</v>
      </c>
      <c r="L26" s="731">
        <f t="shared" si="6"/>
        <v>2274375</v>
      </c>
      <c r="M26" s="731">
        <f t="shared" si="6"/>
        <v>0</v>
      </c>
      <c r="N26" s="732">
        <f t="shared" si="6"/>
        <v>105488532</v>
      </c>
      <c r="O26" s="1112">
        <f t="shared" si="6"/>
        <v>103214157</v>
      </c>
      <c r="P26" s="731">
        <f t="shared" si="6"/>
        <v>2274384</v>
      </c>
      <c r="Q26" s="731">
        <f t="shared" si="6"/>
        <v>0</v>
      </c>
      <c r="R26" s="732">
        <f t="shared" si="6"/>
        <v>105488541</v>
      </c>
      <c r="S26" s="1112">
        <f>SUM(S21+S25)</f>
        <v>99534945</v>
      </c>
      <c r="T26" s="731">
        <f>SUM(T21+T25)</f>
        <v>1676598</v>
      </c>
      <c r="U26" s="731">
        <f>SUM(U21+U25)</f>
        <v>0</v>
      </c>
      <c r="V26" s="732">
        <f>SUM(V21+V25)</f>
        <v>101211543</v>
      </c>
    </row>
    <row r="27" spans="1:22" ht="12.75">
      <c r="A27" s="1241" t="s">
        <v>164</v>
      </c>
      <c r="B27" s="1249" t="s">
        <v>721</v>
      </c>
      <c r="C27" s="1121">
        <v>73224344</v>
      </c>
      <c r="D27" s="431"/>
      <c r="E27" s="709"/>
      <c r="F27" s="432">
        <f>SUM(C27:E27)</f>
        <v>73224344</v>
      </c>
      <c r="G27" s="1121">
        <v>78798803</v>
      </c>
      <c r="H27" s="431"/>
      <c r="I27" s="709"/>
      <c r="J27" s="432">
        <f>SUM(G27:I27)</f>
        <v>78798803</v>
      </c>
      <c r="K27" s="1121">
        <v>78798803</v>
      </c>
      <c r="L27" s="431"/>
      <c r="M27" s="709"/>
      <c r="N27" s="432">
        <f>SUM(K27:M27)</f>
        <v>78798803</v>
      </c>
      <c r="O27" s="1121">
        <v>78798803</v>
      </c>
      <c r="P27" s="431"/>
      <c r="Q27" s="709"/>
      <c r="R27" s="432">
        <f>SUM(O27:Q27)</f>
        <v>78798803</v>
      </c>
      <c r="S27" s="1121">
        <v>77374506</v>
      </c>
      <c r="T27" s="431"/>
      <c r="U27" s="709"/>
      <c r="V27" s="432">
        <f>SUM(S27:U27)</f>
        <v>77374506</v>
      </c>
    </row>
    <row r="28" spans="1:22" ht="25.5">
      <c r="A28" s="1242" t="s">
        <v>166</v>
      </c>
      <c r="B28" s="1249" t="s">
        <v>722</v>
      </c>
      <c r="C28" s="1121">
        <v>13044108</v>
      </c>
      <c r="D28" s="406">
        <v>0</v>
      </c>
      <c r="E28" s="391"/>
      <c r="F28" s="432">
        <f>SUM(C28:E28)</f>
        <v>13044108</v>
      </c>
      <c r="G28" s="1121">
        <v>13739698</v>
      </c>
      <c r="H28" s="406">
        <v>0</v>
      </c>
      <c r="I28" s="391"/>
      <c r="J28" s="432">
        <f>SUM(G28:I28)</f>
        <v>13739698</v>
      </c>
      <c r="K28" s="1121">
        <v>13739698</v>
      </c>
      <c r="L28" s="406">
        <v>0</v>
      </c>
      <c r="M28" s="391"/>
      <c r="N28" s="432">
        <f>SUM(K28:M28)</f>
        <v>13739698</v>
      </c>
      <c r="O28" s="1121">
        <v>13739698</v>
      </c>
      <c r="P28" s="406">
        <v>0</v>
      </c>
      <c r="Q28" s="391"/>
      <c r="R28" s="432">
        <f>SUM(O28:Q28)</f>
        <v>13739698</v>
      </c>
      <c r="S28" s="1121">
        <v>12886293</v>
      </c>
      <c r="T28" s="406">
        <v>0</v>
      </c>
      <c r="U28" s="391"/>
      <c r="V28" s="432">
        <f>SUM(S28:U28)</f>
        <v>12886293</v>
      </c>
    </row>
    <row r="29" spans="1:22" s="10" customFormat="1" ht="12.75">
      <c r="A29" s="1242" t="s">
        <v>173</v>
      </c>
      <c r="B29" s="1252" t="s">
        <v>723</v>
      </c>
      <c r="C29" s="1121">
        <v>10675648</v>
      </c>
      <c r="D29" s="406">
        <v>1674352</v>
      </c>
      <c r="E29" s="406"/>
      <c r="F29" s="432">
        <f>SUM(C29:E29)</f>
        <v>12350000</v>
      </c>
      <c r="G29" s="1121">
        <v>10675648</v>
      </c>
      <c r="H29" s="406">
        <v>1674352</v>
      </c>
      <c r="I29" s="406"/>
      <c r="J29" s="432">
        <f>SUM(G29:I29)</f>
        <v>12350000</v>
      </c>
      <c r="K29" s="1121">
        <v>10675656</v>
      </c>
      <c r="L29" s="406">
        <v>1674375</v>
      </c>
      <c r="M29" s="406"/>
      <c r="N29" s="432">
        <f>SUM(K29:M29)</f>
        <v>12350031</v>
      </c>
      <c r="O29" s="1121">
        <v>10675656</v>
      </c>
      <c r="P29" s="406">
        <v>1674384</v>
      </c>
      <c r="Q29" s="406"/>
      <c r="R29" s="432">
        <f>SUM(O29:Q29)</f>
        <v>12350040</v>
      </c>
      <c r="S29" s="1121">
        <v>9274146</v>
      </c>
      <c r="T29" s="406">
        <v>1135619</v>
      </c>
      <c r="U29" s="406"/>
      <c r="V29" s="432">
        <f>SUM(S29:T29)</f>
        <v>10409765</v>
      </c>
    </row>
    <row r="30" spans="1:22" s="10" customFormat="1" ht="12.75">
      <c r="A30" s="1242" t="s">
        <v>182</v>
      </c>
      <c r="B30" s="1252" t="s">
        <v>724</v>
      </c>
      <c r="C30" s="1122"/>
      <c r="D30" s="740">
        <v>600000</v>
      </c>
      <c r="E30" s="740"/>
      <c r="F30" s="432">
        <f>SUM(C30:E30)</f>
        <v>600000</v>
      </c>
      <c r="G30" s="1122"/>
      <c r="H30" s="740">
        <v>600000</v>
      </c>
      <c r="I30" s="740"/>
      <c r="J30" s="432">
        <f>SUM(G30:I30)</f>
        <v>600000</v>
      </c>
      <c r="K30" s="1122"/>
      <c r="L30" s="740">
        <v>600000</v>
      </c>
      <c r="M30" s="740"/>
      <c r="N30" s="432">
        <f>SUM(K30:M30)</f>
        <v>600000</v>
      </c>
      <c r="O30" s="1122"/>
      <c r="P30" s="740">
        <v>600000</v>
      </c>
      <c r="Q30" s="740"/>
      <c r="R30" s="432">
        <f>SUM(O30:Q30)</f>
        <v>600000</v>
      </c>
      <c r="S30" s="1122"/>
      <c r="T30" s="740">
        <v>540979</v>
      </c>
      <c r="U30" s="740"/>
      <c r="V30" s="432">
        <f>SUM(S30:U30)</f>
        <v>540979</v>
      </c>
    </row>
    <row r="31" spans="1:22" s="114" customFormat="1" ht="12.75">
      <c r="A31" s="1114"/>
      <c r="B31" s="1124" t="s">
        <v>132</v>
      </c>
      <c r="C31" s="1123"/>
      <c r="D31" s="746">
        <v>600000</v>
      </c>
      <c r="E31" s="746"/>
      <c r="F31" s="1129"/>
      <c r="G31" s="1123"/>
      <c r="H31" s="746">
        <v>600000</v>
      </c>
      <c r="I31" s="746"/>
      <c r="J31" s="1129"/>
      <c r="K31" s="1123"/>
      <c r="L31" s="746">
        <v>600000</v>
      </c>
      <c r="M31" s="746"/>
      <c r="N31" s="1129"/>
      <c r="O31" s="1123"/>
      <c r="P31" s="746">
        <v>600000</v>
      </c>
      <c r="Q31" s="746"/>
      <c r="R31" s="1129"/>
      <c r="S31" s="1123"/>
      <c r="T31" s="746">
        <v>540979</v>
      </c>
      <c r="U31" s="746"/>
      <c r="V31" s="1129">
        <v>540979</v>
      </c>
    </row>
    <row r="32" spans="1:22" s="114" customFormat="1" ht="13.5" thickBot="1">
      <c r="A32" s="1125"/>
      <c r="B32" s="1126" t="s">
        <v>134</v>
      </c>
      <c r="C32" s="1125"/>
      <c r="D32" s="747"/>
      <c r="E32" s="747"/>
      <c r="F32" s="1130"/>
      <c r="G32" s="1125"/>
      <c r="H32" s="747"/>
      <c r="I32" s="747"/>
      <c r="J32" s="1130"/>
      <c r="K32" s="1125"/>
      <c r="L32" s="747"/>
      <c r="M32" s="747"/>
      <c r="N32" s="1130"/>
      <c r="O32" s="1125"/>
      <c r="P32" s="747"/>
      <c r="Q32" s="747"/>
      <c r="R32" s="1130"/>
      <c r="S32" s="1125"/>
      <c r="T32" s="747"/>
      <c r="U32" s="747"/>
      <c r="V32" s="1130"/>
    </row>
    <row r="33" spans="1:22" ht="16.5" thickBot="1">
      <c r="A33" s="741"/>
      <c r="B33" s="1253" t="s">
        <v>725</v>
      </c>
      <c r="C33" s="1115">
        <f aca="true" t="shared" si="7" ref="C33:J33">SUM(C27:C30)</f>
        <v>96944100</v>
      </c>
      <c r="D33" s="743">
        <f t="shared" si="7"/>
        <v>2274352</v>
      </c>
      <c r="E33" s="743">
        <f t="shared" si="7"/>
        <v>0</v>
      </c>
      <c r="F33" s="744">
        <f t="shared" si="7"/>
        <v>99218452</v>
      </c>
      <c r="G33" s="1115">
        <f t="shared" si="7"/>
        <v>103214149</v>
      </c>
      <c r="H33" s="743">
        <f t="shared" si="7"/>
        <v>2274352</v>
      </c>
      <c r="I33" s="743">
        <f t="shared" si="7"/>
        <v>0</v>
      </c>
      <c r="J33" s="744">
        <f t="shared" si="7"/>
        <v>105488501</v>
      </c>
      <c r="K33" s="1115">
        <f aca="true" t="shared" si="8" ref="K33:R33">SUM(K27:K30)</f>
        <v>103214157</v>
      </c>
      <c r="L33" s="743">
        <f t="shared" si="8"/>
        <v>2274375</v>
      </c>
      <c r="M33" s="743">
        <f t="shared" si="8"/>
        <v>0</v>
      </c>
      <c r="N33" s="744">
        <f t="shared" si="8"/>
        <v>105488532</v>
      </c>
      <c r="O33" s="1115">
        <f t="shared" si="8"/>
        <v>103214157</v>
      </c>
      <c r="P33" s="743">
        <f t="shared" si="8"/>
        <v>2274384</v>
      </c>
      <c r="Q33" s="743">
        <f t="shared" si="8"/>
        <v>0</v>
      </c>
      <c r="R33" s="744">
        <f t="shared" si="8"/>
        <v>105488541</v>
      </c>
      <c r="S33" s="1115">
        <f>SUM(S27:S30)</f>
        <v>99534945</v>
      </c>
      <c r="T33" s="743">
        <f>SUM(T27:T30)</f>
        <v>1676598</v>
      </c>
      <c r="U33" s="743">
        <f>SUM(U27:U30)</f>
        <v>0</v>
      </c>
      <c r="V33" s="744">
        <f>SUM(V27:V30)</f>
        <v>101211543</v>
      </c>
    </row>
  </sheetData>
  <sheetProtection/>
  <mergeCells count="12">
    <mergeCell ref="S10:V10"/>
    <mergeCell ref="A6:V6"/>
    <mergeCell ref="A2:V2"/>
    <mergeCell ref="A1:V1"/>
    <mergeCell ref="A26:B26"/>
    <mergeCell ref="A10:B11"/>
    <mergeCell ref="C10:F10"/>
    <mergeCell ref="A21:B21"/>
    <mergeCell ref="O10:R10"/>
    <mergeCell ref="J3:L4"/>
    <mergeCell ref="K10:N10"/>
    <mergeCell ref="G10:J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V33"/>
  <sheetViews>
    <sheetView showGridLines="0" view="pageBreakPreview" zoomScaleSheetLayoutView="100" zoomScalePageLayoutView="0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3" sqref="V3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6.57421875" style="0" customWidth="1"/>
    <col min="4" max="4" width="16.7109375" style="0" customWidth="1"/>
    <col min="5" max="5" width="14.140625" style="0" customWidth="1"/>
    <col min="6" max="6" width="17.28125" style="0" customWidth="1"/>
    <col min="7" max="7" width="16.57421875" style="0" customWidth="1"/>
    <col min="8" max="8" width="16.7109375" style="0" customWidth="1"/>
    <col min="9" max="9" width="14.140625" style="0" customWidth="1"/>
    <col min="10" max="10" width="17.28125" style="0" customWidth="1"/>
    <col min="11" max="11" width="16.57421875" style="0" customWidth="1"/>
    <col min="12" max="12" width="16.7109375" style="0" customWidth="1"/>
    <col min="13" max="13" width="14.140625" style="0" customWidth="1"/>
    <col min="14" max="14" width="17.28125" style="0" customWidth="1"/>
    <col min="15" max="15" width="16.57421875" style="0" customWidth="1"/>
    <col min="16" max="16" width="16.7109375" style="0" customWidth="1"/>
    <col min="17" max="17" width="14.140625" style="0" customWidth="1"/>
    <col min="18" max="18" width="17.28125" style="0" customWidth="1"/>
    <col min="19" max="19" width="19.140625" style="0" customWidth="1"/>
    <col min="20" max="20" width="16.7109375" style="0" customWidth="1"/>
    <col min="21" max="21" width="14.140625" style="0" customWidth="1"/>
    <col min="22" max="22" width="17.28125" style="0" customWidth="1"/>
  </cols>
  <sheetData>
    <row r="1" spans="1:22" ht="15.75">
      <c r="A1" s="2241" t="s">
        <v>733</v>
      </c>
      <c r="B1" s="2241"/>
      <c r="C1" s="2241"/>
      <c r="D1" s="2241"/>
      <c r="E1" s="2241"/>
      <c r="F1" s="2241"/>
      <c r="G1" s="2241"/>
      <c r="H1" s="2241"/>
      <c r="I1" s="2241"/>
      <c r="J1" s="2241"/>
      <c r="K1" s="2241"/>
      <c r="L1" s="2241"/>
      <c r="M1" s="2241"/>
      <c r="N1" s="2241"/>
      <c r="O1" s="2241"/>
      <c r="P1" s="2241"/>
      <c r="Q1" s="2241"/>
      <c r="R1" s="2241"/>
      <c r="S1" s="2241"/>
      <c r="T1" s="2241"/>
      <c r="U1" s="2241"/>
      <c r="V1" s="2241"/>
    </row>
    <row r="2" spans="1:22" ht="15.75">
      <c r="A2" s="2241" t="s">
        <v>1295</v>
      </c>
      <c r="B2" s="2241"/>
      <c r="C2" s="2241"/>
      <c r="D2" s="2241"/>
      <c r="E2" s="2241"/>
      <c r="F2" s="2241"/>
      <c r="G2" s="2241"/>
      <c r="H2" s="2241"/>
      <c r="I2" s="2241"/>
      <c r="J2" s="2241"/>
      <c r="K2" s="2241"/>
      <c r="L2" s="2241"/>
      <c r="M2" s="2241"/>
      <c r="N2" s="2241"/>
      <c r="O2" s="2241"/>
      <c r="P2" s="2241"/>
      <c r="Q2" s="2241"/>
      <c r="R2" s="2241"/>
      <c r="S2" s="2241"/>
      <c r="T2" s="2241"/>
      <c r="U2" s="2241"/>
      <c r="V2" s="2241"/>
    </row>
    <row r="3" spans="1:22" ht="15.75">
      <c r="A3" s="1825"/>
      <c r="B3" s="1825"/>
      <c r="C3" s="1825"/>
      <c r="D3" s="1825"/>
      <c r="E3" s="1825"/>
      <c r="F3" s="1825"/>
      <c r="G3" s="1825"/>
      <c r="H3" s="1825"/>
      <c r="I3" s="1825"/>
      <c r="J3" s="2241" t="s">
        <v>1296</v>
      </c>
      <c r="K3" s="2241"/>
      <c r="L3" s="2241"/>
      <c r="M3" s="1825"/>
      <c r="N3" s="1825"/>
      <c r="O3" s="1825"/>
      <c r="P3" s="1825"/>
      <c r="Q3" s="1825"/>
      <c r="R3" s="1825"/>
      <c r="S3" s="1825"/>
      <c r="T3" s="1825"/>
      <c r="U3" s="1825"/>
      <c r="V3" s="1825" t="s">
        <v>1313</v>
      </c>
    </row>
    <row r="4" spans="1:22" ht="15.75">
      <c r="A4" s="1825"/>
      <c r="B4" s="1825"/>
      <c r="C4" s="1825"/>
      <c r="D4" s="1825"/>
      <c r="E4" s="1825"/>
      <c r="F4" s="1825"/>
      <c r="G4" s="1825"/>
      <c r="H4" s="1825"/>
      <c r="I4" s="1825"/>
      <c r="J4" s="1825"/>
      <c r="K4" s="1825"/>
      <c r="L4" s="1825"/>
      <c r="M4" s="1825"/>
      <c r="N4" s="1825"/>
      <c r="O4" s="1825"/>
      <c r="P4" s="1825"/>
      <c r="Q4" s="1825"/>
      <c r="R4" s="1825"/>
      <c r="S4" s="1825"/>
      <c r="T4" s="1825"/>
      <c r="U4" s="1825"/>
      <c r="V4" s="1825"/>
    </row>
    <row r="5" spans="1:22" ht="15.75">
      <c r="A5" s="1825"/>
      <c r="B5" s="1825"/>
      <c r="C5" s="1825"/>
      <c r="D5" s="1825"/>
      <c r="E5" s="1825"/>
      <c r="F5" s="1825"/>
      <c r="G5" s="1825"/>
      <c r="H5" s="1825"/>
      <c r="I5" s="1825"/>
      <c r="J5" s="1825"/>
      <c r="K5" s="1825"/>
      <c r="L5" s="1825"/>
      <c r="M5" s="1825"/>
      <c r="N5" s="1825"/>
      <c r="O5" s="1825"/>
      <c r="P5" s="1825"/>
      <c r="Q5" s="1825"/>
      <c r="R5" s="1825"/>
      <c r="S5" s="1825"/>
      <c r="T5" s="1825"/>
      <c r="U5" s="1825"/>
      <c r="V5" s="1825"/>
    </row>
    <row r="6" spans="1:22" ht="29.25" customHeight="1">
      <c r="A6" s="2237" t="s">
        <v>732</v>
      </c>
      <c r="B6" s="2237"/>
      <c r="C6" s="2237"/>
      <c r="D6" s="2237"/>
      <c r="E6" s="2237"/>
      <c r="F6" s="2237"/>
      <c r="G6" s="2237"/>
      <c r="H6" s="2237"/>
      <c r="I6" s="2237"/>
      <c r="J6" s="2237"/>
      <c r="K6" s="2237"/>
      <c r="L6" s="2237"/>
      <c r="M6" s="2237"/>
      <c r="N6" s="2237"/>
      <c r="O6" s="2237"/>
      <c r="P6" s="2237"/>
      <c r="Q6" s="2237"/>
      <c r="R6" s="2237"/>
      <c r="S6" s="2237"/>
      <c r="T6" s="2237"/>
      <c r="U6" s="2237"/>
      <c r="V6" s="2237"/>
    </row>
    <row r="9" spans="6:22" ht="13.5" thickBot="1">
      <c r="F9" s="838"/>
      <c r="J9" s="838"/>
      <c r="N9" s="838"/>
      <c r="R9" s="838"/>
      <c r="V9" s="838" t="s">
        <v>214</v>
      </c>
    </row>
    <row r="10" spans="1:22" ht="12.75">
      <c r="A10" s="2248" t="s">
        <v>703</v>
      </c>
      <c r="B10" s="2249"/>
      <c r="C10" s="2252" t="s">
        <v>522</v>
      </c>
      <c r="D10" s="2253"/>
      <c r="E10" s="2253"/>
      <c r="F10" s="2254"/>
      <c r="G10" s="2252" t="s">
        <v>1157</v>
      </c>
      <c r="H10" s="2253"/>
      <c r="I10" s="2253"/>
      <c r="J10" s="2254"/>
      <c r="K10" s="2252" t="s">
        <v>1178</v>
      </c>
      <c r="L10" s="2253"/>
      <c r="M10" s="2253"/>
      <c r="N10" s="2254"/>
      <c r="O10" s="2252" t="s">
        <v>1250</v>
      </c>
      <c r="P10" s="2253"/>
      <c r="Q10" s="2253"/>
      <c r="R10" s="2254"/>
      <c r="S10" s="2252" t="s">
        <v>1267</v>
      </c>
      <c r="T10" s="2253"/>
      <c r="U10" s="2253"/>
      <c r="V10" s="2254"/>
    </row>
    <row r="11" spans="1:22" s="4" customFormat="1" ht="26.25" customHeight="1" thickBot="1">
      <c r="A11" s="2250"/>
      <c r="B11" s="2251"/>
      <c r="C11" s="738" t="s">
        <v>704</v>
      </c>
      <c r="D11" s="708" t="s">
        <v>705</v>
      </c>
      <c r="E11" s="708" t="s">
        <v>706</v>
      </c>
      <c r="F11" s="750" t="s">
        <v>25</v>
      </c>
      <c r="G11" s="738" t="s">
        <v>704</v>
      </c>
      <c r="H11" s="708" t="s">
        <v>705</v>
      </c>
      <c r="I11" s="708" t="s">
        <v>706</v>
      </c>
      <c r="J11" s="750" t="s">
        <v>25</v>
      </c>
      <c r="K11" s="738" t="s">
        <v>704</v>
      </c>
      <c r="L11" s="708" t="s">
        <v>705</v>
      </c>
      <c r="M11" s="708" t="s">
        <v>706</v>
      </c>
      <c r="N11" s="750" t="s">
        <v>25</v>
      </c>
      <c r="O11" s="738" t="s">
        <v>704</v>
      </c>
      <c r="P11" s="708" t="s">
        <v>705</v>
      </c>
      <c r="Q11" s="708" t="s">
        <v>706</v>
      </c>
      <c r="R11" s="750" t="s">
        <v>25</v>
      </c>
      <c r="S11" s="738" t="s">
        <v>704</v>
      </c>
      <c r="T11" s="708" t="s">
        <v>705</v>
      </c>
      <c r="U11" s="708" t="s">
        <v>706</v>
      </c>
      <c r="V11" s="750" t="s">
        <v>25</v>
      </c>
    </row>
    <row r="12" spans="1:22" s="4" customFormat="1" ht="26.25" customHeight="1" thickBot="1">
      <c r="A12" s="820" t="s">
        <v>164</v>
      </c>
      <c r="B12" s="889" t="s">
        <v>786</v>
      </c>
      <c r="C12" s="890">
        <v>0</v>
      </c>
      <c r="D12" s="821">
        <v>0</v>
      </c>
      <c r="E12" s="822">
        <v>0</v>
      </c>
      <c r="F12" s="891">
        <v>0</v>
      </c>
      <c r="G12" s="890">
        <v>0</v>
      </c>
      <c r="H12" s="821">
        <v>0</v>
      </c>
      <c r="I12" s="822">
        <v>0</v>
      </c>
      <c r="J12" s="891">
        <v>0</v>
      </c>
      <c r="K12" s="890">
        <v>0</v>
      </c>
      <c r="L12" s="821">
        <v>0</v>
      </c>
      <c r="M12" s="822">
        <v>0</v>
      </c>
      <c r="N12" s="891">
        <v>0</v>
      </c>
      <c r="O12" s="890">
        <v>0</v>
      </c>
      <c r="P12" s="821">
        <v>1387847</v>
      </c>
      <c r="Q12" s="822">
        <v>0</v>
      </c>
      <c r="R12" s="891">
        <v>1387847</v>
      </c>
      <c r="S12" s="890">
        <v>0</v>
      </c>
      <c r="T12" s="821">
        <v>1387847</v>
      </c>
      <c r="U12" s="822">
        <v>0</v>
      </c>
      <c r="V12" s="891">
        <v>1387847</v>
      </c>
    </row>
    <row r="13" spans="1:22" s="10" customFormat="1" ht="13.5" thickBot="1">
      <c r="A13" s="733" t="s">
        <v>166</v>
      </c>
      <c r="B13" s="711" t="s">
        <v>708</v>
      </c>
      <c r="C13" s="719">
        <f>SUM(C14:C19)</f>
        <v>12327702</v>
      </c>
      <c r="D13" s="736">
        <f>SUM(D14:D19)</f>
        <v>12619798</v>
      </c>
      <c r="E13" s="736">
        <f>SUM(E14:E19)</f>
        <v>0</v>
      </c>
      <c r="F13" s="737">
        <f>SUM(F14:F19)</f>
        <v>24947500</v>
      </c>
      <c r="G13" s="719">
        <f>SUM(G14:G19)</f>
        <v>20536126</v>
      </c>
      <c r="H13" s="736">
        <f>SUM(H14:H20)</f>
        <v>1237548</v>
      </c>
      <c r="I13" s="736">
        <f>SUM(I14:I20)</f>
        <v>0</v>
      </c>
      <c r="J13" s="736">
        <f>SUM(J14:J20)</f>
        <v>21773674</v>
      </c>
      <c r="K13" s="719">
        <f>SUM(K14:K19)</f>
        <v>20536126</v>
      </c>
      <c r="L13" s="736">
        <f>SUM(L14:L20)</f>
        <v>1237601</v>
      </c>
      <c r="M13" s="736">
        <f>SUM(M14:M20)</f>
        <v>0</v>
      </c>
      <c r="N13" s="736">
        <f>SUM(N14:N20)</f>
        <v>21773727</v>
      </c>
      <c r="O13" s="719">
        <f>SUM(O14:O19)</f>
        <v>20536126</v>
      </c>
      <c r="P13" s="736">
        <f>SUM(P14:P20)</f>
        <v>1237651</v>
      </c>
      <c r="Q13" s="736">
        <f>SUM(Q14:Q20)</f>
        <v>0</v>
      </c>
      <c r="R13" s="736">
        <f>SUM(R14:R20)</f>
        <v>21773777</v>
      </c>
      <c r="S13" s="719">
        <f>SUM(S14:S19)</f>
        <v>24940367</v>
      </c>
      <c r="T13" s="736">
        <f>SUM(T14:T20)</f>
        <v>12425543</v>
      </c>
      <c r="U13" s="736">
        <f>SUM(U14:U20)</f>
        <v>0</v>
      </c>
      <c r="V13" s="736">
        <f>SUM(V14:V20)</f>
        <v>37365910</v>
      </c>
    </row>
    <row r="14" spans="1:22" s="114" customFormat="1" ht="12.75">
      <c r="A14" s="1238"/>
      <c r="B14" s="705" t="s">
        <v>734</v>
      </c>
      <c r="C14" s="722"/>
      <c r="D14" s="723">
        <v>210000</v>
      </c>
      <c r="E14" s="723"/>
      <c r="F14" s="1118">
        <f>SUM(C14:E14)</f>
        <v>210000</v>
      </c>
      <c r="G14" s="722"/>
      <c r="H14" s="723">
        <v>100000</v>
      </c>
      <c r="I14" s="723"/>
      <c r="J14" s="1118">
        <f>SUM(G14:I14)</f>
        <v>100000</v>
      </c>
      <c r="K14" s="722"/>
      <c r="L14" s="723">
        <v>100000</v>
      </c>
      <c r="M14" s="723"/>
      <c r="N14" s="1118">
        <f>SUM(K14:M14)</f>
        <v>100000</v>
      </c>
      <c r="O14" s="722"/>
      <c r="P14" s="723">
        <v>100000</v>
      </c>
      <c r="Q14" s="723"/>
      <c r="R14" s="1118">
        <f>SUM(O14:Q14)</f>
        <v>100000</v>
      </c>
      <c r="S14" s="722"/>
      <c r="T14" s="723">
        <v>377134</v>
      </c>
      <c r="U14" s="723"/>
      <c r="V14" s="1118">
        <f>SUM(S14:U14)</f>
        <v>377134</v>
      </c>
    </row>
    <row r="15" spans="1:22" s="114" customFormat="1" ht="12.75">
      <c r="A15" s="1238"/>
      <c r="B15" s="1243" t="s">
        <v>1019</v>
      </c>
      <c r="C15" s="722"/>
      <c r="D15" s="723">
        <v>16500</v>
      </c>
      <c r="E15" s="723"/>
      <c r="F15" s="1118">
        <v>16500</v>
      </c>
      <c r="G15" s="722"/>
      <c r="H15" s="723">
        <v>16500</v>
      </c>
      <c r="I15" s="723"/>
      <c r="J15" s="1118">
        <v>16500</v>
      </c>
      <c r="K15" s="722"/>
      <c r="L15" s="723">
        <v>16500</v>
      </c>
      <c r="M15" s="723"/>
      <c r="N15" s="1118">
        <v>16500</v>
      </c>
      <c r="O15" s="722"/>
      <c r="P15" s="723">
        <v>16500</v>
      </c>
      <c r="Q15" s="723"/>
      <c r="R15" s="1118">
        <v>16500</v>
      </c>
      <c r="S15" s="722"/>
      <c r="T15" s="723">
        <v>11996600</v>
      </c>
      <c r="U15" s="723"/>
      <c r="V15" s="1118">
        <f>SUM(T15)</f>
        <v>11996600</v>
      </c>
    </row>
    <row r="16" spans="1:22" s="114" customFormat="1" ht="12.75">
      <c r="A16" s="1238"/>
      <c r="B16" s="705" t="s">
        <v>735</v>
      </c>
      <c r="C16" s="722"/>
      <c r="D16" s="723">
        <v>121000</v>
      </c>
      <c r="E16" s="723"/>
      <c r="F16" s="1118">
        <f>SUM(C16:E16)</f>
        <v>121000</v>
      </c>
      <c r="G16" s="722"/>
      <c r="H16" s="723">
        <v>121000</v>
      </c>
      <c r="I16" s="723"/>
      <c r="J16" s="1118">
        <f>SUM(G16:I16)</f>
        <v>121000</v>
      </c>
      <c r="K16" s="722"/>
      <c r="L16" s="723">
        <v>121000</v>
      </c>
      <c r="M16" s="723"/>
      <c r="N16" s="1118">
        <f>SUM(K16:M16)</f>
        <v>121000</v>
      </c>
      <c r="O16" s="722"/>
      <c r="P16" s="723">
        <v>121000</v>
      </c>
      <c r="Q16" s="723"/>
      <c r="R16" s="1118">
        <f>SUM(O16:Q16)</f>
        <v>121000</v>
      </c>
      <c r="S16" s="722"/>
      <c r="T16" s="723">
        <v>51400</v>
      </c>
      <c r="U16" s="723"/>
      <c r="V16" s="1118">
        <f>SUM(S16:U16)</f>
        <v>51400</v>
      </c>
    </row>
    <row r="17" spans="1:22" s="114" customFormat="1" ht="12.75">
      <c r="A17" s="1238"/>
      <c r="B17" s="705" t="s">
        <v>710</v>
      </c>
      <c r="C17" s="722">
        <v>7027702</v>
      </c>
      <c r="D17" s="723">
        <v>12272298</v>
      </c>
      <c r="E17" s="723"/>
      <c r="F17" s="1118">
        <f>SUM(C17:E17)</f>
        <v>19300000</v>
      </c>
      <c r="G17" s="722">
        <v>15887501</v>
      </c>
      <c r="H17" s="723">
        <v>1000000</v>
      </c>
      <c r="I17" s="723"/>
      <c r="J17" s="1118">
        <f>SUM(G17:I17)</f>
        <v>16887501</v>
      </c>
      <c r="K17" s="722">
        <v>15887501</v>
      </c>
      <c r="L17" s="723">
        <v>1000000</v>
      </c>
      <c r="M17" s="723"/>
      <c r="N17" s="1118">
        <f>SUM(K17:M17)</f>
        <v>16887501</v>
      </c>
      <c r="O17" s="722">
        <v>15887501</v>
      </c>
      <c r="P17" s="723">
        <v>1000000</v>
      </c>
      <c r="Q17" s="723"/>
      <c r="R17" s="1118">
        <f>SUM(O17:Q17)</f>
        <v>16887501</v>
      </c>
      <c r="S17" s="722">
        <v>16996505</v>
      </c>
      <c r="T17" s="723"/>
      <c r="U17" s="723"/>
      <c r="V17" s="1118">
        <f>SUM(S17:U17)</f>
        <v>16996505</v>
      </c>
    </row>
    <row r="18" spans="1:22" s="114" customFormat="1" ht="25.5">
      <c r="A18" s="1238"/>
      <c r="B18" s="705" t="s">
        <v>711</v>
      </c>
      <c r="C18" s="722">
        <v>5300000</v>
      </c>
      <c r="D18" s="723"/>
      <c r="E18" s="723"/>
      <c r="F18" s="1118">
        <f>SUM(C18:E18)</f>
        <v>5300000</v>
      </c>
      <c r="G18" s="722">
        <v>4648625</v>
      </c>
      <c r="H18" s="723"/>
      <c r="I18" s="723"/>
      <c r="J18" s="1118">
        <f>SUM(G18:I18)</f>
        <v>4648625</v>
      </c>
      <c r="K18" s="722">
        <v>4648625</v>
      </c>
      <c r="L18" s="723"/>
      <c r="M18" s="723"/>
      <c r="N18" s="1118">
        <f>SUM(K18:M18)</f>
        <v>4648625</v>
      </c>
      <c r="O18" s="722">
        <v>4648625</v>
      </c>
      <c r="P18" s="723"/>
      <c r="Q18" s="723"/>
      <c r="R18" s="1118">
        <f>SUM(O18:Q18)</f>
        <v>4648625</v>
      </c>
      <c r="S18" s="722">
        <v>7943862</v>
      </c>
      <c r="T18" s="723"/>
      <c r="U18" s="723"/>
      <c r="V18" s="1118">
        <f>SUM(S18:U18)</f>
        <v>7943862</v>
      </c>
    </row>
    <row r="19" spans="1:22" s="114" customFormat="1" ht="12.75">
      <c r="A19" s="801"/>
      <c r="B19" s="705" t="s">
        <v>727</v>
      </c>
      <c r="C19" s="724"/>
      <c r="D19" s="717"/>
      <c r="E19" s="717"/>
      <c r="F19" s="1120">
        <f>SUM(C19:E19)</f>
        <v>0</v>
      </c>
      <c r="G19" s="724"/>
      <c r="H19" s="717">
        <v>47</v>
      </c>
      <c r="I19" s="717"/>
      <c r="J19" s="1120">
        <f>SUM(G19:I19)</f>
        <v>47</v>
      </c>
      <c r="K19" s="724"/>
      <c r="L19" s="717">
        <v>100</v>
      </c>
      <c r="M19" s="717"/>
      <c r="N19" s="1120">
        <v>100</v>
      </c>
      <c r="O19" s="724"/>
      <c r="P19" s="717">
        <v>150</v>
      </c>
      <c r="Q19" s="717"/>
      <c r="R19" s="1120">
        <v>150</v>
      </c>
      <c r="S19" s="724"/>
      <c r="T19" s="717">
        <v>408</v>
      </c>
      <c r="U19" s="717"/>
      <c r="V19" s="1120">
        <v>408</v>
      </c>
    </row>
    <row r="20" spans="1:22" s="114" customFormat="1" ht="13.5" thickBot="1">
      <c r="A20" s="1595"/>
      <c r="B20" s="1597" t="s">
        <v>1177</v>
      </c>
      <c r="C20" s="1596"/>
      <c r="D20" s="745"/>
      <c r="E20" s="745"/>
      <c r="F20" s="1229"/>
      <c r="G20" s="1596"/>
      <c r="H20" s="745">
        <v>1</v>
      </c>
      <c r="I20" s="745"/>
      <c r="J20" s="1229">
        <v>1</v>
      </c>
      <c r="K20" s="1596"/>
      <c r="L20" s="745">
        <v>1</v>
      </c>
      <c r="M20" s="745"/>
      <c r="N20" s="1229">
        <v>1</v>
      </c>
      <c r="O20" s="1596"/>
      <c r="P20" s="745">
        <v>1</v>
      </c>
      <c r="Q20" s="745"/>
      <c r="R20" s="1229">
        <v>1</v>
      </c>
      <c r="S20" s="1596"/>
      <c r="T20" s="745">
        <v>1</v>
      </c>
      <c r="U20" s="745"/>
      <c r="V20" s="1229">
        <v>1</v>
      </c>
    </row>
    <row r="21" spans="1:22" s="514" customFormat="1" ht="16.5" thickBot="1">
      <c r="A21" s="2239" t="s">
        <v>479</v>
      </c>
      <c r="B21" s="2240"/>
      <c r="C21" s="726">
        <f aca="true" t="shared" si="0" ref="C21:J21">SUM(C13)</f>
        <v>12327702</v>
      </c>
      <c r="D21" s="726">
        <f t="shared" si="0"/>
        <v>12619798</v>
      </c>
      <c r="E21" s="726">
        <f t="shared" si="0"/>
        <v>0</v>
      </c>
      <c r="F21" s="727">
        <f t="shared" si="0"/>
        <v>24947500</v>
      </c>
      <c r="G21" s="726">
        <f t="shared" si="0"/>
        <v>20536126</v>
      </c>
      <c r="H21" s="726">
        <f t="shared" si="0"/>
        <v>1237548</v>
      </c>
      <c r="I21" s="726">
        <f t="shared" si="0"/>
        <v>0</v>
      </c>
      <c r="J21" s="727">
        <f t="shared" si="0"/>
        <v>21773674</v>
      </c>
      <c r="K21" s="726">
        <f>SUM(K13)</f>
        <v>20536126</v>
      </c>
      <c r="L21" s="726">
        <f>SUM(L13)</f>
        <v>1237601</v>
      </c>
      <c r="M21" s="726">
        <f>SUM(M13)</f>
        <v>0</v>
      </c>
      <c r="N21" s="727">
        <f>SUM(N13)</f>
        <v>21773727</v>
      </c>
      <c r="O21" s="726">
        <f>SUM(O13)</f>
        <v>20536126</v>
      </c>
      <c r="P21" s="726">
        <f>SUM(P13)+P12</f>
        <v>2625498</v>
      </c>
      <c r="Q21" s="726">
        <f>SUM(Q13)+Q12</f>
        <v>0</v>
      </c>
      <c r="R21" s="726">
        <f>SUM(R13)+R12</f>
        <v>23161624</v>
      </c>
      <c r="S21" s="726">
        <f>SUM(S13)</f>
        <v>24940367</v>
      </c>
      <c r="T21" s="726">
        <f>SUM(T13)+T12</f>
        <v>13813390</v>
      </c>
      <c r="U21" s="726">
        <f>SUM(U13)+U12</f>
        <v>0</v>
      </c>
      <c r="V21" s="726">
        <f>SUM(V13)+V12</f>
        <v>38753757</v>
      </c>
    </row>
    <row r="22" spans="1:22" ht="25.5">
      <c r="A22" s="1239"/>
      <c r="B22" s="705" t="s">
        <v>715</v>
      </c>
      <c r="C22" s="728">
        <v>530936</v>
      </c>
      <c r="D22" s="728"/>
      <c r="E22" s="728"/>
      <c r="F22" s="1107">
        <f>SUM(C22:E22)</f>
        <v>530936</v>
      </c>
      <c r="G22" s="728">
        <v>530936</v>
      </c>
      <c r="H22" s="728"/>
      <c r="I22" s="728"/>
      <c r="J22" s="1107">
        <f>SUM(G22:I22)</f>
        <v>530936</v>
      </c>
      <c r="K22" s="728">
        <v>530936</v>
      </c>
      <c r="L22" s="728"/>
      <c r="M22" s="728"/>
      <c r="N22" s="1107">
        <f>SUM(K22:M22)</f>
        <v>530936</v>
      </c>
      <c r="O22" s="728">
        <v>530936</v>
      </c>
      <c r="P22" s="728"/>
      <c r="Q22" s="728"/>
      <c r="R22" s="1107">
        <f>SUM(O22:Q22)</f>
        <v>530936</v>
      </c>
      <c r="S22" s="728">
        <v>530936</v>
      </c>
      <c r="T22" s="728"/>
      <c r="U22" s="728"/>
      <c r="V22" s="1107">
        <f>SUM(S22:U22)</f>
        <v>530936</v>
      </c>
    </row>
    <row r="23" spans="1:22" ht="12.75">
      <c r="A23" s="1242" t="s">
        <v>173</v>
      </c>
      <c r="B23" s="706" t="s">
        <v>716</v>
      </c>
      <c r="C23" s="606">
        <v>530936</v>
      </c>
      <c r="D23" s="606"/>
      <c r="E23" s="606"/>
      <c r="F23" s="1107">
        <f>SUM(C23:E23)</f>
        <v>530936</v>
      </c>
      <c r="G23" s="606">
        <v>530936</v>
      </c>
      <c r="H23" s="606"/>
      <c r="I23" s="606"/>
      <c r="J23" s="1107">
        <f>SUM(G23:I23)</f>
        <v>530936</v>
      </c>
      <c r="K23" s="606">
        <v>530936</v>
      </c>
      <c r="L23" s="606"/>
      <c r="M23" s="606"/>
      <c r="N23" s="1107">
        <f>SUM(K23:M23)</f>
        <v>530936</v>
      </c>
      <c r="O23" s="606">
        <v>530936</v>
      </c>
      <c r="P23" s="606"/>
      <c r="Q23" s="606"/>
      <c r="R23" s="1107">
        <f>SUM(O23:Q23)</f>
        <v>530936</v>
      </c>
      <c r="S23" s="606">
        <v>530936</v>
      </c>
      <c r="T23" s="606"/>
      <c r="U23" s="606"/>
      <c r="V23" s="1107">
        <f>SUM(S23:U23)</f>
        <v>530936</v>
      </c>
    </row>
    <row r="24" spans="1:22" ht="26.25" thickBot="1">
      <c r="A24" s="1240"/>
      <c r="B24" s="712" t="s">
        <v>717</v>
      </c>
      <c r="C24" s="729">
        <v>77694289</v>
      </c>
      <c r="D24" s="729"/>
      <c r="E24" s="729"/>
      <c r="F24" s="1107">
        <f>SUM(C24:E24)</f>
        <v>77694289</v>
      </c>
      <c r="G24" s="729">
        <v>77728012</v>
      </c>
      <c r="H24" s="729"/>
      <c r="I24" s="729"/>
      <c r="J24" s="1107">
        <f>SUM(G24:I24)</f>
        <v>77728012</v>
      </c>
      <c r="K24" s="729">
        <v>77790991</v>
      </c>
      <c r="L24" s="729"/>
      <c r="M24" s="729"/>
      <c r="N24" s="1107">
        <f>SUM(K24:M24)</f>
        <v>77790991</v>
      </c>
      <c r="O24" s="729">
        <v>77836650</v>
      </c>
      <c r="P24" s="729"/>
      <c r="Q24" s="729"/>
      <c r="R24" s="1107">
        <f>SUM(O24:Q24)</f>
        <v>77836650</v>
      </c>
      <c r="S24" s="729">
        <v>73445497</v>
      </c>
      <c r="T24" s="729">
        <v>4109938</v>
      </c>
      <c r="U24" s="729"/>
      <c r="V24" s="1107">
        <f>SUM(S24:U24)</f>
        <v>77555435</v>
      </c>
    </row>
    <row r="25" spans="1:22" ht="16.5" thickBot="1">
      <c r="A25" s="714"/>
      <c r="B25" s="715" t="s">
        <v>718</v>
      </c>
      <c r="C25" s="730">
        <f aca="true" t="shared" si="1" ref="C25:J25">SUM(C23:C24)</f>
        <v>78225225</v>
      </c>
      <c r="D25" s="730">
        <f t="shared" si="1"/>
        <v>0</v>
      </c>
      <c r="E25" s="730">
        <f t="shared" si="1"/>
        <v>0</v>
      </c>
      <c r="F25" s="1111">
        <f t="shared" si="1"/>
        <v>78225225</v>
      </c>
      <c r="G25" s="730">
        <f t="shared" si="1"/>
        <v>78258948</v>
      </c>
      <c r="H25" s="730">
        <f t="shared" si="1"/>
        <v>0</v>
      </c>
      <c r="I25" s="730">
        <f t="shared" si="1"/>
        <v>0</v>
      </c>
      <c r="J25" s="1111">
        <f t="shared" si="1"/>
        <v>78258948</v>
      </c>
      <c r="K25" s="730">
        <f aca="true" t="shared" si="2" ref="K25:R25">SUM(K23:K24)</f>
        <v>78321927</v>
      </c>
      <c r="L25" s="730">
        <f t="shared" si="2"/>
        <v>0</v>
      </c>
      <c r="M25" s="730">
        <f t="shared" si="2"/>
        <v>0</v>
      </c>
      <c r="N25" s="1111">
        <f t="shared" si="2"/>
        <v>78321927</v>
      </c>
      <c r="O25" s="730">
        <f t="shared" si="2"/>
        <v>78367586</v>
      </c>
      <c r="P25" s="730">
        <f t="shared" si="2"/>
        <v>0</v>
      </c>
      <c r="Q25" s="730">
        <f t="shared" si="2"/>
        <v>0</v>
      </c>
      <c r="R25" s="1111">
        <f t="shared" si="2"/>
        <v>78367586</v>
      </c>
      <c r="S25" s="730">
        <f>SUM(S23:S24)</f>
        <v>73976433</v>
      </c>
      <c r="T25" s="730">
        <f>SUM(T23:T24)</f>
        <v>4109938</v>
      </c>
      <c r="U25" s="730">
        <f>SUM(U23:U24)</f>
        <v>0</v>
      </c>
      <c r="V25" s="1111">
        <f>SUM(V23:V24)</f>
        <v>78086371</v>
      </c>
    </row>
    <row r="26" spans="1:22" ht="16.5" thickBot="1">
      <c r="A26" s="2228" t="s">
        <v>157</v>
      </c>
      <c r="B26" s="2229"/>
      <c r="C26" s="731">
        <f aca="true" t="shared" si="3" ref="C26:J26">SUM(C21+C25)</f>
        <v>90552927</v>
      </c>
      <c r="D26" s="731">
        <f t="shared" si="3"/>
        <v>12619798</v>
      </c>
      <c r="E26" s="731">
        <f t="shared" si="3"/>
        <v>0</v>
      </c>
      <c r="F26" s="732">
        <f t="shared" si="3"/>
        <v>103172725</v>
      </c>
      <c r="G26" s="731">
        <f t="shared" si="3"/>
        <v>98795074</v>
      </c>
      <c r="H26" s="731">
        <f t="shared" si="3"/>
        <v>1237548</v>
      </c>
      <c r="I26" s="731">
        <f t="shared" si="3"/>
        <v>0</v>
      </c>
      <c r="J26" s="732">
        <f t="shared" si="3"/>
        <v>100032622</v>
      </c>
      <c r="K26" s="731">
        <f aca="true" t="shared" si="4" ref="K26:R26">SUM(K21+K25)</f>
        <v>98858053</v>
      </c>
      <c r="L26" s="731">
        <f t="shared" si="4"/>
        <v>1237601</v>
      </c>
      <c r="M26" s="731">
        <f t="shared" si="4"/>
        <v>0</v>
      </c>
      <c r="N26" s="732">
        <f t="shared" si="4"/>
        <v>100095654</v>
      </c>
      <c r="O26" s="731">
        <f t="shared" si="4"/>
        <v>98903712</v>
      </c>
      <c r="P26" s="731">
        <f t="shared" si="4"/>
        <v>2625498</v>
      </c>
      <c r="Q26" s="731">
        <f t="shared" si="4"/>
        <v>0</v>
      </c>
      <c r="R26" s="732">
        <f t="shared" si="4"/>
        <v>101529210</v>
      </c>
      <c r="S26" s="731">
        <f>SUM(S21+S25)</f>
        <v>98916800</v>
      </c>
      <c r="T26" s="731">
        <f>SUM(T21+T25)</f>
        <v>17923328</v>
      </c>
      <c r="U26" s="731">
        <f>SUM(U21+U25)</f>
        <v>0</v>
      </c>
      <c r="V26" s="732">
        <f>SUM(V21+V25)</f>
        <v>116840128</v>
      </c>
    </row>
    <row r="27" spans="1:22" ht="12.75">
      <c r="A27" s="1241" t="s">
        <v>164</v>
      </c>
      <c r="B27" s="706" t="s">
        <v>721</v>
      </c>
      <c r="C27" s="431">
        <v>47179414</v>
      </c>
      <c r="D27" s="431">
        <v>3972889</v>
      </c>
      <c r="E27" s="709"/>
      <c r="F27" s="432">
        <f>SUM(C27:E27)</f>
        <v>51152303</v>
      </c>
      <c r="G27" s="431">
        <v>51181003</v>
      </c>
      <c r="H27" s="431"/>
      <c r="I27" s="709"/>
      <c r="J27" s="432">
        <f>SUM(G27:I27)</f>
        <v>51181003</v>
      </c>
      <c r="K27" s="431">
        <v>51234603</v>
      </c>
      <c r="L27" s="431"/>
      <c r="M27" s="709"/>
      <c r="N27" s="432">
        <f>SUM(K27:M27)</f>
        <v>51234603</v>
      </c>
      <c r="O27" s="431">
        <v>51404175</v>
      </c>
      <c r="P27" s="431">
        <v>1071559</v>
      </c>
      <c r="Q27" s="709"/>
      <c r="R27" s="432">
        <f>SUM(O27:Q27)</f>
        <v>52475734</v>
      </c>
      <c r="S27" s="431">
        <v>45699915</v>
      </c>
      <c r="T27" s="431">
        <v>3972889</v>
      </c>
      <c r="U27" s="709"/>
      <c r="V27" s="432">
        <f>SUM(S27:U27)</f>
        <v>49672804</v>
      </c>
    </row>
    <row r="28" spans="1:22" ht="25.5">
      <c r="A28" s="1242" t="s">
        <v>166</v>
      </c>
      <c r="B28" s="706" t="s">
        <v>722</v>
      </c>
      <c r="C28" s="431">
        <v>7883513</v>
      </c>
      <c r="D28" s="431">
        <v>646909</v>
      </c>
      <c r="E28" s="391"/>
      <c r="F28" s="432">
        <f>SUM(C28:E28)</f>
        <v>8530422</v>
      </c>
      <c r="G28" s="431">
        <v>8535445</v>
      </c>
      <c r="H28" s="431"/>
      <c r="I28" s="391"/>
      <c r="J28" s="432">
        <f>SUM(G28:I28)</f>
        <v>8535445</v>
      </c>
      <c r="K28" s="431">
        <v>8544824</v>
      </c>
      <c r="L28" s="431"/>
      <c r="M28" s="391"/>
      <c r="N28" s="432">
        <f>SUM(K28:M28)</f>
        <v>8544824</v>
      </c>
      <c r="O28" s="431">
        <v>8420911</v>
      </c>
      <c r="P28" s="431">
        <v>316288</v>
      </c>
      <c r="Q28" s="391"/>
      <c r="R28" s="432">
        <f>SUM(O28:Q28)</f>
        <v>8737199</v>
      </c>
      <c r="S28" s="431">
        <v>8097487</v>
      </c>
      <c r="T28" s="431">
        <v>646909</v>
      </c>
      <c r="U28" s="391"/>
      <c r="V28" s="432">
        <f>SUM(S28:U28)</f>
        <v>8744396</v>
      </c>
    </row>
    <row r="29" spans="1:22" s="10" customFormat="1" ht="12.75">
      <c r="A29" s="1242" t="s">
        <v>173</v>
      </c>
      <c r="B29" s="605" t="s">
        <v>723</v>
      </c>
      <c r="C29" s="431">
        <v>36490000</v>
      </c>
      <c r="D29" s="431">
        <v>6000000</v>
      </c>
      <c r="E29" s="406"/>
      <c r="F29" s="432">
        <f>SUM(C29:E29)</f>
        <v>42490000</v>
      </c>
      <c r="G29" s="431">
        <v>39078626</v>
      </c>
      <c r="H29" s="431">
        <v>237548</v>
      </c>
      <c r="I29" s="406"/>
      <c r="J29" s="432">
        <f>SUM(G29:I29)</f>
        <v>39316174</v>
      </c>
      <c r="K29" s="431">
        <v>39078626</v>
      </c>
      <c r="L29" s="431">
        <v>237601</v>
      </c>
      <c r="M29" s="406"/>
      <c r="N29" s="432">
        <f>SUM(K29:M29)</f>
        <v>39316227</v>
      </c>
      <c r="O29" s="431">
        <v>39078626</v>
      </c>
      <c r="P29" s="431">
        <v>237651</v>
      </c>
      <c r="Q29" s="406"/>
      <c r="R29" s="432">
        <f>SUM(O29:Q29)</f>
        <v>39316277</v>
      </c>
      <c r="S29" s="431">
        <v>45119398</v>
      </c>
      <c r="T29" s="431">
        <v>6000000</v>
      </c>
      <c r="U29" s="406"/>
      <c r="V29" s="432">
        <f>SUM(S29:U29)</f>
        <v>51119398</v>
      </c>
    </row>
    <row r="30" spans="1:22" s="10" customFormat="1" ht="12.75">
      <c r="A30" s="1242" t="s">
        <v>182</v>
      </c>
      <c r="B30" s="605" t="s">
        <v>724</v>
      </c>
      <c r="C30" s="740"/>
      <c r="D30" s="740">
        <v>1000000</v>
      </c>
      <c r="E30" s="740">
        <f>SUM(E31:E32)</f>
        <v>0</v>
      </c>
      <c r="F30" s="432">
        <f>SUM(C30:E30)</f>
        <v>1000000</v>
      </c>
      <c r="G30" s="740"/>
      <c r="H30" s="740">
        <v>1000000</v>
      </c>
      <c r="I30" s="740">
        <f>SUM(I31:I32)</f>
        <v>0</v>
      </c>
      <c r="J30" s="432">
        <f>SUM(G30:I30)</f>
        <v>1000000</v>
      </c>
      <c r="K30" s="740"/>
      <c r="L30" s="740">
        <v>1000000</v>
      </c>
      <c r="M30" s="740">
        <f>SUM(M31:M32)</f>
        <v>0</v>
      </c>
      <c r="N30" s="432">
        <f>SUM(K30:M30)</f>
        <v>1000000</v>
      </c>
      <c r="O30" s="740"/>
      <c r="P30" s="740">
        <v>1000000</v>
      </c>
      <c r="Q30" s="740">
        <f>SUM(Q31:Q32)</f>
        <v>0</v>
      </c>
      <c r="R30" s="432">
        <f>SUM(O30:Q30)</f>
        <v>1000000</v>
      </c>
      <c r="S30" s="740"/>
      <c r="T30" s="740">
        <v>7303530</v>
      </c>
      <c r="U30" s="740">
        <f>SUM(U31:U32)</f>
        <v>0</v>
      </c>
      <c r="V30" s="432">
        <f>SUM(S30:U30)</f>
        <v>7303530</v>
      </c>
    </row>
    <row r="31" spans="1:22" s="114" customFormat="1" ht="12.75">
      <c r="A31" s="1114"/>
      <c r="B31" s="707" t="s">
        <v>132</v>
      </c>
      <c r="C31" s="429"/>
      <c r="D31" s="707">
        <v>1000000</v>
      </c>
      <c r="E31" s="707"/>
      <c r="F31" s="1124"/>
      <c r="G31" s="429"/>
      <c r="H31" s="707">
        <v>1000000</v>
      </c>
      <c r="I31" s="707"/>
      <c r="J31" s="1124"/>
      <c r="K31" s="429"/>
      <c r="L31" s="707">
        <v>1000000</v>
      </c>
      <c r="M31" s="707"/>
      <c r="N31" s="1124"/>
      <c r="O31" s="429"/>
      <c r="P31" s="707">
        <v>1000000</v>
      </c>
      <c r="Q31" s="707"/>
      <c r="R31" s="1124"/>
      <c r="S31" s="429"/>
      <c r="T31" s="707">
        <v>7303530</v>
      </c>
      <c r="U31" s="707"/>
      <c r="V31" s="1124">
        <v>7303530</v>
      </c>
    </row>
    <row r="32" spans="1:22" s="114" customFormat="1" ht="13.5" thickBot="1">
      <c r="A32" s="1125"/>
      <c r="B32" s="716" t="s">
        <v>134</v>
      </c>
      <c r="C32" s="716"/>
      <c r="D32" s="716"/>
      <c r="E32" s="716"/>
      <c r="F32" s="1126"/>
      <c r="G32" s="716"/>
      <c r="H32" s="716"/>
      <c r="I32" s="716"/>
      <c r="J32" s="1126"/>
      <c r="K32" s="716"/>
      <c r="L32" s="716"/>
      <c r="M32" s="716"/>
      <c r="N32" s="1126"/>
      <c r="O32" s="716"/>
      <c r="P32" s="716"/>
      <c r="Q32" s="716"/>
      <c r="R32" s="1126"/>
      <c r="S32" s="716"/>
      <c r="T32" s="716"/>
      <c r="U32" s="716"/>
      <c r="V32" s="1126"/>
    </row>
    <row r="33" spans="1:22" ht="16.5" thickBot="1">
      <c r="A33" s="741"/>
      <c r="B33" s="742" t="s">
        <v>725</v>
      </c>
      <c r="C33" s="743">
        <f>SUM(C27:C30)</f>
        <v>91552927</v>
      </c>
      <c r="D33" s="743">
        <f>SUM(D27:D31)</f>
        <v>12619798</v>
      </c>
      <c r="E33" s="743">
        <f aca="true" t="shared" si="5" ref="E33:J33">SUM(E27:E30)</f>
        <v>0</v>
      </c>
      <c r="F33" s="744">
        <f t="shared" si="5"/>
        <v>103172725</v>
      </c>
      <c r="G33" s="743">
        <f t="shared" si="5"/>
        <v>98795074</v>
      </c>
      <c r="H33" s="743">
        <f t="shared" si="5"/>
        <v>1237548</v>
      </c>
      <c r="I33" s="743">
        <f t="shared" si="5"/>
        <v>0</v>
      </c>
      <c r="J33" s="744">
        <f t="shared" si="5"/>
        <v>100032622</v>
      </c>
      <c r="K33" s="743">
        <f aca="true" t="shared" si="6" ref="K33:R33">SUM(K27:K30)</f>
        <v>98858053</v>
      </c>
      <c r="L33" s="743">
        <f t="shared" si="6"/>
        <v>1237601</v>
      </c>
      <c r="M33" s="743">
        <f t="shared" si="6"/>
        <v>0</v>
      </c>
      <c r="N33" s="744">
        <f t="shared" si="6"/>
        <v>100095654</v>
      </c>
      <c r="O33" s="743">
        <f t="shared" si="6"/>
        <v>98903712</v>
      </c>
      <c r="P33" s="743">
        <f t="shared" si="6"/>
        <v>2625498</v>
      </c>
      <c r="Q33" s="743">
        <f t="shared" si="6"/>
        <v>0</v>
      </c>
      <c r="R33" s="744">
        <f t="shared" si="6"/>
        <v>101529210</v>
      </c>
      <c r="S33" s="743">
        <f>SUM(S27:S31)</f>
        <v>98916800</v>
      </c>
      <c r="T33" s="743">
        <f>SUM(T27:T30)</f>
        <v>17923328</v>
      </c>
      <c r="U33" s="743">
        <f>SUM(U27:U30)</f>
        <v>0</v>
      </c>
      <c r="V33" s="744">
        <f>SUM(V27:V30)</f>
        <v>116840128</v>
      </c>
    </row>
  </sheetData>
  <sheetProtection/>
  <mergeCells count="12">
    <mergeCell ref="K10:N10"/>
    <mergeCell ref="G10:J10"/>
    <mergeCell ref="A2:V2"/>
    <mergeCell ref="A1:V1"/>
    <mergeCell ref="J3:L3"/>
    <mergeCell ref="A26:B26"/>
    <mergeCell ref="A10:B11"/>
    <mergeCell ref="C10:F10"/>
    <mergeCell ref="A21:B21"/>
    <mergeCell ref="S10:V10"/>
    <mergeCell ref="A6:V6"/>
    <mergeCell ref="O10:R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V72"/>
  <sheetViews>
    <sheetView showGridLines="0" view="pageBreakPreview" zoomScale="106" zoomScaleSheetLayoutView="106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2" sqref="I2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20.140625" style="0" customWidth="1"/>
    <col min="4" max="4" width="17.421875" style="0" customWidth="1"/>
    <col min="5" max="5" width="14.421875" style="0" customWidth="1"/>
    <col min="6" max="6" width="19.140625" style="0" customWidth="1"/>
    <col min="7" max="7" width="20.140625" style="0" customWidth="1"/>
    <col min="8" max="8" width="17.421875" style="0" customWidth="1"/>
    <col min="9" max="9" width="14.421875" style="0" customWidth="1"/>
    <col min="10" max="10" width="19.140625" style="0" customWidth="1"/>
    <col min="11" max="11" width="20.140625" style="0" customWidth="1"/>
    <col min="12" max="12" width="17.421875" style="0" customWidth="1"/>
    <col min="13" max="13" width="14.421875" style="0" customWidth="1"/>
    <col min="14" max="14" width="19.140625" style="0" customWidth="1"/>
    <col min="15" max="15" width="20.140625" style="0" customWidth="1"/>
    <col min="16" max="16" width="17.421875" style="0" customWidth="1"/>
    <col min="17" max="17" width="14.421875" style="0" customWidth="1"/>
    <col min="18" max="18" width="19.140625" style="0" customWidth="1"/>
    <col min="19" max="19" width="20.140625" style="0" customWidth="1"/>
    <col min="20" max="20" width="17.421875" style="0" customWidth="1"/>
    <col min="21" max="21" width="14.421875" style="0" customWidth="1"/>
    <col min="22" max="22" width="19.140625" style="0" customWidth="1"/>
  </cols>
  <sheetData>
    <row r="1" spans="1:22" ht="15.75">
      <c r="A1" s="2241" t="s">
        <v>737</v>
      </c>
      <c r="B1" s="2241"/>
      <c r="C1" s="2241"/>
      <c r="D1" s="2241"/>
      <c r="E1" s="2241"/>
      <c r="F1" s="2241"/>
      <c r="G1" s="2241"/>
      <c r="H1" s="2241"/>
      <c r="I1" s="2241"/>
      <c r="J1" s="2241"/>
      <c r="K1" s="2241"/>
      <c r="L1" s="2241"/>
      <c r="M1" s="2241"/>
      <c r="N1" s="2241"/>
      <c r="O1" s="2241"/>
      <c r="P1" s="2241"/>
      <c r="Q1" s="2241"/>
      <c r="R1" s="2241"/>
      <c r="S1" s="1826"/>
      <c r="T1" s="1826"/>
      <c r="U1" s="1826"/>
      <c r="V1" s="1826"/>
    </row>
    <row r="2" spans="1:22" ht="15.75">
      <c r="A2" s="2241" t="s">
        <v>1295</v>
      </c>
      <c r="B2" s="2241"/>
      <c r="C2" s="2241"/>
      <c r="D2" s="2241"/>
      <c r="E2" s="2241"/>
      <c r="F2" s="2241"/>
      <c r="G2" s="2241"/>
      <c r="H2" s="2241"/>
      <c r="I2" s="2241"/>
      <c r="J2" s="2241"/>
      <c r="K2" s="2241"/>
      <c r="L2" s="2241"/>
      <c r="M2" s="2241"/>
      <c r="N2" s="2241"/>
      <c r="O2" s="2241"/>
      <c r="P2" s="2241"/>
      <c r="Q2" s="2241"/>
      <c r="R2" s="2241"/>
      <c r="S2" s="2241"/>
      <c r="T2" s="2241"/>
      <c r="U2" s="2241"/>
      <c r="V2" s="2241"/>
    </row>
    <row r="3" spans="1:22" ht="12.75">
      <c r="A3" s="703"/>
      <c r="B3" s="703"/>
      <c r="C3" s="703"/>
      <c r="D3" s="703"/>
      <c r="E3" s="703"/>
      <c r="F3" s="703"/>
      <c r="G3" s="703"/>
      <c r="H3" s="703"/>
      <c r="I3" s="703"/>
      <c r="J3" s="1890" t="s">
        <v>1296</v>
      </c>
      <c r="K3" s="1890"/>
      <c r="L3" s="1890"/>
      <c r="M3" s="1890"/>
      <c r="N3" s="703" t="s">
        <v>1314</v>
      </c>
      <c r="O3" s="703"/>
      <c r="P3" s="703"/>
      <c r="Q3" s="703"/>
      <c r="R3" s="703"/>
      <c r="S3" s="703"/>
      <c r="T3" s="703"/>
      <c r="U3" s="703"/>
      <c r="V3" s="703"/>
    </row>
    <row r="4" spans="1:22" ht="12.75">
      <c r="A4" s="703"/>
      <c r="B4" s="703"/>
      <c r="C4" s="703"/>
      <c r="D4" s="703"/>
      <c r="E4" s="703"/>
      <c r="F4" s="703"/>
      <c r="G4" s="703"/>
      <c r="H4" s="703"/>
      <c r="I4" s="703"/>
      <c r="J4" s="1890"/>
      <c r="K4" s="1890"/>
      <c r="L4" s="1890"/>
      <c r="M4" s="1890"/>
      <c r="N4" s="703"/>
      <c r="O4" s="703"/>
      <c r="P4" s="703"/>
      <c r="Q4" s="703"/>
      <c r="R4" s="703"/>
      <c r="S4" s="703"/>
      <c r="T4" s="703"/>
      <c r="U4" s="703"/>
      <c r="V4" s="703"/>
    </row>
    <row r="5" spans="1:22" ht="12.75">
      <c r="A5" s="703"/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</row>
    <row r="6" spans="1:22" ht="42.75" customHeight="1">
      <c r="A6" s="2237" t="s">
        <v>736</v>
      </c>
      <c r="B6" s="2237"/>
      <c r="C6" s="2237"/>
      <c r="D6" s="2237"/>
      <c r="E6" s="2237"/>
      <c r="F6" s="2237"/>
      <c r="G6" s="2237"/>
      <c r="H6" s="2237"/>
      <c r="I6" s="2237"/>
      <c r="J6" s="2237"/>
      <c r="K6" s="2237"/>
      <c r="L6" s="2237"/>
      <c r="M6" s="2237"/>
      <c r="N6" s="2237"/>
      <c r="O6" s="2237"/>
      <c r="P6" s="2237"/>
      <c r="Q6" s="2237"/>
      <c r="R6" s="2237"/>
      <c r="S6" s="2237"/>
      <c r="T6" s="2237"/>
      <c r="U6" s="2237"/>
      <c r="V6" s="2237"/>
    </row>
    <row r="9" ht="13.5" thickBot="1">
      <c r="V9" t="s">
        <v>214</v>
      </c>
    </row>
    <row r="10" spans="1:22" ht="12.75">
      <c r="A10" s="2230" t="s">
        <v>703</v>
      </c>
      <c r="B10" s="2231"/>
      <c r="C10" s="2234" t="s">
        <v>522</v>
      </c>
      <c r="D10" s="2234"/>
      <c r="E10" s="2234"/>
      <c r="F10" s="2235"/>
      <c r="G10" s="2234" t="s">
        <v>1157</v>
      </c>
      <c r="H10" s="2234"/>
      <c r="I10" s="2234"/>
      <c r="J10" s="2235"/>
      <c r="K10" s="2234" t="s">
        <v>1178</v>
      </c>
      <c r="L10" s="2234"/>
      <c r="M10" s="2234"/>
      <c r="N10" s="2235"/>
      <c r="O10" s="2234" t="s">
        <v>1250</v>
      </c>
      <c r="P10" s="2234"/>
      <c r="Q10" s="2234"/>
      <c r="R10" s="2235"/>
      <c r="S10" s="2234" t="s">
        <v>1267</v>
      </c>
      <c r="T10" s="2234"/>
      <c r="U10" s="2234"/>
      <c r="V10" s="2235"/>
    </row>
    <row r="11" spans="1:22" s="4" customFormat="1" ht="26.25" customHeight="1">
      <c r="A11" s="2255"/>
      <c r="B11" s="2256"/>
      <c r="C11" s="708" t="s">
        <v>704</v>
      </c>
      <c r="D11" s="708" t="s">
        <v>705</v>
      </c>
      <c r="E11" s="708" t="s">
        <v>706</v>
      </c>
      <c r="F11" s="750" t="s">
        <v>25</v>
      </c>
      <c r="G11" s="708" t="s">
        <v>704</v>
      </c>
      <c r="H11" s="708" t="s">
        <v>705</v>
      </c>
      <c r="I11" s="708" t="s">
        <v>706</v>
      </c>
      <c r="J11" s="750" t="s">
        <v>25</v>
      </c>
      <c r="K11" s="708" t="s">
        <v>704</v>
      </c>
      <c r="L11" s="708" t="s">
        <v>705</v>
      </c>
      <c r="M11" s="708" t="s">
        <v>706</v>
      </c>
      <c r="N11" s="750" t="s">
        <v>25</v>
      </c>
      <c r="O11" s="708" t="s">
        <v>704</v>
      </c>
      <c r="P11" s="708" t="s">
        <v>705</v>
      </c>
      <c r="Q11" s="708" t="s">
        <v>706</v>
      </c>
      <c r="R11" s="750" t="s">
        <v>25</v>
      </c>
      <c r="S11" s="708" t="s">
        <v>704</v>
      </c>
      <c r="T11" s="708" t="s">
        <v>705</v>
      </c>
      <c r="U11" s="708" t="s">
        <v>706</v>
      </c>
      <c r="V11" s="750" t="s">
        <v>25</v>
      </c>
    </row>
    <row r="12" spans="1:22" s="4" customFormat="1" ht="26.25" customHeight="1">
      <c r="A12" s="1558"/>
      <c r="B12" s="705" t="s">
        <v>738</v>
      </c>
      <c r="C12" s="751">
        <v>61975191</v>
      </c>
      <c r="D12" s="751"/>
      <c r="E12" s="751"/>
      <c r="F12" s="1559">
        <f aca="true" t="shared" si="0" ref="F12:F17">SUM(C12:E12)</f>
        <v>61975191</v>
      </c>
      <c r="G12" s="751">
        <v>75331491</v>
      </c>
      <c r="H12" s="751"/>
      <c r="I12" s="751"/>
      <c r="J12" s="1559">
        <f aca="true" t="shared" si="1" ref="J12:J17">SUM(G12:I12)</f>
        <v>75331491</v>
      </c>
      <c r="K12" s="751">
        <v>75719241</v>
      </c>
      <c r="L12" s="751"/>
      <c r="M12" s="751"/>
      <c r="N12" s="1559">
        <f aca="true" t="shared" si="2" ref="N12:N17">SUM(K12:M12)</f>
        <v>75719241</v>
      </c>
      <c r="O12" s="751">
        <v>75719241</v>
      </c>
      <c r="P12" s="751"/>
      <c r="Q12" s="751"/>
      <c r="R12" s="1559">
        <f aca="true" t="shared" si="3" ref="R12:R17">SUM(O12:Q12)</f>
        <v>75719241</v>
      </c>
      <c r="S12" s="751">
        <v>75919433</v>
      </c>
      <c r="T12" s="751"/>
      <c r="U12" s="751"/>
      <c r="V12" s="1559">
        <f aca="true" t="shared" si="4" ref="V12:V17">SUM(S12:U12)</f>
        <v>75919433</v>
      </c>
    </row>
    <row r="13" spans="1:22" s="4" customFormat="1" ht="26.25" customHeight="1">
      <c r="A13" s="1558"/>
      <c r="B13" s="705" t="s">
        <v>739</v>
      </c>
      <c r="C13" s="751">
        <v>71578420</v>
      </c>
      <c r="D13" s="751"/>
      <c r="E13" s="751"/>
      <c r="F13" s="1559">
        <f t="shared" si="0"/>
        <v>71578420</v>
      </c>
      <c r="G13" s="751">
        <v>71578420</v>
      </c>
      <c r="H13" s="751"/>
      <c r="I13" s="751"/>
      <c r="J13" s="1559">
        <f t="shared" si="1"/>
        <v>71578420</v>
      </c>
      <c r="K13" s="751">
        <v>76658570</v>
      </c>
      <c r="L13" s="751"/>
      <c r="M13" s="751"/>
      <c r="N13" s="1559">
        <f t="shared" si="2"/>
        <v>76658570</v>
      </c>
      <c r="O13" s="751">
        <v>76658570</v>
      </c>
      <c r="P13" s="751"/>
      <c r="Q13" s="751"/>
      <c r="R13" s="1559">
        <f t="shared" si="3"/>
        <v>76658570</v>
      </c>
      <c r="S13" s="751">
        <v>79063350</v>
      </c>
      <c r="T13" s="751"/>
      <c r="U13" s="751"/>
      <c r="V13" s="1559">
        <f t="shared" si="4"/>
        <v>79063350</v>
      </c>
    </row>
    <row r="14" spans="1:22" s="4" customFormat="1" ht="26.25" customHeight="1">
      <c r="A14" s="1558"/>
      <c r="B14" s="705" t="s">
        <v>740</v>
      </c>
      <c r="C14" s="751">
        <v>68387414</v>
      </c>
      <c r="D14" s="751"/>
      <c r="E14" s="751"/>
      <c r="F14" s="1559">
        <f t="shared" si="0"/>
        <v>68387414</v>
      </c>
      <c r="G14" s="751">
        <v>70287414</v>
      </c>
      <c r="H14" s="751"/>
      <c r="I14" s="751"/>
      <c r="J14" s="1559">
        <f t="shared" si="1"/>
        <v>70287414</v>
      </c>
      <c r="K14" s="751">
        <v>73978454</v>
      </c>
      <c r="L14" s="751"/>
      <c r="M14" s="751"/>
      <c r="N14" s="1559">
        <f t="shared" si="2"/>
        <v>73978454</v>
      </c>
      <c r="O14" s="751">
        <v>73978454</v>
      </c>
      <c r="P14" s="751"/>
      <c r="Q14" s="751"/>
      <c r="R14" s="1559">
        <f t="shared" si="3"/>
        <v>73978454</v>
      </c>
      <c r="S14" s="751">
        <v>78609156</v>
      </c>
      <c r="T14" s="751"/>
      <c r="U14" s="751"/>
      <c r="V14" s="1559">
        <f t="shared" si="4"/>
        <v>78609156</v>
      </c>
    </row>
    <row r="15" spans="1:22" s="4" customFormat="1" ht="26.25" customHeight="1">
      <c r="A15" s="1558"/>
      <c r="B15" s="705" t="s">
        <v>741</v>
      </c>
      <c r="C15" s="751">
        <v>4357233</v>
      </c>
      <c r="D15" s="751"/>
      <c r="E15" s="751"/>
      <c r="F15" s="1559">
        <f t="shared" si="0"/>
        <v>4357233</v>
      </c>
      <c r="G15" s="751">
        <v>4357233</v>
      </c>
      <c r="H15" s="751"/>
      <c r="I15" s="751"/>
      <c r="J15" s="1559">
        <f t="shared" si="1"/>
        <v>4357233</v>
      </c>
      <c r="K15" s="751">
        <v>5854923</v>
      </c>
      <c r="L15" s="751"/>
      <c r="M15" s="751"/>
      <c r="N15" s="1559">
        <f t="shared" si="2"/>
        <v>5854923</v>
      </c>
      <c r="O15" s="751">
        <v>5854923</v>
      </c>
      <c r="P15" s="751"/>
      <c r="Q15" s="751"/>
      <c r="R15" s="1559">
        <f t="shared" si="3"/>
        <v>5854923</v>
      </c>
      <c r="S15" s="751">
        <v>6558782</v>
      </c>
      <c r="T15" s="751"/>
      <c r="U15" s="751"/>
      <c r="V15" s="1559">
        <f t="shared" si="4"/>
        <v>6558782</v>
      </c>
    </row>
    <row r="16" spans="1:22" s="4" customFormat="1" ht="26.25" customHeight="1">
      <c r="A16" s="1558"/>
      <c r="B16" s="705" t="s">
        <v>742</v>
      </c>
      <c r="C16" s="751">
        <v>0</v>
      </c>
      <c r="D16" s="751"/>
      <c r="E16" s="751"/>
      <c r="F16" s="1559">
        <f t="shared" si="0"/>
        <v>0</v>
      </c>
      <c r="G16" s="751">
        <v>0</v>
      </c>
      <c r="H16" s="751"/>
      <c r="I16" s="751"/>
      <c r="J16" s="1559">
        <f t="shared" si="1"/>
        <v>0</v>
      </c>
      <c r="K16" s="751">
        <v>0</v>
      </c>
      <c r="L16" s="751"/>
      <c r="M16" s="751"/>
      <c r="N16" s="1559">
        <f t="shared" si="2"/>
        <v>0</v>
      </c>
      <c r="O16" s="751">
        <v>1447800</v>
      </c>
      <c r="P16" s="751"/>
      <c r="Q16" s="751"/>
      <c r="R16" s="1559">
        <f t="shared" si="3"/>
        <v>1447800</v>
      </c>
      <c r="S16" s="751">
        <v>1447800</v>
      </c>
      <c r="T16" s="751"/>
      <c r="U16" s="751"/>
      <c r="V16" s="1559">
        <f t="shared" si="4"/>
        <v>1447800</v>
      </c>
    </row>
    <row r="17" spans="1:22" s="4" customFormat="1" ht="25.5">
      <c r="A17" s="1558"/>
      <c r="B17" s="705" t="s">
        <v>743</v>
      </c>
      <c r="C17" s="751"/>
      <c r="D17" s="751"/>
      <c r="E17" s="751"/>
      <c r="F17" s="1559">
        <f t="shared" si="0"/>
        <v>0</v>
      </c>
      <c r="G17" s="751"/>
      <c r="H17" s="751"/>
      <c r="I17" s="751"/>
      <c r="J17" s="1559">
        <f t="shared" si="1"/>
        <v>0</v>
      </c>
      <c r="K17" s="751"/>
      <c r="L17" s="751"/>
      <c r="M17" s="751"/>
      <c r="N17" s="1559">
        <f t="shared" si="2"/>
        <v>0</v>
      </c>
      <c r="O17" s="751"/>
      <c r="P17" s="751"/>
      <c r="Q17" s="751"/>
      <c r="R17" s="1559">
        <f t="shared" si="3"/>
        <v>0</v>
      </c>
      <c r="S17" s="751"/>
      <c r="T17" s="751"/>
      <c r="U17" s="751"/>
      <c r="V17" s="1559">
        <f t="shared" si="4"/>
        <v>0</v>
      </c>
    </row>
    <row r="18" spans="1:22" s="4" customFormat="1" ht="26.25" customHeight="1">
      <c r="A18" s="1558"/>
      <c r="B18" s="748" t="s">
        <v>744</v>
      </c>
      <c r="C18" s="752">
        <f aca="true" t="shared" si="5" ref="C18:J18">SUM(C12:C17)</f>
        <v>206298258</v>
      </c>
      <c r="D18" s="752">
        <f t="shared" si="5"/>
        <v>0</v>
      </c>
      <c r="E18" s="752">
        <f t="shared" si="5"/>
        <v>0</v>
      </c>
      <c r="F18" s="1560">
        <f t="shared" si="5"/>
        <v>206298258</v>
      </c>
      <c r="G18" s="752">
        <f t="shared" si="5"/>
        <v>221554558</v>
      </c>
      <c r="H18" s="752">
        <f t="shared" si="5"/>
        <v>0</v>
      </c>
      <c r="I18" s="752">
        <f t="shared" si="5"/>
        <v>0</v>
      </c>
      <c r="J18" s="1560">
        <f t="shared" si="5"/>
        <v>221554558</v>
      </c>
      <c r="K18" s="752">
        <f aca="true" t="shared" si="6" ref="K18:R18">SUM(K12:K17)</f>
        <v>232211188</v>
      </c>
      <c r="L18" s="752">
        <f t="shared" si="6"/>
        <v>0</v>
      </c>
      <c r="M18" s="752">
        <f t="shared" si="6"/>
        <v>0</v>
      </c>
      <c r="N18" s="1560">
        <f t="shared" si="6"/>
        <v>232211188</v>
      </c>
      <c r="O18" s="752">
        <f t="shared" si="6"/>
        <v>233658988</v>
      </c>
      <c r="P18" s="752">
        <f t="shared" si="6"/>
        <v>0</v>
      </c>
      <c r="Q18" s="752">
        <f t="shared" si="6"/>
        <v>0</v>
      </c>
      <c r="R18" s="1560">
        <f t="shared" si="6"/>
        <v>233658988</v>
      </c>
      <c r="S18" s="752">
        <f>SUM(S12:S17)</f>
        <v>241598521</v>
      </c>
      <c r="T18" s="752">
        <f>SUM(T12:T17)</f>
        <v>0</v>
      </c>
      <c r="U18" s="752">
        <f>SUM(U12:U17)</f>
        <v>0</v>
      </c>
      <c r="V18" s="1560">
        <f>SUM(V12:V17)</f>
        <v>241598521</v>
      </c>
    </row>
    <row r="19" spans="1:22" s="753" customFormat="1" ht="26.25" customHeight="1">
      <c r="A19" s="1561"/>
      <c r="B19" s="748" t="s">
        <v>745</v>
      </c>
      <c r="C19" s="752">
        <v>250000</v>
      </c>
      <c r="D19" s="752"/>
      <c r="E19" s="752"/>
      <c r="F19" s="1560">
        <f>SUM(C19:E19)</f>
        <v>250000</v>
      </c>
      <c r="G19" s="752">
        <v>250000</v>
      </c>
      <c r="H19" s="752"/>
      <c r="I19" s="752"/>
      <c r="J19" s="1560">
        <f>SUM(G19:I19)</f>
        <v>250000</v>
      </c>
      <c r="K19" s="752">
        <v>1512404</v>
      </c>
      <c r="L19" s="752"/>
      <c r="M19" s="752"/>
      <c r="N19" s="1560">
        <f>SUM(K19:M19)</f>
        <v>1512404</v>
      </c>
      <c r="O19" s="752">
        <v>2234101</v>
      </c>
      <c r="P19" s="752"/>
      <c r="Q19" s="752"/>
      <c r="R19" s="1560">
        <f>SUM(O19:Q19)</f>
        <v>2234101</v>
      </c>
      <c r="S19" s="752">
        <v>3103905</v>
      </c>
      <c r="T19" s="752"/>
      <c r="U19" s="752"/>
      <c r="V19" s="1560">
        <f>SUM(S19:U19)</f>
        <v>3103905</v>
      </c>
    </row>
    <row r="20" spans="1:22" s="4" customFormat="1" ht="12.75">
      <c r="A20" s="1558"/>
      <c r="B20" s="749" t="s">
        <v>746</v>
      </c>
      <c r="C20" s="751">
        <v>250000</v>
      </c>
      <c r="D20" s="751"/>
      <c r="E20" s="751"/>
      <c r="F20" s="1559">
        <f>SUM(C20:E20)</f>
        <v>250000</v>
      </c>
      <c r="G20" s="751">
        <v>250000</v>
      </c>
      <c r="H20" s="751"/>
      <c r="I20" s="751"/>
      <c r="J20" s="1559">
        <f>SUM(G20:I20)</f>
        <v>250000</v>
      </c>
      <c r="K20" s="751">
        <v>463516</v>
      </c>
      <c r="L20" s="751"/>
      <c r="M20" s="751"/>
      <c r="N20" s="1559">
        <f>SUM(K20:M20)</f>
        <v>463516</v>
      </c>
      <c r="O20" s="751">
        <v>693142</v>
      </c>
      <c r="P20" s="751"/>
      <c r="Q20" s="751"/>
      <c r="R20" s="1559">
        <f>SUM(O20:Q20)</f>
        <v>693142</v>
      </c>
      <c r="S20" s="751">
        <v>1037581</v>
      </c>
      <c r="T20" s="751"/>
      <c r="U20" s="751"/>
      <c r="V20" s="1559">
        <f>SUM(S20:U20)</f>
        <v>1037581</v>
      </c>
    </row>
    <row r="21" spans="1:22" s="4" customFormat="1" ht="31.5">
      <c r="A21" s="1558" t="s">
        <v>164</v>
      </c>
      <c r="B21" s="713" t="s">
        <v>747</v>
      </c>
      <c r="C21" s="755">
        <f aca="true" t="shared" si="7" ref="C21:J21">SUM(C18+C19)</f>
        <v>206548258</v>
      </c>
      <c r="D21" s="755">
        <f t="shared" si="7"/>
        <v>0</v>
      </c>
      <c r="E21" s="755">
        <f t="shared" si="7"/>
        <v>0</v>
      </c>
      <c r="F21" s="1562">
        <f t="shared" si="7"/>
        <v>206548258</v>
      </c>
      <c r="G21" s="755">
        <f t="shared" si="7"/>
        <v>221804558</v>
      </c>
      <c r="H21" s="755">
        <f t="shared" si="7"/>
        <v>0</v>
      </c>
      <c r="I21" s="755">
        <f t="shared" si="7"/>
        <v>0</v>
      </c>
      <c r="J21" s="1562">
        <f t="shared" si="7"/>
        <v>221804558</v>
      </c>
      <c r="K21" s="755">
        <f aca="true" t="shared" si="8" ref="K21:R21">SUM(K18+K19)</f>
        <v>233723592</v>
      </c>
      <c r="L21" s="755">
        <f t="shared" si="8"/>
        <v>0</v>
      </c>
      <c r="M21" s="755">
        <f t="shared" si="8"/>
        <v>0</v>
      </c>
      <c r="N21" s="1562">
        <f t="shared" si="8"/>
        <v>233723592</v>
      </c>
      <c r="O21" s="755">
        <f t="shared" si="8"/>
        <v>235893089</v>
      </c>
      <c r="P21" s="755">
        <f t="shared" si="8"/>
        <v>0</v>
      </c>
      <c r="Q21" s="755">
        <f t="shared" si="8"/>
        <v>0</v>
      </c>
      <c r="R21" s="1562">
        <f t="shared" si="8"/>
        <v>235893089</v>
      </c>
      <c r="S21" s="755">
        <f>SUM(S18+S19)</f>
        <v>244702426</v>
      </c>
      <c r="T21" s="755">
        <f>SUM(T18+T19)</f>
        <v>0</v>
      </c>
      <c r="U21" s="755">
        <f>SUM(U18+U19)</f>
        <v>0</v>
      </c>
      <c r="V21" s="1562">
        <f>SUM(V18+V19)</f>
        <v>244702426</v>
      </c>
    </row>
    <row r="22" spans="1:22" s="4" customFormat="1" ht="31.5">
      <c r="A22" s="1558" t="s">
        <v>166</v>
      </c>
      <c r="B22" s="713" t="s">
        <v>167</v>
      </c>
      <c r="C22" s="755">
        <v>0</v>
      </c>
      <c r="D22" s="755">
        <v>0</v>
      </c>
      <c r="E22" s="755">
        <v>0</v>
      </c>
      <c r="F22" s="1562">
        <v>0</v>
      </c>
      <c r="G22" s="755">
        <v>0</v>
      </c>
      <c r="H22" s="755">
        <v>0</v>
      </c>
      <c r="I22" s="755">
        <v>0</v>
      </c>
      <c r="J22" s="1562">
        <v>0</v>
      </c>
      <c r="K22" s="755">
        <v>0</v>
      </c>
      <c r="L22" s="755">
        <v>225723592</v>
      </c>
      <c r="M22" s="755">
        <v>0</v>
      </c>
      <c r="N22" s="1562">
        <v>225628568</v>
      </c>
      <c r="O22" s="755">
        <v>0</v>
      </c>
      <c r="P22" s="755">
        <v>225723592</v>
      </c>
      <c r="Q22" s="755">
        <v>0</v>
      </c>
      <c r="R22" s="1562">
        <v>225628568</v>
      </c>
      <c r="S22" s="755">
        <v>0</v>
      </c>
      <c r="T22" s="755">
        <v>243628561</v>
      </c>
      <c r="U22" s="755">
        <v>0</v>
      </c>
      <c r="V22" s="1562">
        <v>243628561</v>
      </c>
    </row>
    <row r="23" spans="1:22" s="4" customFormat="1" ht="12.75">
      <c r="A23" s="1558"/>
      <c r="B23" s="748" t="s">
        <v>748</v>
      </c>
      <c r="C23" s="751">
        <f>SUM(C24:C26)</f>
        <v>17700000</v>
      </c>
      <c r="D23" s="751"/>
      <c r="E23" s="751"/>
      <c r="F23" s="1559">
        <f>SUM(C23:E23)</f>
        <v>17700000</v>
      </c>
      <c r="G23" s="751">
        <f>SUM(G24:G26)</f>
        <v>7000000</v>
      </c>
      <c r="H23" s="751"/>
      <c r="I23" s="751"/>
      <c r="J23" s="1559">
        <f>SUM(G23:I23)</f>
        <v>7000000</v>
      </c>
      <c r="K23" s="751">
        <f>SUM(K24:K26)</f>
        <v>7000000</v>
      </c>
      <c r="L23" s="751"/>
      <c r="M23" s="751"/>
      <c r="N23" s="1559">
        <f>SUM(K23:M23)</f>
        <v>7000000</v>
      </c>
      <c r="O23" s="751">
        <f>SUM(O24:O26)</f>
        <v>7000000</v>
      </c>
      <c r="P23" s="751"/>
      <c r="Q23" s="751"/>
      <c r="R23" s="1559">
        <f>SUM(O23:Q23)</f>
        <v>7000000</v>
      </c>
      <c r="S23" s="751">
        <v>8449347</v>
      </c>
      <c r="T23" s="751"/>
      <c r="U23" s="751"/>
      <c r="V23" s="1559">
        <f>SUM(S23:U23)</f>
        <v>8449347</v>
      </c>
    </row>
    <row r="24" spans="1:22" s="4" customFormat="1" ht="12.75">
      <c r="A24" s="1558"/>
      <c r="B24" s="705" t="s">
        <v>749</v>
      </c>
      <c r="C24" s="751">
        <v>7000000</v>
      </c>
      <c r="D24" s="751"/>
      <c r="E24" s="751"/>
      <c r="F24" s="1559">
        <f>SUM(C24:E24)</f>
        <v>7000000</v>
      </c>
      <c r="G24" s="751">
        <v>7000000</v>
      </c>
      <c r="H24" s="751"/>
      <c r="I24" s="751"/>
      <c r="J24" s="1559">
        <f>SUM(G24:I24)</f>
        <v>7000000</v>
      </c>
      <c r="K24" s="751">
        <v>7000000</v>
      </c>
      <c r="L24" s="751"/>
      <c r="M24" s="751"/>
      <c r="N24" s="1559">
        <f>SUM(K24:M24)</f>
        <v>7000000</v>
      </c>
      <c r="O24" s="751">
        <v>7000000</v>
      </c>
      <c r="P24" s="751"/>
      <c r="Q24" s="751"/>
      <c r="R24" s="1559">
        <f>SUM(O24:Q24)</f>
        <v>7000000</v>
      </c>
      <c r="S24" s="751">
        <v>8449347</v>
      </c>
      <c r="T24" s="751"/>
      <c r="U24" s="751"/>
      <c r="V24" s="1559">
        <f>SUM(S24:U24)</f>
        <v>8449347</v>
      </c>
    </row>
    <row r="25" spans="1:22" s="4" customFormat="1" ht="12.75">
      <c r="A25" s="1558"/>
      <c r="B25" s="705" t="s">
        <v>750</v>
      </c>
      <c r="C25" s="751">
        <v>10700000</v>
      </c>
      <c r="D25" s="751"/>
      <c r="E25" s="751"/>
      <c r="F25" s="1559">
        <f>SUM(C25:E25)</f>
        <v>10700000</v>
      </c>
      <c r="G25" s="751">
        <v>0</v>
      </c>
      <c r="H25" s="751"/>
      <c r="I25" s="751"/>
      <c r="J25" s="1559">
        <f>SUM(G25:I25)</f>
        <v>0</v>
      </c>
      <c r="K25" s="751">
        <v>0</v>
      </c>
      <c r="L25" s="751"/>
      <c r="M25" s="751"/>
      <c r="N25" s="1559">
        <f>SUM(K25:M25)</f>
        <v>0</v>
      </c>
      <c r="O25" s="751">
        <v>0</v>
      </c>
      <c r="P25" s="751"/>
      <c r="Q25" s="751"/>
      <c r="R25" s="1559">
        <f>SUM(O25:Q25)</f>
        <v>0</v>
      </c>
      <c r="S25" s="751">
        <v>0</v>
      </c>
      <c r="T25" s="751"/>
      <c r="U25" s="751"/>
      <c r="V25" s="1559">
        <f>SUM(S25:U25)</f>
        <v>0</v>
      </c>
    </row>
    <row r="26" spans="1:22" s="4" customFormat="1" ht="25.5">
      <c r="A26" s="1558"/>
      <c r="B26" s="705" t="s">
        <v>751</v>
      </c>
      <c r="C26" s="751">
        <v>0</v>
      </c>
      <c r="D26" s="751"/>
      <c r="E26" s="751"/>
      <c r="F26" s="1559">
        <f>SUM(C26:E26)</f>
        <v>0</v>
      </c>
      <c r="G26" s="751">
        <v>0</v>
      </c>
      <c r="H26" s="751"/>
      <c r="I26" s="751"/>
      <c r="J26" s="1559">
        <f>SUM(G26:I26)</f>
        <v>0</v>
      </c>
      <c r="K26" s="751">
        <v>0</v>
      </c>
      <c r="L26" s="751"/>
      <c r="M26" s="751"/>
      <c r="N26" s="1559">
        <f>SUM(K26:M26)</f>
        <v>0</v>
      </c>
      <c r="O26" s="751">
        <v>0</v>
      </c>
      <c r="P26" s="751"/>
      <c r="Q26" s="751"/>
      <c r="R26" s="1559">
        <f>SUM(O26:Q26)</f>
        <v>0</v>
      </c>
      <c r="S26" s="751">
        <v>0</v>
      </c>
      <c r="T26" s="751"/>
      <c r="U26" s="751"/>
      <c r="V26" s="1559">
        <f>SUM(S26:U26)</f>
        <v>0</v>
      </c>
    </row>
    <row r="27" spans="1:22" s="4" customFormat="1" ht="12.75">
      <c r="A27" s="1558"/>
      <c r="B27" s="748" t="s">
        <v>752</v>
      </c>
      <c r="C27" s="751">
        <v>170000000</v>
      </c>
      <c r="D27" s="751">
        <f>SUM(D24:D26)</f>
        <v>0</v>
      </c>
      <c r="E27" s="751">
        <f>SUM(E24:E26)</f>
        <v>0</v>
      </c>
      <c r="F27" s="1559">
        <v>170000000</v>
      </c>
      <c r="G27" s="751">
        <v>149699463</v>
      </c>
      <c r="H27" s="751">
        <f>SUM(H24:H26)</f>
        <v>0</v>
      </c>
      <c r="I27" s="751">
        <f>SUM(I24:I26)</f>
        <v>0</v>
      </c>
      <c r="J27" s="1559">
        <v>149699463</v>
      </c>
      <c r="K27" s="751">
        <v>149699463</v>
      </c>
      <c r="L27" s="751">
        <f>SUM(L24:L26)</f>
        <v>0</v>
      </c>
      <c r="M27" s="751">
        <f>SUM(M24:M26)</f>
        <v>0</v>
      </c>
      <c r="N27" s="1559">
        <v>149699463</v>
      </c>
      <c r="O27" s="751">
        <v>149699463</v>
      </c>
      <c r="P27" s="751">
        <f>SUM(P24:P26)</f>
        <v>0</v>
      </c>
      <c r="Q27" s="751">
        <f>SUM(Q24:Q26)</f>
        <v>0</v>
      </c>
      <c r="R27" s="1559">
        <v>149699463</v>
      </c>
      <c r="S27" s="751">
        <v>147879068</v>
      </c>
      <c r="T27" s="751">
        <f>SUM(T24:T26)</f>
        <v>0</v>
      </c>
      <c r="U27" s="751">
        <f>SUM(U24:U26)</f>
        <v>0</v>
      </c>
      <c r="V27" s="1559">
        <v>147879068</v>
      </c>
    </row>
    <row r="28" spans="1:22" s="4" customFormat="1" ht="12.75">
      <c r="A28" s="1558"/>
      <c r="B28" s="748" t="s">
        <v>753</v>
      </c>
      <c r="C28" s="751">
        <v>250000</v>
      </c>
      <c r="D28" s="751"/>
      <c r="E28" s="751">
        <v>0</v>
      </c>
      <c r="F28" s="1559">
        <v>250000</v>
      </c>
      <c r="G28" s="751">
        <v>250000</v>
      </c>
      <c r="H28" s="751"/>
      <c r="I28" s="751">
        <v>0</v>
      </c>
      <c r="J28" s="1559">
        <v>250000</v>
      </c>
      <c r="K28" s="751">
        <v>350000</v>
      </c>
      <c r="L28" s="751"/>
      <c r="M28" s="751">
        <v>0</v>
      </c>
      <c r="N28" s="1559">
        <v>350000</v>
      </c>
      <c r="O28" s="751">
        <v>350000</v>
      </c>
      <c r="P28" s="751"/>
      <c r="Q28" s="751">
        <v>0</v>
      </c>
      <c r="R28" s="1559">
        <v>350000</v>
      </c>
      <c r="S28" s="751">
        <v>724993</v>
      </c>
      <c r="T28" s="751"/>
      <c r="U28" s="751">
        <v>0</v>
      </c>
      <c r="V28" s="1559">
        <v>724993</v>
      </c>
    </row>
    <row r="29" spans="1:22" s="4" customFormat="1" ht="15.75">
      <c r="A29" s="1558" t="s">
        <v>166</v>
      </c>
      <c r="B29" s="713" t="s">
        <v>754</v>
      </c>
      <c r="C29" s="754">
        <f>SUM(C23+C27+C28)</f>
        <v>187950000</v>
      </c>
      <c r="D29" s="754">
        <f>SUM(D23+D27+D28)</f>
        <v>0</v>
      </c>
      <c r="E29" s="754">
        <v>0</v>
      </c>
      <c r="F29" s="1563">
        <f>SUM(F23+F27+F28)</f>
        <v>187950000</v>
      </c>
      <c r="G29" s="754">
        <f>SUM(G23+G27+G28)</f>
        <v>156949463</v>
      </c>
      <c r="H29" s="754">
        <f>SUM(H23+H27+H28)</f>
        <v>0</v>
      </c>
      <c r="I29" s="754">
        <v>0</v>
      </c>
      <c r="J29" s="1563">
        <f>SUM(J23+J27+J28)</f>
        <v>156949463</v>
      </c>
      <c r="K29" s="754">
        <f>SUM(K23+K27+K28)</f>
        <v>157049463</v>
      </c>
      <c r="L29" s="754">
        <f>SUM(L23+L27+L28)</f>
        <v>0</v>
      </c>
      <c r="M29" s="754">
        <v>0</v>
      </c>
      <c r="N29" s="1563">
        <f>SUM(N23+N27+N28)</f>
        <v>157049463</v>
      </c>
      <c r="O29" s="754">
        <f>SUM(O23+O27+O28)</f>
        <v>157049463</v>
      </c>
      <c r="P29" s="754">
        <f>SUM(P23+P27+P28)</f>
        <v>0</v>
      </c>
      <c r="Q29" s="754">
        <v>0</v>
      </c>
      <c r="R29" s="1563">
        <f>SUM(R23+R27+R28)</f>
        <v>157049463</v>
      </c>
      <c r="S29" s="754">
        <f>SUM(S23+S27+S28)</f>
        <v>157053408</v>
      </c>
      <c r="T29" s="754">
        <f>SUM(T23+T27+T28)</f>
        <v>0</v>
      </c>
      <c r="U29" s="754">
        <v>0</v>
      </c>
      <c r="V29" s="1563">
        <f>SUM(V23+V27+V28)</f>
        <v>157053408</v>
      </c>
    </row>
    <row r="30" spans="1:22" s="4" customFormat="1" ht="12.75">
      <c r="A30" s="1558"/>
      <c r="B30" s="705" t="s">
        <v>734</v>
      </c>
      <c r="C30" s="751"/>
      <c r="D30" s="751">
        <v>3600000</v>
      </c>
      <c r="E30" s="751"/>
      <c r="F30" s="1559">
        <f aca="true" t="shared" si="9" ref="F30:F37">SUM(C30:E30)</f>
        <v>3600000</v>
      </c>
      <c r="G30" s="751"/>
      <c r="H30" s="751">
        <v>2500000</v>
      </c>
      <c r="I30" s="751"/>
      <c r="J30" s="1559">
        <f aca="true" t="shared" si="10" ref="J30:J37">SUM(G30:I30)</f>
        <v>2500000</v>
      </c>
      <c r="K30" s="751"/>
      <c r="L30" s="751">
        <v>3000000</v>
      </c>
      <c r="M30" s="751"/>
      <c r="N30" s="1559">
        <f aca="true" t="shared" si="11" ref="N30:N37">SUM(K30:M30)</f>
        <v>3000000</v>
      </c>
      <c r="O30" s="751"/>
      <c r="P30" s="751">
        <v>4000000</v>
      </c>
      <c r="Q30" s="751"/>
      <c r="R30" s="1559">
        <f aca="true" t="shared" si="12" ref="R30:R37">SUM(O30:Q30)</f>
        <v>4000000</v>
      </c>
      <c r="S30" s="751"/>
      <c r="T30" s="751">
        <v>4654268</v>
      </c>
      <c r="U30" s="751"/>
      <c r="V30" s="1559">
        <f aca="true" t="shared" si="13" ref="V30:V37">SUM(S30:U30)</f>
        <v>4654268</v>
      </c>
    </row>
    <row r="31" spans="1:22" s="4" customFormat="1" ht="25.5">
      <c r="A31" s="1558"/>
      <c r="B31" s="705" t="s">
        <v>755</v>
      </c>
      <c r="C31" s="751"/>
      <c r="D31" s="751">
        <v>5179000</v>
      </c>
      <c r="E31" s="751"/>
      <c r="F31" s="1559">
        <f t="shared" si="9"/>
        <v>5179000</v>
      </c>
      <c r="G31" s="751"/>
      <c r="H31" s="751">
        <v>5179000</v>
      </c>
      <c r="I31" s="751"/>
      <c r="J31" s="1559">
        <f t="shared" si="10"/>
        <v>5179000</v>
      </c>
      <c r="K31" s="751"/>
      <c r="L31" s="751">
        <v>4000000</v>
      </c>
      <c r="M31" s="751"/>
      <c r="N31" s="1559">
        <f t="shared" si="11"/>
        <v>4000000</v>
      </c>
      <c r="O31" s="751"/>
      <c r="P31" s="751">
        <v>4000000</v>
      </c>
      <c r="Q31" s="751"/>
      <c r="R31" s="1559">
        <f t="shared" si="12"/>
        <v>4000000</v>
      </c>
      <c r="S31" s="751"/>
      <c r="T31" s="751">
        <v>4394154</v>
      </c>
      <c r="U31" s="751"/>
      <c r="V31" s="1559">
        <f t="shared" si="13"/>
        <v>4394154</v>
      </c>
    </row>
    <row r="32" spans="1:22" s="4" customFormat="1" ht="12.75">
      <c r="A32" s="1558"/>
      <c r="B32" s="705" t="s">
        <v>756</v>
      </c>
      <c r="C32" s="751"/>
      <c r="D32" s="751">
        <v>240000</v>
      </c>
      <c r="E32" s="751"/>
      <c r="F32" s="1559">
        <f t="shared" si="9"/>
        <v>240000</v>
      </c>
      <c r="G32" s="751"/>
      <c r="H32" s="751">
        <v>150000</v>
      </c>
      <c r="I32" s="751"/>
      <c r="J32" s="1559">
        <f t="shared" si="10"/>
        <v>150000</v>
      </c>
      <c r="K32" s="751"/>
      <c r="L32" s="751">
        <v>300000</v>
      </c>
      <c r="M32" s="751"/>
      <c r="N32" s="1559">
        <f t="shared" si="11"/>
        <v>300000</v>
      </c>
      <c r="O32" s="751"/>
      <c r="P32" s="751">
        <v>300000</v>
      </c>
      <c r="Q32" s="751"/>
      <c r="R32" s="1559">
        <f t="shared" si="12"/>
        <v>300000</v>
      </c>
      <c r="S32" s="751"/>
      <c r="T32" s="751">
        <v>509647</v>
      </c>
      <c r="U32" s="751"/>
      <c r="V32" s="1559">
        <f t="shared" si="13"/>
        <v>509647</v>
      </c>
    </row>
    <row r="33" spans="1:22" s="4" customFormat="1" ht="25.5">
      <c r="A33" s="1558"/>
      <c r="B33" s="705" t="s">
        <v>711</v>
      </c>
      <c r="C33" s="751"/>
      <c r="D33" s="751">
        <v>10000000</v>
      </c>
      <c r="E33" s="751"/>
      <c r="F33" s="1559">
        <f t="shared" si="9"/>
        <v>10000000</v>
      </c>
      <c r="G33" s="751"/>
      <c r="H33" s="751">
        <v>10000000</v>
      </c>
      <c r="I33" s="751"/>
      <c r="J33" s="1559">
        <f t="shared" si="10"/>
        <v>10000000</v>
      </c>
      <c r="K33" s="751"/>
      <c r="L33" s="751">
        <v>9600000</v>
      </c>
      <c r="M33" s="751"/>
      <c r="N33" s="1559">
        <f t="shared" si="11"/>
        <v>9600000</v>
      </c>
      <c r="O33" s="751"/>
      <c r="P33" s="751">
        <v>7000000</v>
      </c>
      <c r="Q33" s="751"/>
      <c r="R33" s="1559">
        <f t="shared" si="12"/>
        <v>7000000</v>
      </c>
      <c r="S33" s="751"/>
      <c r="T33" s="751">
        <v>9856427</v>
      </c>
      <c r="U33" s="751"/>
      <c r="V33" s="1559">
        <f t="shared" si="13"/>
        <v>9856427</v>
      </c>
    </row>
    <row r="34" spans="1:22" s="4" customFormat="1" ht="26.25" customHeight="1">
      <c r="A34" s="1558"/>
      <c r="B34" s="705" t="s">
        <v>757</v>
      </c>
      <c r="C34" s="751">
        <v>0</v>
      </c>
      <c r="D34" s="751"/>
      <c r="E34" s="751"/>
      <c r="F34" s="1559">
        <f t="shared" si="9"/>
        <v>0</v>
      </c>
      <c r="G34" s="751">
        <v>0</v>
      </c>
      <c r="H34" s="751"/>
      <c r="I34" s="751"/>
      <c r="J34" s="1559">
        <f t="shared" si="10"/>
        <v>0</v>
      </c>
      <c r="K34" s="751">
        <v>0</v>
      </c>
      <c r="L34" s="751"/>
      <c r="M34" s="751"/>
      <c r="N34" s="1559">
        <f t="shared" si="11"/>
        <v>0</v>
      </c>
      <c r="O34" s="751">
        <v>0</v>
      </c>
      <c r="P34" s="751"/>
      <c r="Q34" s="751"/>
      <c r="R34" s="1559">
        <f t="shared" si="12"/>
        <v>0</v>
      </c>
      <c r="S34" s="751">
        <v>0</v>
      </c>
      <c r="T34" s="751"/>
      <c r="U34" s="751"/>
      <c r="V34" s="1559">
        <f t="shared" si="13"/>
        <v>0</v>
      </c>
    </row>
    <row r="35" spans="1:22" s="4" customFormat="1" ht="26.25" customHeight="1">
      <c r="A35" s="1558"/>
      <c r="B35" s="705" t="s">
        <v>758</v>
      </c>
      <c r="C35" s="751">
        <v>0</v>
      </c>
      <c r="D35" s="751"/>
      <c r="E35" s="751"/>
      <c r="F35" s="1559">
        <f t="shared" si="9"/>
        <v>0</v>
      </c>
      <c r="G35" s="751">
        <v>0</v>
      </c>
      <c r="H35" s="751">
        <v>26</v>
      </c>
      <c r="I35" s="751"/>
      <c r="J35" s="1559">
        <f t="shared" si="10"/>
        <v>26</v>
      </c>
      <c r="K35" s="751">
        <v>0</v>
      </c>
      <c r="L35" s="751">
        <v>100</v>
      </c>
      <c r="M35" s="751"/>
      <c r="N35" s="1559">
        <f t="shared" si="11"/>
        <v>100</v>
      </c>
      <c r="O35" s="751">
        <v>0</v>
      </c>
      <c r="P35" s="751">
        <v>100</v>
      </c>
      <c r="Q35" s="751"/>
      <c r="R35" s="1559">
        <f t="shared" si="12"/>
        <v>100</v>
      </c>
      <c r="S35" s="751">
        <v>0</v>
      </c>
      <c r="T35" s="751">
        <v>119</v>
      </c>
      <c r="U35" s="751"/>
      <c r="V35" s="1559">
        <f t="shared" si="13"/>
        <v>119</v>
      </c>
    </row>
    <row r="36" spans="1:22" s="4" customFormat="1" ht="12.75">
      <c r="A36" s="1558"/>
      <c r="B36" s="823" t="s">
        <v>804</v>
      </c>
      <c r="C36" s="751">
        <v>0</v>
      </c>
      <c r="D36" s="751"/>
      <c r="E36" s="751"/>
      <c r="F36" s="1559">
        <f t="shared" si="9"/>
        <v>0</v>
      </c>
      <c r="G36" s="751">
        <v>0</v>
      </c>
      <c r="H36" s="751"/>
      <c r="I36" s="751"/>
      <c r="J36" s="1559">
        <f t="shared" si="10"/>
        <v>0</v>
      </c>
      <c r="K36" s="751">
        <v>0</v>
      </c>
      <c r="L36" s="751"/>
      <c r="M36" s="751"/>
      <c r="N36" s="1559">
        <f t="shared" si="11"/>
        <v>0</v>
      </c>
      <c r="O36" s="751">
        <v>0</v>
      </c>
      <c r="P36" s="751"/>
      <c r="Q36" s="751"/>
      <c r="R36" s="1559">
        <f t="shared" si="12"/>
        <v>0</v>
      </c>
      <c r="S36" s="751">
        <v>0</v>
      </c>
      <c r="T36" s="751"/>
      <c r="U36" s="751"/>
      <c r="V36" s="1559">
        <f t="shared" si="13"/>
        <v>0</v>
      </c>
    </row>
    <row r="37" spans="1:22" s="4" customFormat="1" ht="12.75">
      <c r="A37" s="1558"/>
      <c r="B37" s="705" t="s">
        <v>713</v>
      </c>
      <c r="C37" s="751"/>
      <c r="D37" s="751">
        <v>2000000</v>
      </c>
      <c r="E37" s="751"/>
      <c r="F37" s="1559">
        <f t="shared" si="9"/>
        <v>2000000</v>
      </c>
      <c r="G37" s="751"/>
      <c r="H37" s="751">
        <v>1000000</v>
      </c>
      <c r="I37" s="751"/>
      <c r="J37" s="1559">
        <f t="shared" si="10"/>
        <v>1000000</v>
      </c>
      <c r="K37" s="751"/>
      <c r="L37" s="751">
        <v>100000</v>
      </c>
      <c r="M37" s="751"/>
      <c r="N37" s="1559">
        <f t="shared" si="11"/>
        <v>100000</v>
      </c>
      <c r="O37" s="751"/>
      <c r="P37" s="751">
        <v>250000</v>
      </c>
      <c r="Q37" s="751"/>
      <c r="R37" s="1559">
        <f t="shared" si="12"/>
        <v>250000</v>
      </c>
      <c r="S37" s="751"/>
      <c r="T37" s="751">
        <v>217483</v>
      </c>
      <c r="U37" s="751"/>
      <c r="V37" s="1559">
        <f t="shared" si="13"/>
        <v>217483</v>
      </c>
    </row>
    <row r="38" spans="1:22" s="4" customFormat="1" ht="15.75">
      <c r="A38" s="1558" t="s">
        <v>173</v>
      </c>
      <c r="B38" s="713" t="s">
        <v>708</v>
      </c>
      <c r="C38" s="754">
        <f aca="true" t="shared" si="14" ref="C38:J38">SUM(C30:C37)</f>
        <v>0</v>
      </c>
      <c r="D38" s="754">
        <f t="shared" si="14"/>
        <v>21019000</v>
      </c>
      <c r="E38" s="754">
        <f t="shared" si="14"/>
        <v>0</v>
      </c>
      <c r="F38" s="1563">
        <f t="shared" si="14"/>
        <v>21019000</v>
      </c>
      <c r="G38" s="754">
        <f t="shared" si="14"/>
        <v>0</v>
      </c>
      <c r="H38" s="754">
        <f t="shared" si="14"/>
        <v>18829026</v>
      </c>
      <c r="I38" s="754">
        <f t="shared" si="14"/>
        <v>0</v>
      </c>
      <c r="J38" s="1563">
        <f t="shared" si="14"/>
        <v>18829026</v>
      </c>
      <c r="K38" s="754">
        <f aca="true" t="shared" si="15" ref="K38:R38">SUM(K30:K37)</f>
        <v>0</v>
      </c>
      <c r="L38" s="754">
        <f t="shared" si="15"/>
        <v>17000100</v>
      </c>
      <c r="M38" s="754">
        <f t="shared" si="15"/>
        <v>0</v>
      </c>
      <c r="N38" s="1563">
        <f t="shared" si="15"/>
        <v>17000100</v>
      </c>
      <c r="O38" s="754">
        <f t="shared" si="15"/>
        <v>0</v>
      </c>
      <c r="P38" s="754">
        <f t="shared" si="15"/>
        <v>15550100</v>
      </c>
      <c r="Q38" s="754">
        <f t="shared" si="15"/>
        <v>0</v>
      </c>
      <c r="R38" s="1563">
        <f t="shared" si="15"/>
        <v>15550100</v>
      </c>
      <c r="S38" s="754">
        <f>SUM(S30:S37)</f>
        <v>0</v>
      </c>
      <c r="T38" s="754">
        <f>SUM(T30:T37)</f>
        <v>19632098</v>
      </c>
      <c r="U38" s="754">
        <f>SUM(U30:U37)</f>
        <v>0</v>
      </c>
      <c r="V38" s="1563">
        <f>SUM(V30:V37)</f>
        <v>19632098</v>
      </c>
    </row>
    <row r="39" spans="1:22" s="4" customFormat="1" ht="12.75">
      <c r="A39" s="1558"/>
      <c r="B39" s="705" t="s">
        <v>759</v>
      </c>
      <c r="C39" s="751"/>
      <c r="D39" s="751">
        <v>14000000</v>
      </c>
      <c r="E39" s="751"/>
      <c r="F39" s="1559">
        <f>SUM(C39:E39)</f>
        <v>14000000</v>
      </c>
      <c r="G39" s="751"/>
      <c r="H39" s="751">
        <v>16968160</v>
      </c>
      <c r="I39" s="751"/>
      <c r="J39" s="1559">
        <f>SUM(G39:I39)</f>
        <v>16968160</v>
      </c>
      <c r="K39" s="751"/>
      <c r="L39" s="751">
        <v>22893160</v>
      </c>
      <c r="M39" s="751"/>
      <c r="N39" s="1559">
        <f>SUM(K39:M39)</f>
        <v>22893160</v>
      </c>
      <c r="O39" s="751"/>
      <c r="P39" s="751">
        <v>22893160</v>
      </c>
      <c r="Q39" s="751"/>
      <c r="R39" s="1559">
        <f>SUM(O39:Q39)</f>
        <v>22893160</v>
      </c>
      <c r="S39" s="751"/>
      <c r="T39" s="751">
        <v>31357376</v>
      </c>
      <c r="U39" s="751"/>
      <c r="V39" s="1559">
        <f>SUM(S39:U39)</f>
        <v>31357376</v>
      </c>
    </row>
    <row r="40" spans="1:22" s="4" customFormat="1" ht="12.75">
      <c r="A40" s="1558"/>
      <c r="B40" s="705" t="s">
        <v>760</v>
      </c>
      <c r="C40" s="751"/>
      <c r="D40" s="751"/>
      <c r="E40" s="751"/>
      <c r="F40" s="1559">
        <f>SUM(C40:E40)</f>
        <v>0</v>
      </c>
      <c r="G40" s="751"/>
      <c r="H40" s="751"/>
      <c r="I40" s="751"/>
      <c r="J40" s="1559">
        <f>SUM(G40:I40)</f>
        <v>0</v>
      </c>
      <c r="K40" s="751"/>
      <c r="L40" s="751"/>
      <c r="M40" s="751"/>
      <c r="N40" s="1559">
        <f>SUM(K40:M40)</f>
        <v>0</v>
      </c>
      <c r="O40" s="751"/>
      <c r="P40" s="751"/>
      <c r="Q40" s="751"/>
      <c r="R40" s="1559">
        <f>SUM(O40:Q40)</f>
        <v>0</v>
      </c>
      <c r="S40" s="751"/>
      <c r="T40" s="751"/>
      <c r="U40" s="751"/>
      <c r="V40" s="1559">
        <f>SUM(S40:U40)</f>
        <v>0</v>
      </c>
    </row>
    <row r="41" spans="1:22" s="4" customFormat="1" ht="15.75">
      <c r="A41" s="1558" t="s">
        <v>182</v>
      </c>
      <c r="B41" s="713" t="s">
        <v>761</v>
      </c>
      <c r="C41" s="754">
        <f aca="true" t="shared" si="16" ref="C41:J41">SUM(C39:C40)</f>
        <v>0</v>
      </c>
      <c r="D41" s="754">
        <f t="shared" si="16"/>
        <v>14000000</v>
      </c>
      <c r="E41" s="754">
        <f t="shared" si="16"/>
        <v>0</v>
      </c>
      <c r="F41" s="1563">
        <f t="shared" si="16"/>
        <v>14000000</v>
      </c>
      <c r="G41" s="754">
        <f t="shared" si="16"/>
        <v>0</v>
      </c>
      <c r="H41" s="754">
        <f t="shared" si="16"/>
        <v>16968160</v>
      </c>
      <c r="I41" s="754">
        <f t="shared" si="16"/>
        <v>0</v>
      </c>
      <c r="J41" s="1563">
        <f t="shared" si="16"/>
        <v>16968160</v>
      </c>
      <c r="K41" s="754">
        <f aca="true" t="shared" si="17" ref="K41:R41">SUM(K39:K40)</f>
        <v>0</v>
      </c>
      <c r="L41" s="754">
        <f t="shared" si="17"/>
        <v>22893160</v>
      </c>
      <c r="M41" s="754">
        <f t="shared" si="17"/>
        <v>0</v>
      </c>
      <c r="N41" s="1563">
        <f t="shared" si="17"/>
        <v>22893160</v>
      </c>
      <c r="O41" s="754">
        <f t="shared" si="17"/>
        <v>0</v>
      </c>
      <c r="P41" s="754">
        <f t="shared" si="17"/>
        <v>22893160</v>
      </c>
      <c r="Q41" s="754">
        <f t="shared" si="17"/>
        <v>0</v>
      </c>
      <c r="R41" s="1563">
        <f t="shared" si="17"/>
        <v>22893160</v>
      </c>
      <c r="S41" s="754">
        <f>SUM(S39:S40)</f>
        <v>0</v>
      </c>
      <c r="T41" s="754">
        <f>SUM(T39:T40)</f>
        <v>31357376</v>
      </c>
      <c r="U41" s="754">
        <f>SUM(U39:U40)</f>
        <v>0</v>
      </c>
      <c r="V41" s="1563">
        <f>SUM(V39:V40)</f>
        <v>31357376</v>
      </c>
    </row>
    <row r="42" spans="1:22" s="4" customFormat="1" ht="26.25" customHeight="1">
      <c r="A42" s="1558"/>
      <c r="B42" s="705" t="s">
        <v>762</v>
      </c>
      <c r="C42" s="751"/>
      <c r="D42" s="751">
        <v>78000</v>
      </c>
      <c r="E42" s="751"/>
      <c r="F42" s="1559">
        <f>SUM(C42:E42)</f>
        <v>78000</v>
      </c>
      <c r="G42" s="751"/>
      <c r="H42" s="751">
        <v>78000</v>
      </c>
      <c r="I42" s="751"/>
      <c r="J42" s="1559">
        <f>SUM(G42:I42)</f>
        <v>78000</v>
      </c>
      <c r="K42" s="751"/>
      <c r="L42" s="751">
        <v>150000</v>
      </c>
      <c r="M42" s="751"/>
      <c r="N42" s="1559">
        <f>SUM(K42:M42)</f>
        <v>150000</v>
      </c>
      <c r="O42" s="751"/>
      <c r="P42" s="751">
        <v>250000</v>
      </c>
      <c r="Q42" s="751"/>
      <c r="R42" s="1559">
        <f>SUM(O42:Q42)</f>
        <v>250000</v>
      </c>
      <c r="S42" s="751"/>
      <c r="T42" s="751">
        <v>275798</v>
      </c>
      <c r="U42" s="751"/>
      <c r="V42" s="1559">
        <f>SUM(S42:U42)</f>
        <v>275798</v>
      </c>
    </row>
    <row r="43" spans="1:22" s="4" customFormat="1" ht="12.75">
      <c r="A43" s="1558"/>
      <c r="B43" s="749" t="s">
        <v>763</v>
      </c>
      <c r="C43" s="751"/>
      <c r="D43" s="751">
        <v>78000</v>
      </c>
      <c r="E43" s="751"/>
      <c r="F43" s="1559">
        <f>SUM(C43:E43)</f>
        <v>78000</v>
      </c>
      <c r="G43" s="751"/>
      <c r="H43" s="751">
        <v>78000</v>
      </c>
      <c r="I43" s="751"/>
      <c r="J43" s="1559">
        <f>SUM(G43:I43)</f>
        <v>78000</v>
      </c>
      <c r="K43" s="751"/>
      <c r="L43" s="751">
        <v>150000</v>
      </c>
      <c r="M43" s="751"/>
      <c r="N43" s="1559">
        <f>SUM(K43:M43)</f>
        <v>150000</v>
      </c>
      <c r="O43" s="751"/>
      <c r="P43" s="751">
        <v>250000</v>
      </c>
      <c r="Q43" s="751"/>
      <c r="R43" s="1559">
        <f>SUM(O43:Q43)</f>
        <v>250000</v>
      </c>
      <c r="S43" s="751"/>
      <c r="T43" s="751">
        <v>275798</v>
      </c>
      <c r="U43" s="751"/>
      <c r="V43" s="1559">
        <f>SUM(S43:U43)</f>
        <v>275798</v>
      </c>
    </row>
    <row r="44" spans="1:22" s="4" customFormat="1" ht="26.25" customHeight="1">
      <c r="A44" s="1558"/>
      <c r="B44" s="705" t="s">
        <v>764</v>
      </c>
      <c r="C44" s="751"/>
      <c r="D44" s="751"/>
      <c r="E44" s="751"/>
      <c r="F44" s="1559">
        <f>SUM(C44:E44)</f>
        <v>0</v>
      </c>
      <c r="G44" s="751"/>
      <c r="H44" s="751"/>
      <c r="I44" s="751"/>
      <c r="J44" s="1559">
        <f>SUM(G44:I44)</f>
        <v>0</v>
      </c>
      <c r="K44" s="751"/>
      <c r="L44" s="751">
        <v>1490020</v>
      </c>
      <c r="M44" s="751"/>
      <c r="N44" s="1559">
        <f>SUM(K44:M44)</f>
        <v>1490020</v>
      </c>
      <c r="O44" s="751"/>
      <c r="P44" s="751">
        <v>1490020</v>
      </c>
      <c r="Q44" s="751"/>
      <c r="R44" s="1559">
        <f>SUM(O44:Q44)</f>
        <v>1490020</v>
      </c>
      <c r="S44" s="751"/>
      <c r="T44" s="751">
        <v>1490020</v>
      </c>
      <c r="U44" s="751"/>
      <c r="V44" s="1559">
        <f>SUM(S44:U44)</f>
        <v>1490020</v>
      </c>
    </row>
    <row r="45" spans="1:22" s="4" customFormat="1" ht="12.75">
      <c r="A45" s="1558"/>
      <c r="B45" s="749" t="s">
        <v>765</v>
      </c>
      <c r="C45" s="751"/>
      <c r="D45" s="751"/>
      <c r="E45" s="751"/>
      <c r="F45" s="1559">
        <f>SUM(C45:E45)</f>
        <v>0</v>
      </c>
      <c r="G45" s="751"/>
      <c r="H45" s="751"/>
      <c r="I45" s="751"/>
      <c r="J45" s="1559">
        <f>SUM(G45:I45)</f>
        <v>0</v>
      </c>
      <c r="K45" s="751"/>
      <c r="L45" s="751"/>
      <c r="M45" s="751"/>
      <c r="N45" s="1559">
        <f>SUM(K45:M45)</f>
        <v>0</v>
      </c>
      <c r="O45" s="751"/>
      <c r="P45" s="751"/>
      <c r="Q45" s="751"/>
      <c r="R45" s="1559">
        <f>SUM(O45:Q45)</f>
        <v>0</v>
      </c>
      <c r="S45" s="751"/>
      <c r="T45" s="751"/>
      <c r="U45" s="751"/>
      <c r="V45" s="1559">
        <f>SUM(S45:U45)</f>
        <v>0</v>
      </c>
    </row>
    <row r="46" spans="1:22" s="4" customFormat="1" ht="31.5">
      <c r="A46" s="1558" t="s">
        <v>183</v>
      </c>
      <c r="B46" s="713" t="s">
        <v>766</v>
      </c>
      <c r="C46" s="754">
        <f aca="true" t="shared" si="18" ref="C46:J46">SUM(C42+C44)</f>
        <v>0</v>
      </c>
      <c r="D46" s="754">
        <f t="shared" si="18"/>
        <v>78000</v>
      </c>
      <c r="E46" s="754">
        <f t="shared" si="18"/>
        <v>0</v>
      </c>
      <c r="F46" s="1563">
        <f t="shared" si="18"/>
        <v>78000</v>
      </c>
      <c r="G46" s="754">
        <f t="shared" si="18"/>
        <v>0</v>
      </c>
      <c r="H46" s="754">
        <f t="shared" si="18"/>
        <v>78000</v>
      </c>
      <c r="I46" s="754">
        <f t="shared" si="18"/>
        <v>0</v>
      </c>
      <c r="J46" s="1563">
        <f t="shared" si="18"/>
        <v>78000</v>
      </c>
      <c r="K46" s="754">
        <f aca="true" t="shared" si="19" ref="K46:R46">SUM(K42+K44)</f>
        <v>0</v>
      </c>
      <c r="L46" s="754">
        <f t="shared" si="19"/>
        <v>1640020</v>
      </c>
      <c r="M46" s="754">
        <f t="shared" si="19"/>
        <v>0</v>
      </c>
      <c r="N46" s="1563">
        <f t="shared" si="19"/>
        <v>1640020</v>
      </c>
      <c r="O46" s="754">
        <f t="shared" si="19"/>
        <v>0</v>
      </c>
      <c r="P46" s="754">
        <f t="shared" si="19"/>
        <v>1740020</v>
      </c>
      <c r="Q46" s="754">
        <f t="shared" si="19"/>
        <v>0</v>
      </c>
      <c r="R46" s="1563">
        <f t="shared" si="19"/>
        <v>1740020</v>
      </c>
      <c r="S46" s="754">
        <f>SUM(S42+S44)</f>
        <v>0</v>
      </c>
      <c r="T46" s="754">
        <f>SUM(T42+T44)</f>
        <v>1765818</v>
      </c>
      <c r="U46" s="754">
        <f>SUM(U42+U44)</f>
        <v>0</v>
      </c>
      <c r="V46" s="1563">
        <f>SUM(V42+V44)</f>
        <v>1765818</v>
      </c>
    </row>
    <row r="47" spans="1:22" s="4" customFormat="1" ht="26.25" customHeight="1">
      <c r="A47" s="1558"/>
      <c r="B47" s="705" t="s">
        <v>767</v>
      </c>
      <c r="C47" s="704"/>
      <c r="D47" s="704"/>
      <c r="E47" s="704"/>
      <c r="F47" s="1564"/>
      <c r="G47" s="704"/>
      <c r="H47" s="704">
        <v>204583492</v>
      </c>
      <c r="I47" s="704"/>
      <c r="J47" s="1564">
        <v>204583492</v>
      </c>
      <c r="K47" s="704"/>
      <c r="L47" s="704"/>
      <c r="M47" s="704"/>
      <c r="N47" s="1564"/>
      <c r="O47" s="704"/>
      <c r="P47" s="704"/>
      <c r="Q47" s="704"/>
      <c r="R47" s="1564"/>
      <c r="S47" s="704"/>
      <c r="T47" s="704"/>
      <c r="U47" s="704"/>
      <c r="V47" s="1564"/>
    </row>
    <row r="48" spans="1:22" s="4" customFormat="1" ht="32.25" thickBot="1">
      <c r="A48" s="1558" t="s">
        <v>184</v>
      </c>
      <c r="B48" s="713" t="s">
        <v>768</v>
      </c>
      <c r="C48" s="704"/>
      <c r="D48" s="704"/>
      <c r="E48" s="704"/>
      <c r="F48" s="1564"/>
      <c r="G48" s="704"/>
      <c r="H48" s="704">
        <v>204583492</v>
      </c>
      <c r="I48" s="704"/>
      <c r="J48" s="1564">
        <v>204583492</v>
      </c>
      <c r="K48" s="704"/>
      <c r="L48" s="704"/>
      <c r="M48" s="704"/>
      <c r="N48" s="1564"/>
      <c r="O48" s="704"/>
      <c r="P48" s="704"/>
      <c r="Q48" s="704"/>
      <c r="R48" s="1564"/>
      <c r="S48" s="704"/>
      <c r="T48" s="704"/>
      <c r="U48" s="704"/>
      <c r="V48" s="1564"/>
    </row>
    <row r="49" spans="1:22" s="514" customFormat="1" ht="16.5" thickBot="1">
      <c r="A49" s="2239" t="s">
        <v>479</v>
      </c>
      <c r="B49" s="2240"/>
      <c r="C49" s="726">
        <f aca="true" t="shared" si="20" ref="C49:J49">SUM(C21+C29+C38+C41+C46+C48)</f>
        <v>394498258</v>
      </c>
      <c r="D49" s="726">
        <f t="shared" si="20"/>
        <v>35097000</v>
      </c>
      <c r="E49" s="726">
        <f t="shared" si="20"/>
        <v>0</v>
      </c>
      <c r="F49" s="727">
        <f t="shared" si="20"/>
        <v>429595258</v>
      </c>
      <c r="G49" s="726">
        <f t="shared" si="20"/>
        <v>378754021</v>
      </c>
      <c r="H49" s="726">
        <f>SUM(H21+H29+H38+H41+H46+H48)</f>
        <v>240458678</v>
      </c>
      <c r="I49" s="726">
        <f t="shared" si="20"/>
        <v>0</v>
      </c>
      <c r="J49" s="727">
        <f t="shared" si="20"/>
        <v>619212699</v>
      </c>
      <c r="K49" s="726">
        <f>SUM(K21+K29+K38+K41+K46+K48)+K22</f>
        <v>390773055</v>
      </c>
      <c r="L49" s="726">
        <f>SUM(L21+L29+L38+L41+L46+L48)+L22</f>
        <v>267256872</v>
      </c>
      <c r="M49" s="726">
        <f>SUM(M21+M29+M38+M41+M46+M48)</f>
        <v>0</v>
      </c>
      <c r="N49" s="727">
        <f>SUM(N21+N29+N38+N41+N46+N48)+N22</f>
        <v>657934903</v>
      </c>
      <c r="O49" s="726">
        <f>SUM(O21+O29+O38+O41+O46+O48)+O22</f>
        <v>392942552</v>
      </c>
      <c r="P49" s="726">
        <f>SUM(P21+P29+P38+P41+P46+P48)+P22</f>
        <v>265906872</v>
      </c>
      <c r="Q49" s="726">
        <f>SUM(Q21+Q29+Q38+Q41+Q46+Q48)</f>
        <v>0</v>
      </c>
      <c r="R49" s="727">
        <f>SUM(R21+R29+R38+R41+R46+R48)+R22</f>
        <v>658754400</v>
      </c>
      <c r="S49" s="726">
        <f>SUM(S21+S29+S38+S41+S46+S48)+S22</f>
        <v>401755834</v>
      </c>
      <c r="T49" s="726">
        <f>SUM(T21+T29+T38+T41+T46+T48)+T22</f>
        <v>296383853</v>
      </c>
      <c r="U49" s="726">
        <f>SUM(U21+U29+U38+U41+U46+U48)</f>
        <v>0</v>
      </c>
      <c r="V49" s="727">
        <f>SUM(V21+V29+V38+V41+V46+V48)+V22</f>
        <v>698139687</v>
      </c>
    </row>
    <row r="50" spans="1:22" ht="25.5">
      <c r="A50" s="1239"/>
      <c r="B50" s="705" t="s">
        <v>715</v>
      </c>
      <c r="C50" s="728">
        <v>492476165</v>
      </c>
      <c r="D50" s="728">
        <v>19532641</v>
      </c>
      <c r="E50" s="728"/>
      <c r="F50" s="1107">
        <f>SUM(C50:E50)</f>
        <v>512008806</v>
      </c>
      <c r="G50" s="728">
        <v>473078990</v>
      </c>
      <c r="H50" s="728">
        <v>38929816</v>
      </c>
      <c r="I50" s="728"/>
      <c r="J50" s="1107">
        <f>SUM(G50:I50)</f>
        <v>512008806</v>
      </c>
      <c r="K50" s="728">
        <f>512008806-424074112</f>
        <v>87934694</v>
      </c>
      <c r="L50" s="728">
        <v>424074112</v>
      </c>
      <c r="M50" s="728"/>
      <c r="N50" s="1107">
        <f>SUM(K50:M50)</f>
        <v>512008806</v>
      </c>
      <c r="O50" s="728">
        <f>512008806-424074112</f>
        <v>87934694</v>
      </c>
      <c r="P50" s="728">
        <v>424074112</v>
      </c>
      <c r="Q50" s="728"/>
      <c r="R50" s="1107">
        <f>SUM(O50:Q50)</f>
        <v>512008806</v>
      </c>
      <c r="S50" s="728">
        <v>574966775</v>
      </c>
      <c r="T50" s="728"/>
      <c r="U50" s="728"/>
      <c r="V50" s="1107">
        <f>SUM(S50:U50)</f>
        <v>574966775</v>
      </c>
    </row>
    <row r="51" spans="1:22" ht="12.75">
      <c r="A51" s="1113"/>
      <c r="B51" s="706" t="s">
        <v>716</v>
      </c>
      <c r="C51" s="606">
        <f>SUM(C50)</f>
        <v>492476165</v>
      </c>
      <c r="D51" s="606">
        <v>19532641</v>
      </c>
      <c r="E51" s="606"/>
      <c r="F51" s="1107">
        <f>SUM(C51:E51)</f>
        <v>512008806</v>
      </c>
      <c r="G51" s="606">
        <f>SUM(G50)</f>
        <v>473078990</v>
      </c>
      <c r="H51" s="606">
        <f>SUM(H50)</f>
        <v>38929816</v>
      </c>
      <c r="I51" s="606"/>
      <c r="J51" s="1107">
        <f>SUM(G51:I51)</f>
        <v>512008806</v>
      </c>
      <c r="K51" s="606">
        <f>SUM(K50)</f>
        <v>87934694</v>
      </c>
      <c r="L51" s="606">
        <f>SUM(L50)</f>
        <v>424074112</v>
      </c>
      <c r="M51" s="606"/>
      <c r="N51" s="1107">
        <f>SUM(K51:M51)</f>
        <v>512008806</v>
      </c>
      <c r="O51" s="606">
        <f>SUM(O50)</f>
        <v>87934694</v>
      </c>
      <c r="P51" s="606">
        <f>SUM(P50)</f>
        <v>424074112</v>
      </c>
      <c r="Q51" s="606"/>
      <c r="R51" s="1107">
        <f>SUM(O51:Q51)</f>
        <v>512008806</v>
      </c>
      <c r="S51" s="606">
        <v>163546707</v>
      </c>
      <c r="T51" s="606">
        <v>411420068</v>
      </c>
      <c r="U51" s="606"/>
      <c r="V51" s="1107">
        <f>SUM(S51:U51)</f>
        <v>574966775</v>
      </c>
    </row>
    <row r="52" spans="1:22" ht="13.5" thickBot="1">
      <c r="A52" s="1240"/>
      <c r="B52" s="756" t="s">
        <v>769</v>
      </c>
      <c r="C52" s="729">
        <v>8251931</v>
      </c>
      <c r="D52" s="729"/>
      <c r="E52" s="729"/>
      <c r="F52" s="1107">
        <f>SUM(C52:E52)</f>
        <v>8251931</v>
      </c>
      <c r="G52" s="729">
        <v>8341969</v>
      </c>
      <c r="H52" s="729"/>
      <c r="I52" s="729"/>
      <c r="J52" s="1107">
        <f>SUM(G52:I52)</f>
        <v>8341969</v>
      </c>
      <c r="K52" s="729">
        <v>8341969</v>
      </c>
      <c r="L52" s="729"/>
      <c r="M52" s="729"/>
      <c r="N52" s="1107">
        <f>SUM(K52:M52)</f>
        <v>8341969</v>
      </c>
      <c r="O52" s="729">
        <v>8385010</v>
      </c>
      <c r="P52" s="729"/>
      <c r="Q52" s="729"/>
      <c r="R52" s="1107">
        <f>SUM(O52:Q52)</f>
        <v>8385010</v>
      </c>
      <c r="S52" s="729">
        <v>11393036</v>
      </c>
      <c r="T52" s="729"/>
      <c r="U52" s="729"/>
      <c r="V52" s="1107">
        <f>SUM(S52:U52)</f>
        <v>11393036</v>
      </c>
    </row>
    <row r="53" spans="1:22" ht="16.5" thickBot="1">
      <c r="A53" s="714"/>
      <c r="B53" s="715" t="s">
        <v>718</v>
      </c>
      <c r="C53" s="730">
        <f>SUM(C51+C52)</f>
        <v>500728096</v>
      </c>
      <c r="D53" s="730">
        <f>SUM(D51:D52)</f>
        <v>19532641</v>
      </c>
      <c r="E53" s="730">
        <f>SUM(E51:E52)</f>
        <v>0</v>
      </c>
      <c r="F53" s="1111">
        <f>SUM(F51:F52)</f>
        <v>520260737</v>
      </c>
      <c r="G53" s="730">
        <f>SUM(G51+G52)</f>
        <v>481420959</v>
      </c>
      <c r="H53" s="730">
        <f>SUM(H51:H52)</f>
        <v>38929816</v>
      </c>
      <c r="I53" s="730">
        <f>SUM(I51:I52)</f>
        <v>0</v>
      </c>
      <c r="J53" s="1111">
        <f>SUM(J51:J52)</f>
        <v>520350775</v>
      </c>
      <c r="K53" s="730">
        <f>SUM(K51+K52)</f>
        <v>96276663</v>
      </c>
      <c r="L53" s="730">
        <f>SUM(L51:L52)</f>
        <v>424074112</v>
      </c>
      <c r="M53" s="730">
        <f>SUM(M51:M52)</f>
        <v>0</v>
      </c>
      <c r="N53" s="1111">
        <f>SUM(N51:N52)</f>
        <v>520350775</v>
      </c>
      <c r="O53" s="730">
        <f>SUM(O51+O52)</f>
        <v>96319704</v>
      </c>
      <c r="P53" s="730">
        <f>SUM(P51:P52)</f>
        <v>424074112</v>
      </c>
      <c r="Q53" s="730">
        <f>SUM(Q51:Q52)</f>
        <v>0</v>
      </c>
      <c r="R53" s="1111">
        <f>SUM(R51:R52)</f>
        <v>520393816</v>
      </c>
      <c r="S53" s="730">
        <f>SUM(S51+S52)</f>
        <v>174939743</v>
      </c>
      <c r="T53" s="730">
        <f>SUM(T51:T52)</f>
        <v>411420068</v>
      </c>
      <c r="U53" s="730">
        <f>SUM(U51:U52)</f>
        <v>0</v>
      </c>
      <c r="V53" s="1111">
        <f>SUM(V51:V52)</f>
        <v>586359811</v>
      </c>
    </row>
    <row r="54" spans="1:22" ht="16.5" thickBot="1">
      <c r="A54" s="2228" t="s">
        <v>157</v>
      </c>
      <c r="B54" s="2229"/>
      <c r="C54" s="731">
        <f aca="true" t="shared" si="21" ref="C54:J54">SUM(C49+C53)</f>
        <v>895226354</v>
      </c>
      <c r="D54" s="731">
        <f t="shared" si="21"/>
        <v>54629641</v>
      </c>
      <c r="E54" s="731">
        <f t="shared" si="21"/>
        <v>0</v>
      </c>
      <c r="F54" s="732">
        <f t="shared" si="21"/>
        <v>949855995</v>
      </c>
      <c r="G54" s="731">
        <f t="shared" si="21"/>
        <v>860174980</v>
      </c>
      <c r="H54" s="731">
        <f t="shared" si="21"/>
        <v>279388494</v>
      </c>
      <c r="I54" s="731">
        <f t="shared" si="21"/>
        <v>0</v>
      </c>
      <c r="J54" s="732">
        <f t="shared" si="21"/>
        <v>1139563474</v>
      </c>
      <c r="K54" s="731">
        <f aca="true" t="shared" si="22" ref="K54:R54">SUM(K49+K53)</f>
        <v>487049718</v>
      </c>
      <c r="L54" s="731">
        <f t="shared" si="22"/>
        <v>691330984</v>
      </c>
      <c r="M54" s="731">
        <f t="shared" si="22"/>
        <v>0</v>
      </c>
      <c r="N54" s="732">
        <f t="shared" si="22"/>
        <v>1178285678</v>
      </c>
      <c r="O54" s="731">
        <f t="shared" si="22"/>
        <v>489262256</v>
      </c>
      <c r="P54" s="731">
        <f t="shared" si="22"/>
        <v>689980984</v>
      </c>
      <c r="Q54" s="731">
        <f t="shared" si="22"/>
        <v>0</v>
      </c>
      <c r="R54" s="732">
        <f t="shared" si="22"/>
        <v>1179148216</v>
      </c>
      <c r="S54" s="731">
        <f>SUM(S49+S53)</f>
        <v>576695577</v>
      </c>
      <c r="T54" s="731">
        <f>SUM(T49+T53)</f>
        <v>707803921</v>
      </c>
      <c r="U54" s="731">
        <f>SUM(U49+U53)</f>
        <v>0</v>
      </c>
      <c r="V54" s="732">
        <f>SUM(V49+V53)</f>
        <v>1284499498</v>
      </c>
    </row>
    <row r="55" spans="1:22" ht="12.75">
      <c r="A55" s="1241" t="s">
        <v>164</v>
      </c>
      <c r="B55" s="706" t="s">
        <v>721</v>
      </c>
      <c r="C55" s="709">
        <v>19050043</v>
      </c>
      <c r="D55" s="709">
        <v>8628000</v>
      </c>
      <c r="E55" s="709"/>
      <c r="F55" s="1557">
        <f aca="true" t="shared" si="23" ref="F55:F62">SUM(C55:E55)</f>
        <v>27678043</v>
      </c>
      <c r="G55" s="709">
        <v>19050043</v>
      </c>
      <c r="H55" s="709">
        <v>8628000</v>
      </c>
      <c r="I55" s="709"/>
      <c r="J55" s="1557">
        <f aca="true" t="shared" si="24" ref="J55:J65">SUM(G55:I55)</f>
        <v>27678043</v>
      </c>
      <c r="K55" s="709">
        <f>29604043</f>
        <v>29604043</v>
      </c>
      <c r="L55" s="709"/>
      <c r="M55" s="709"/>
      <c r="N55" s="1557">
        <f aca="true" t="shared" si="25" ref="N55:N65">SUM(K55:M55)</f>
        <v>29604043</v>
      </c>
      <c r="O55" s="709">
        <f>29604043</f>
        <v>29604043</v>
      </c>
      <c r="P55" s="709"/>
      <c r="Q55" s="709"/>
      <c r="R55" s="1557">
        <f aca="true" t="shared" si="26" ref="R55:R60">SUM(O55:Q55)</f>
        <v>29604043</v>
      </c>
      <c r="S55" s="709">
        <v>29667043</v>
      </c>
      <c r="T55" s="709"/>
      <c r="U55" s="709"/>
      <c r="V55" s="1557">
        <f aca="true" t="shared" si="27" ref="V55:V60">SUM(S55:U55)</f>
        <v>29667043</v>
      </c>
    </row>
    <row r="56" spans="1:22" ht="25.5">
      <c r="A56" s="1242" t="s">
        <v>166</v>
      </c>
      <c r="B56" s="706" t="s">
        <v>722</v>
      </c>
      <c r="C56" s="709">
        <v>3356400</v>
      </c>
      <c r="D56" s="709">
        <v>1509900</v>
      </c>
      <c r="E56" s="391"/>
      <c r="F56" s="1557">
        <f t="shared" si="23"/>
        <v>4866300</v>
      </c>
      <c r="G56" s="709">
        <v>3356400</v>
      </c>
      <c r="H56" s="709">
        <v>1509900</v>
      </c>
      <c r="I56" s="391"/>
      <c r="J56" s="1557">
        <f t="shared" si="24"/>
        <v>4866300</v>
      </c>
      <c r="K56" s="709">
        <f>5184156</f>
        <v>5184156</v>
      </c>
      <c r="L56" s="709"/>
      <c r="M56" s="391"/>
      <c r="N56" s="1557">
        <f t="shared" si="25"/>
        <v>5184156</v>
      </c>
      <c r="O56" s="709">
        <f>5184156</f>
        <v>5184156</v>
      </c>
      <c r="P56" s="709"/>
      <c r="Q56" s="391"/>
      <c r="R56" s="1557">
        <f t="shared" si="26"/>
        <v>5184156</v>
      </c>
      <c r="S56" s="709">
        <v>5138156</v>
      </c>
      <c r="T56" s="709"/>
      <c r="U56" s="391"/>
      <c r="V56" s="1557">
        <f t="shared" si="27"/>
        <v>5138156</v>
      </c>
    </row>
    <row r="57" spans="1:22" s="10" customFormat="1" ht="12.75">
      <c r="A57" s="1242" t="s">
        <v>173</v>
      </c>
      <c r="B57" s="605" t="s">
        <v>723</v>
      </c>
      <c r="C57" s="709">
        <v>60969794</v>
      </c>
      <c r="D57" s="391">
        <v>6200000</v>
      </c>
      <c r="E57" s="391"/>
      <c r="F57" s="1557">
        <f t="shared" si="23"/>
        <v>67169794</v>
      </c>
      <c r="G57" s="709">
        <v>54044034</v>
      </c>
      <c r="H57" s="391">
        <v>6200000</v>
      </c>
      <c r="I57" s="391"/>
      <c r="J57" s="1557">
        <f t="shared" si="24"/>
        <v>60244034</v>
      </c>
      <c r="K57" s="709">
        <f>63900760</f>
        <v>63900760</v>
      </c>
      <c r="L57" s="391"/>
      <c r="M57" s="391"/>
      <c r="N57" s="1557">
        <f t="shared" si="25"/>
        <v>63900760</v>
      </c>
      <c r="O57" s="709">
        <v>61999084</v>
      </c>
      <c r="P57" s="391">
        <v>5063803</v>
      </c>
      <c r="Q57" s="391"/>
      <c r="R57" s="1557">
        <f t="shared" si="26"/>
        <v>67062887</v>
      </c>
      <c r="S57" s="709">
        <v>142689133</v>
      </c>
      <c r="T57" s="391"/>
      <c r="U57" s="391"/>
      <c r="V57" s="1557">
        <f t="shared" si="27"/>
        <v>142689133</v>
      </c>
    </row>
    <row r="58" spans="1:22" s="10" customFormat="1" ht="12.75">
      <c r="A58" s="1242" t="s">
        <v>182</v>
      </c>
      <c r="B58" s="605" t="s">
        <v>771</v>
      </c>
      <c r="C58" s="709">
        <v>3453000</v>
      </c>
      <c r="D58" s="391"/>
      <c r="E58" s="391"/>
      <c r="F58" s="1557">
        <f t="shared" si="23"/>
        <v>3453000</v>
      </c>
      <c r="G58" s="709">
        <v>3453000</v>
      </c>
      <c r="H58" s="391">
        <v>350000</v>
      </c>
      <c r="I58" s="391"/>
      <c r="J58" s="1557">
        <f t="shared" si="24"/>
        <v>3803000</v>
      </c>
      <c r="K58" s="709">
        <v>3453000</v>
      </c>
      <c r="L58" s="391"/>
      <c r="M58" s="391"/>
      <c r="N58" s="1557">
        <f t="shared" si="25"/>
        <v>3453000</v>
      </c>
      <c r="O58" s="709">
        <v>3453000</v>
      </c>
      <c r="P58" s="391"/>
      <c r="Q58" s="391"/>
      <c r="R58" s="1557">
        <f t="shared" si="26"/>
        <v>3453000</v>
      </c>
      <c r="S58" s="709">
        <v>4980000</v>
      </c>
      <c r="T58" s="391"/>
      <c r="U58" s="391"/>
      <c r="V58" s="1557">
        <f t="shared" si="27"/>
        <v>4980000</v>
      </c>
    </row>
    <row r="59" spans="1:22" s="10" customFormat="1" ht="12.75">
      <c r="A59" s="1242" t="s">
        <v>183</v>
      </c>
      <c r="B59" s="605" t="s">
        <v>217</v>
      </c>
      <c r="C59" s="709">
        <v>462128007</v>
      </c>
      <c r="D59" s="391"/>
      <c r="E59" s="391"/>
      <c r="F59" s="1557">
        <f t="shared" si="23"/>
        <v>462128007</v>
      </c>
      <c r="G59" s="709"/>
      <c r="H59" s="391">
        <v>570382608</v>
      </c>
      <c r="I59" s="391"/>
      <c r="J59" s="1557">
        <f t="shared" si="24"/>
        <v>570382608</v>
      </c>
      <c r="K59" s="709"/>
      <c r="L59" s="391">
        <v>419046334</v>
      </c>
      <c r="M59" s="391"/>
      <c r="N59" s="1557">
        <f t="shared" si="25"/>
        <v>419046334</v>
      </c>
      <c r="O59" s="709"/>
      <c r="P59" s="391">
        <v>410741663</v>
      </c>
      <c r="Q59" s="391"/>
      <c r="R59" s="1557">
        <f t="shared" si="26"/>
        <v>410741663</v>
      </c>
      <c r="S59" s="709"/>
      <c r="T59" s="391">
        <v>376250463</v>
      </c>
      <c r="U59" s="391"/>
      <c r="V59" s="1557">
        <f t="shared" si="27"/>
        <v>376250463</v>
      </c>
    </row>
    <row r="60" spans="1:22" s="10" customFormat="1" ht="12.75">
      <c r="A60" s="1242" t="s">
        <v>184</v>
      </c>
      <c r="B60" s="605" t="s">
        <v>472</v>
      </c>
      <c r="C60" s="709">
        <v>0</v>
      </c>
      <c r="D60" s="391"/>
      <c r="E60" s="391"/>
      <c r="F60" s="1557">
        <f t="shared" si="23"/>
        <v>0</v>
      </c>
      <c r="G60" s="709">
        <v>354027</v>
      </c>
      <c r="H60" s="391"/>
      <c r="I60" s="391"/>
      <c r="J60" s="1557">
        <f t="shared" si="24"/>
        <v>354027</v>
      </c>
      <c r="K60" s="709">
        <v>354027</v>
      </c>
      <c r="L60" s="391"/>
      <c r="M60" s="391"/>
      <c r="N60" s="1557">
        <f t="shared" si="25"/>
        <v>354027</v>
      </c>
      <c r="O60" s="709">
        <v>354027</v>
      </c>
      <c r="P60" s="391"/>
      <c r="Q60" s="391"/>
      <c r="R60" s="1557">
        <f t="shared" si="26"/>
        <v>354027</v>
      </c>
      <c r="S60" s="709">
        <v>354027</v>
      </c>
      <c r="T60" s="391"/>
      <c r="U60" s="391"/>
      <c r="V60" s="1557">
        <f t="shared" si="27"/>
        <v>354027</v>
      </c>
    </row>
    <row r="61" spans="1:22" s="10" customFormat="1" ht="12.75">
      <c r="A61" s="1242" t="s">
        <v>186</v>
      </c>
      <c r="B61" s="605" t="s">
        <v>1225</v>
      </c>
      <c r="C61" s="709"/>
      <c r="D61" s="391"/>
      <c r="E61" s="391"/>
      <c r="F61" s="1557"/>
      <c r="G61" s="709"/>
      <c r="H61" s="391"/>
      <c r="I61" s="391"/>
      <c r="J61" s="1557"/>
      <c r="K61" s="709">
        <v>2017050</v>
      </c>
      <c r="L61" s="391"/>
      <c r="M61" s="391"/>
      <c r="N61" s="1557">
        <v>2017050</v>
      </c>
      <c r="O61" s="709">
        <v>2354850</v>
      </c>
      <c r="P61" s="391"/>
      <c r="Q61" s="391"/>
      <c r="R61" s="1557">
        <v>2354850</v>
      </c>
      <c r="S61" s="709">
        <v>2354850</v>
      </c>
      <c r="T61" s="391"/>
      <c r="U61" s="391"/>
      <c r="V61" s="1557">
        <v>2354850</v>
      </c>
    </row>
    <row r="62" spans="1:22" s="10" customFormat="1" ht="12.75">
      <c r="A62" s="1242" t="s">
        <v>189</v>
      </c>
      <c r="B62" s="605" t="s">
        <v>772</v>
      </c>
      <c r="C62" s="709">
        <v>6480000</v>
      </c>
      <c r="D62" s="391">
        <v>38291741</v>
      </c>
      <c r="E62" s="391"/>
      <c r="F62" s="1557">
        <f t="shared" si="23"/>
        <v>44771741</v>
      </c>
      <c r="G62" s="709">
        <v>9655647</v>
      </c>
      <c r="H62" s="391">
        <v>32603352</v>
      </c>
      <c r="I62" s="391"/>
      <c r="J62" s="1557">
        <f t="shared" si="24"/>
        <v>42258999</v>
      </c>
      <c r="K62" s="709">
        <v>46035254</v>
      </c>
      <c r="L62" s="391"/>
      <c r="M62" s="391"/>
      <c r="N62" s="1557">
        <f t="shared" si="25"/>
        <v>46035254</v>
      </c>
      <c r="O62" s="709">
        <v>49185271</v>
      </c>
      <c r="P62" s="391"/>
      <c r="Q62" s="391"/>
      <c r="R62" s="1557">
        <f>SUM(O62:Q62)</f>
        <v>49185271</v>
      </c>
      <c r="S62" s="709">
        <v>50526275</v>
      </c>
      <c r="T62" s="391"/>
      <c r="U62" s="391"/>
      <c r="V62" s="1557">
        <f>SUM(S62:U62)</f>
        <v>50526275</v>
      </c>
    </row>
    <row r="63" spans="1:22" s="10" customFormat="1" ht="12.75">
      <c r="A63" s="1242" t="s">
        <v>191</v>
      </c>
      <c r="B63" s="605" t="s">
        <v>770</v>
      </c>
      <c r="C63" s="390">
        <f>SUM(C64:C65)</f>
        <v>2100000</v>
      </c>
      <c r="D63" s="709"/>
      <c r="E63" s="1105"/>
      <c r="F63" s="1557">
        <f>SUM(C63)</f>
        <v>2100000</v>
      </c>
      <c r="G63" s="390">
        <f>SUM(G64:G65)</f>
        <v>0</v>
      </c>
      <c r="H63" s="709">
        <f>SUM(H64:H65)</f>
        <v>93863808</v>
      </c>
      <c r="I63" s="1105"/>
      <c r="J63" s="1557">
        <f t="shared" si="24"/>
        <v>93863808</v>
      </c>
      <c r="K63" s="390">
        <f>SUM(K64:K65)</f>
        <v>0</v>
      </c>
      <c r="L63" s="709">
        <f>SUM(L64:L65)</f>
        <v>272284650</v>
      </c>
      <c r="M63" s="1105"/>
      <c r="N63" s="1557">
        <f t="shared" si="25"/>
        <v>272284650</v>
      </c>
      <c r="O63" s="390">
        <f>SUM(O64:O65)</f>
        <v>0</v>
      </c>
      <c r="P63" s="709">
        <f>SUM(P64:P65)</f>
        <v>272490752</v>
      </c>
      <c r="Q63" s="1105"/>
      <c r="R63" s="1557">
        <f>SUM(O63:Q63)</f>
        <v>272490752</v>
      </c>
      <c r="S63" s="390">
        <f>SUM(S64:S65)</f>
        <v>0</v>
      </c>
      <c r="T63" s="709">
        <f>SUM(T64:T65)</f>
        <v>329868692</v>
      </c>
      <c r="U63" s="1105"/>
      <c r="V63" s="1557">
        <f>SUM(S63:U63)</f>
        <v>329868692</v>
      </c>
    </row>
    <row r="64" spans="1:22" s="114" customFormat="1" ht="12.75">
      <c r="A64" s="1114"/>
      <c r="B64" s="707" t="s">
        <v>132</v>
      </c>
      <c r="C64" s="707">
        <v>1700000</v>
      </c>
      <c r="D64" s="709"/>
      <c r="E64" s="707"/>
      <c r="F64" s="1557">
        <f>SUM(C64)</f>
        <v>1700000</v>
      </c>
      <c r="G64" s="707"/>
      <c r="H64" s="709">
        <v>93463808</v>
      </c>
      <c r="I64" s="707"/>
      <c r="J64" s="1557">
        <f t="shared" si="24"/>
        <v>93463808</v>
      </c>
      <c r="K64" s="707"/>
      <c r="L64" s="709">
        <v>248842095</v>
      </c>
      <c r="M64" s="707"/>
      <c r="N64" s="1557">
        <f t="shared" si="25"/>
        <v>248842095</v>
      </c>
      <c r="O64" s="707"/>
      <c r="P64" s="709">
        <v>249048197</v>
      </c>
      <c r="Q64" s="707"/>
      <c r="R64" s="1557">
        <f>SUM(O64:Q64)</f>
        <v>249048197</v>
      </c>
      <c r="S64" s="707"/>
      <c r="T64" s="709">
        <v>314265127</v>
      </c>
      <c r="U64" s="707"/>
      <c r="V64" s="1557">
        <f>SUM(S64:U64)</f>
        <v>314265127</v>
      </c>
    </row>
    <row r="65" spans="1:22" s="114" customFormat="1" ht="12.75">
      <c r="A65" s="1114"/>
      <c r="B65" s="707" t="s">
        <v>134</v>
      </c>
      <c r="C65" s="707">
        <v>400000</v>
      </c>
      <c r="D65" s="709"/>
      <c r="E65" s="707"/>
      <c r="F65" s="1557">
        <f>SUM(C65)</f>
        <v>400000</v>
      </c>
      <c r="G65" s="707"/>
      <c r="H65" s="709">
        <v>400000</v>
      </c>
      <c r="I65" s="707"/>
      <c r="J65" s="1557">
        <f t="shared" si="24"/>
        <v>400000</v>
      </c>
      <c r="K65" s="707"/>
      <c r="L65" s="709">
        <v>23442555</v>
      </c>
      <c r="M65" s="707"/>
      <c r="N65" s="1557">
        <f t="shared" si="25"/>
        <v>23442555</v>
      </c>
      <c r="O65" s="707"/>
      <c r="P65" s="709">
        <v>23442555</v>
      </c>
      <c r="Q65" s="707"/>
      <c r="R65" s="1557">
        <f>SUM(O65:Q65)</f>
        <v>23442555</v>
      </c>
      <c r="S65" s="707"/>
      <c r="T65" s="709">
        <v>15603565</v>
      </c>
      <c r="U65" s="707"/>
      <c r="V65" s="1557">
        <f>SUM(S65:U65)</f>
        <v>15603565</v>
      </c>
    </row>
    <row r="66" spans="1:22" s="10" customFormat="1" ht="12.75">
      <c r="A66" s="455" t="s">
        <v>195</v>
      </c>
      <c r="B66" s="605" t="s">
        <v>773</v>
      </c>
      <c r="C66" s="406">
        <v>0</v>
      </c>
      <c r="D66" s="605"/>
      <c r="E66" s="605"/>
      <c r="F66" s="1557">
        <f>SUM(C66)</f>
        <v>0</v>
      </c>
      <c r="G66" s="406">
        <v>0</v>
      </c>
      <c r="H66" s="605"/>
      <c r="I66" s="605"/>
      <c r="J66" s="1557">
        <f>SUM(G66)</f>
        <v>0</v>
      </c>
      <c r="K66" s="406">
        <v>0</v>
      </c>
      <c r="L66" s="605"/>
      <c r="M66" s="605"/>
      <c r="N66" s="1557">
        <f>SUM(K66)</f>
        <v>0</v>
      </c>
      <c r="O66" s="406">
        <v>0</v>
      </c>
      <c r="P66" s="605">
        <v>1684766</v>
      </c>
      <c r="Q66" s="605"/>
      <c r="R66" s="1557">
        <v>1684766</v>
      </c>
      <c r="S66" s="406">
        <v>0</v>
      </c>
      <c r="T66" s="605">
        <v>1684766</v>
      </c>
      <c r="U66" s="605"/>
      <c r="V66" s="1557">
        <v>1684766</v>
      </c>
    </row>
    <row r="67" spans="1:22" ht="15.75">
      <c r="A67" s="757"/>
      <c r="B67" s="758" t="s">
        <v>725</v>
      </c>
      <c r="C67" s="759">
        <f>SUM(C55:C63)</f>
        <v>557537244</v>
      </c>
      <c r="D67" s="759">
        <f>SUM(D55:D62)</f>
        <v>54629641</v>
      </c>
      <c r="E67" s="759">
        <f aca="true" t="shared" si="28" ref="E67:J67">SUM(E55:E63)</f>
        <v>0</v>
      </c>
      <c r="F67" s="1565">
        <f t="shared" si="28"/>
        <v>612166885</v>
      </c>
      <c r="G67" s="759">
        <f t="shared" si="28"/>
        <v>89913151</v>
      </c>
      <c r="H67" s="759">
        <f t="shared" si="28"/>
        <v>713537668</v>
      </c>
      <c r="I67" s="759">
        <f t="shared" si="28"/>
        <v>0</v>
      </c>
      <c r="J67" s="1565">
        <f t="shared" si="28"/>
        <v>803450819</v>
      </c>
      <c r="K67" s="759">
        <f>SUM(K55:K63)</f>
        <v>150548290</v>
      </c>
      <c r="L67" s="759">
        <f>SUM(L55:L63)</f>
        <v>691330984</v>
      </c>
      <c r="M67" s="759">
        <f>SUM(M55:M63)</f>
        <v>0</v>
      </c>
      <c r="N67" s="1565">
        <f>SUM(N55:N63)</f>
        <v>841879274</v>
      </c>
      <c r="O67" s="759">
        <f>SUM(O55:O63)</f>
        <v>152134431</v>
      </c>
      <c r="P67" s="759">
        <f>SUM(P55:P63)+P66</f>
        <v>689980984</v>
      </c>
      <c r="Q67" s="759">
        <f>SUM(Q55:Q63)</f>
        <v>0</v>
      </c>
      <c r="R67" s="1565">
        <f>SUM(R55:R63)+R66</f>
        <v>842115415</v>
      </c>
      <c r="S67" s="759">
        <f>SUM(S55:S63)</f>
        <v>235709484</v>
      </c>
      <c r="T67" s="759">
        <f>SUM(T55:T63)+T66</f>
        <v>707803921</v>
      </c>
      <c r="U67" s="759">
        <f>SUM(U55:U63)</f>
        <v>0</v>
      </c>
      <c r="V67" s="1565">
        <f>SUM(V55:V63)+V66</f>
        <v>943513405</v>
      </c>
    </row>
    <row r="68" spans="1:22" ht="25.5">
      <c r="A68" s="1113"/>
      <c r="B68" s="705" t="s">
        <v>774</v>
      </c>
      <c r="C68" s="391">
        <v>8251931</v>
      </c>
      <c r="D68" s="391"/>
      <c r="E68" s="391"/>
      <c r="F68" s="426">
        <f>SUM(C68:E68)</f>
        <v>8251931</v>
      </c>
      <c r="G68" s="391">
        <v>8432007</v>
      </c>
      <c r="H68" s="391"/>
      <c r="I68" s="391"/>
      <c r="J68" s="426">
        <f>SUM(G68:I68)</f>
        <v>8432007</v>
      </c>
      <c r="K68" s="391">
        <v>8432007</v>
      </c>
      <c r="L68" s="391"/>
      <c r="M68" s="391"/>
      <c r="N68" s="426">
        <f>SUM(K68:M68)</f>
        <v>8432007</v>
      </c>
      <c r="O68" s="391">
        <v>8835048</v>
      </c>
      <c r="P68" s="391"/>
      <c r="Q68" s="391"/>
      <c r="R68" s="426">
        <f>SUM(O68:Q68)</f>
        <v>8835048</v>
      </c>
      <c r="S68" s="391">
        <v>8830789</v>
      </c>
      <c r="T68" s="391"/>
      <c r="U68" s="391"/>
      <c r="V68" s="426">
        <f>SUM(S68:U68)</f>
        <v>8830789</v>
      </c>
    </row>
    <row r="69" spans="1:22" ht="25.5">
      <c r="A69" s="1113"/>
      <c r="B69" s="705" t="s">
        <v>775</v>
      </c>
      <c r="C69" s="391">
        <v>329437179</v>
      </c>
      <c r="D69" s="391"/>
      <c r="E69" s="391"/>
      <c r="F69" s="426">
        <f>SUM(C69:E69)</f>
        <v>329437179</v>
      </c>
      <c r="G69" s="391">
        <v>327680648</v>
      </c>
      <c r="H69" s="391"/>
      <c r="I69" s="391"/>
      <c r="J69" s="426">
        <f>SUM(G69:I69)</f>
        <v>327680648</v>
      </c>
      <c r="K69" s="391">
        <v>327974397</v>
      </c>
      <c r="L69" s="391"/>
      <c r="M69" s="391"/>
      <c r="N69" s="426">
        <f>SUM(K69:M69)</f>
        <v>327974397</v>
      </c>
      <c r="O69" s="391">
        <v>328197753</v>
      </c>
      <c r="P69" s="391"/>
      <c r="Q69" s="391"/>
      <c r="R69" s="426">
        <f>SUM(O69:Q69)</f>
        <v>328197753</v>
      </c>
      <c r="S69" s="391">
        <v>332155304</v>
      </c>
      <c r="T69" s="391"/>
      <c r="U69" s="391"/>
      <c r="V69" s="426">
        <f>SUM(S69:U69)</f>
        <v>332155304</v>
      </c>
    </row>
    <row r="70" spans="1:22" ht="12.75">
      <c r="A70" s="1113" t="s">
        <v>230</v>
      </c>
      <c r="B70" s="748" t="s">
        <v>776</v>
      </c>
      <c r="C70" s="391">
        <f>SUM(C68:C69)</f>
        <v>337689110</v>
      </c>
      <c r="D70" s="391"/>
      <c r="E70" s="391"/>
      <c r="F70" s="426">
        <f>SUM(C70:E70)</f>
        <v>337689110</v>
      </c>
      <c r="G70" s="391">
        <f>SUM(G68:G69)</f>
        <v>336112655</v>
      </c>
      <c r="H70" s="391"/>
      <c r="I70" s="391"/>
      <c r="J70" s="426">
        <f>SUM(G70:I70)</f>
        <v>336112655</v>
      </c>
      <c r="K70" s="391">
        <f>SUM(K68:K69)</f>
        <v>336406404</v>
      </c>
      <c r="L70" s="391"/>
      <c r="M70" s="391"/>
      <c r="N70" s="426">
        <f>SUM(K70:M70)</f>
        <v>336406404</v>
      </c>
      <c r="O70" s="391">
        <f>SUM(O68:O69)</f>
        <v>337032801</v>
      </c>
      <c r="P70" s="391"/>
      <c r="Q70" s="391"/>
      <c r="R70" s="426">
        <f>SUM(O70:Q70)</f>
        <v>337032801</v>
      </c>
      <c r="S70" s="391">
        <f>SUM(S68:S69)</f>
        <v>340986093</v>
      </c>
      <c r="T70" s="391"/>
      <c r="U70" s="391"/>
      <c r="V70" s="426">
        <f>SUM(S70:U70)</f>
        <v>340986093</v>
      </c>
    </row>
    <row r="71" spans="1:22" ht="16.5" thickBot="1">
      <c r="A71" s="1240"/>
      <c r="B71" s="761" t="s">
        <v>777</v>
      </c>
      <c r="C71" s="559">
        <f>SUM(C70)</f>
        <v>337689110</v>
      </c>
      <c r="D71" s="559"/>
      <c r="E71" s="559">
        <f>SUM(E68:E69)</f>
        <v>0</v>
      </c>
      <c r="F71" s="1566">
        <f>SUM(F70)</f>
        <v>337689110</v>
      </c>
      <c r="G71" s="559">
        <f>SUM(G70)</f>
        <v>336112655</v>
      </c>
      <c r="H71" s="559"/>
      <c r="I71" s="559">
        <f>SUM(I68:I69)</f>
        <v>0</v>
      </c>
      <c r="J71" s="1566">
        <f>SUM(J70)</f>
        <v>336112655</v>
      </c>
      <c r="K71" s="559">
        <f>SUM(K70)</f>
        <v>336406404</v>
      </c>
      <c r="L71" s="559"/>
      <c r="M71" s="559">
        <f>SUM(M68:M69)</f>
        <v>0</v>
      </c>
      <c r="N71" s="1566">
        <f>SUM(N70)</f>
        <v>336406404</v>
      </c>
      <c r="O71" s="559">
        <f>SUM(O70)</f>
        <v>337032801</v>
      </c>
      <c r="P71" s="559"/>
      <c r="Q71" s="559">
        <f>SUM(Q68:Q69)</f>
        <v>0</v>
      </c>
      <c r="R71" s="1566">
        <f>SUM(R70)</f>
        <v>337032801</v>
      </c>
      <c r="S71" s="559">
        <f>SUM(S70)</f>
        <v>340986093</v>
      </c>
      <c r="T71" s="559"/>
      <c r="U71" s="559">
        <f>SUM(U68:U69)</f>
        <v>0</v>
      </c>
      <c r="V71" s="1566">
        <f>SUM(V70)</f>
        <v>340986093</v>
      </c>
    </row>
    <row r="72" spans="1:22" s="760" customFormat="1" ht="16.5" thickBot="1">
      <c r="A72" s="2228" t="s">
        <v>119</v>
      </c>
      <c r="B72" s="2229"/>
      <c r="C72" s="743">
        <f>SUM(C67+C71)</f>
        <v>895226354</v>
      </c>
      <c r="D72" s="743">
        <f>SUM(D67+D71)</f>
        <v>54629641</v>
      </c>
      <c r="E72" s="743">
        <f>SUM(E67+E71)</f>
        <v>0</v>
      </c>
      <c r="F72" s="744">
        <f>SUM(C72+D72)</f>
        <v>949855995</v>
      </c>
      <c r="G72" s="743">
        <f>SUM(G67+G71)</f>
        <v>426025806</v>
      </c>
      <c r="H72" s="743">
        <f>SUM(H67+H71)</f>
        <v>713537668</v>
      </c>
      <c r="I72" s="743">
        <f>SUM(I67+I71)</f>
        <v>0</v>
      </c>
      <c r="J72" s="744">
        <f>SUM(G72+H72)</f>
        <v>1139563474</v>
      </c>
      <c r="K72" s="743">
        <f>SUM(K67+K71)</f>
        <v>486954694</v>
      </c>
      <c r="L72" s="743">
        <f>SUM(L67+L71)</f>
        <v>691330984</v>
      </c>
      <c r="M72" s="743">
        <f>SUM(M67+M71)</f>
        <v>0</v>
      </c>
      <c r="N72" s="744">
        <f>SUM(K72+L72)</f>
        <v>1178285678</v>
      </c>
      <c r="O72" s="743">
        <f>SUM(O67+O71)</f>
        <v>489167232</v>
      </c>
      <c r="P72" s="743">
        <f>SUM(P67+P71)</f>
        <v>689980984</v>
      </c>
      <c r="Q72" s="743">
        <f>SUM(Q67+Q71)</f>
        <v>0</v>
      </c>
      <c r="R72" s="744">
        <f>SUM(O72+P72)</f>
        <v>1179148216</v>
      </c>
      <c r="S72" s="743">
        <f>SUM(S67+S71)</f>
        <v>576695577</v>
      </c>
      <c r="T72" s="743">
        <f>SUM(T67+T71)</f>
        <v>707803921</v>
      </c>
      <c r="U72" s="743">
        <f>SUM(U67+U71)</f>
        <v>0</v>
      </c>
      <c r="V72" s="744">
        <f>SUM(S72+T72)</f>
        <v>1284499498</v>
      </c>
    </row>
  </sheetData>
  <sheetProtection/>
  <mergeCells count="13">
    <mergeCell ref="A1:R1"/>
    <mergeCell ref="K10:N10"/>
    <mergeCell ref="G10:J10"/>
    <mergeCell ref="S10:V10"/>
    <mergeCell ref="A6:V6"/>
    <mergeCell ref="A2:V2"/>
    <mergeCell ref="J3:M4"/>
    <mergeCell ref="A72:B72"/>
    <mergeCell ref="A54:B54"/>
    <mergeCell ref="A10:B11"/>
    <mergeCell ref="C10:F10"/>
    <mergeCell ref="A49:B49"/>
    <mergeCell ref="O10:R10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33" r:id="rId1"/>
  <rowBreaks count="1" manualBreakCount="1">
    <brk id="54" max="2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18" customWidth="1"/>
    <col min="2" max="2" width="16.00390625" style="18" customWidth="1"/>
    <col min="3" max="4" width="11.57421875" style="18" customWidth="1"/>
    <col min="5" max="5" width="13.7109375" style="18" customWidth="1"/>
    <col min="6" max="16384" width="11.57421875" style="18" customWidth="1"/>
  </cols>
  <sheetData>
    <row r="1" spans="4:5" ht="12.75" customHeight="1">
      <c r="D1" s="1834" t="s">
        <v>540</v>
      </c>
      <c r="E1" s="1834"/>
    </row>
    <row r="2" spans="2:5" ht="12.75" customHeight="1">
      <c r="B2" s="2257" t="s">
        <v>1</v>
      </c>
      <c r="C2" s="2257"/>
      <c r="D2" s="2257"/>
      <c r="E2" s="2257"/>
    </row>
    <row r="3" spans="1:2" ht="29.25" customHeight="1">
      <c r="A3" s="45"/>
      <c r="B3" s="45"/>
    </row>
    <row r="4" spans="1:5" ht="12.75" customHeight="1">
      <c r="A4" s="2258" t="s">
        <v>2</v>
      </c>
      <c r="B4" s="2258"/>
      <c r="C4" s="2258"/>
      <c r="D4" s="2258"/>
      <c r="E4" s="2258"/>
    </row>
    <row r="5" spans="1:5" ht="12.75" customHeight="1">
      <c r="A5" s="1835" t="s">
        <v>541</v>
      </c>
      <c r="B5" s="1835"/>
      <c r="C5" s="1835"/>
      <c r="D5" s="1835"/>
      <c r="E5" s="1835"/>
    </row>
    <row r="6" spans="1:3" ht="27" customHeight="1">
      <c r="A6" s="232"/>
      <c r="B6" s="232"/>
      <c r="C6" s="232"/>
    </row>
    <row r="7" spans="1:5" ht="13.5" customHeight="1">
      <c r="A7" s="232"/>
      <c r="B7" s="232"/>
      <c r="C7" s="232"/>
      <c r="D7" s="1830" t="s">
        <v>5</v>
      </c>
      <c r="E7" s="1830"/>
    </row>
    <row r="8" spans="1:5" ht="12.75" customHeight="1">
      <c r="A8" s="2259" t="s">
        <v>520</v>
      </c>
      <c r="B8" s="2260" t="s">
        <v>521</v>
      </c>
      <c r="C8" s="2261" t="s">
        <v>542</v>
      </c>
      <c r="D8" s="2261"/>
      <c r="E8" s="2261"/>
    </row>
    <row r="9" spans="1:5" ht="33.75" customHeight="1">
      <c r="A9" s="2259"/>
      <c r="B9" s="2260"/>
      <c r="C9" s="233" t="s">
        <v>523</v>
      </c>
      <c r="D9" s="233" t="s">
        <v>524</v>
      </c>
      <c r="E9" s="234" t="s">
        <v>525</v>
      </c>
    </row>
    <row r="10" spans="1:5" ht="15" customHeight="1">
      <c r="A10" s="235" t="s">
        <v>2</v>
      </c>
      <c r="B10" s="236">
        <f>C10+D10+E10</f>
        <v>210979</v>
      </c>
      <c r="C10" s="237">
        <f>SUM(C11:C14)</f>
        <v>202719</v>
      </c>
      <c r="D10" s="237">
        <f>SUM(D11:D14)</f>
        <v>8260</v>
      </c>
      <c r="E10" s="238">
        <f>SUM(E11:E14)</f>
        <v>0</v>
      </c>
    </row>
    <row r="11" spans="1:5" s="242" customFormat="1" ht="15" customHeight="1">
      <c r="A11" s="239" t="s">
        <v>543</v>
      </c>
      <c r="B11" s="240"/>
      <c r="C11" s="240">
        <v>202719</v>
      </c>
      <c r="D11" s="240"/>
      <c r="E11" s="241"/>
    </row>
    <row r="12" spans="1:5" s="242" customFormat="1" ht="15" customHeight="1">
      <c r="A12" s="239" t="s">
        <v>544</v>
      </c>
      <c r="B12" s="240"/>
      <c r="C12" s="240"/>
      <c r="D12" s="240">
        <v>610</v>
      </c>
      <c r="E12" s="241"/>
    </row>
    <row r="13" spans="1:5" s="242" customFormat="1" ht="15" customHeight="1">
      <c r="A13" s="243" t="s">
        <v>545</v>
      </c>
      <c r="B13" s="244"/>
      <c r="C13" s="240"/>
      <c r="D13" s="244">
        <v>7650</v>
      </c>
      <c r="E13" s="241"/>
    </row>
    <row r="14" spans="1:5" s="242" customFormat="1" ht="15" customHeight="1">
      <c r="A14" s="239" t="s">
        <v>546</v>
      </c>
      <c r="B14" s="240"/>
      <c r="C14" s="240"/>
      <c r="D14" s="240"/>
      <c r="E14" s="241" t="s">
        <v>547</v>
      </c>
    </row>
    <row r="15" spans="1:5" ht="15" customHeight="1">
      <c r="A15" s="245" t="s">
        <v>237</v>
      </c>
      <c r="B15" s="236">
        <f>C15+D15+E15</f>
        <v>112004</v>
      </c>
      <c r="C15" s="236">
        <f>SUM(C16:C17)</f>
        <v>91520</v>
      </c>
      <c r="D15" s="236">
        <f>SUM(D16:D17)</f>
        <v>0</v>
      </c>
      <c r="E15" s="246">
        <f>SUM(E16:E17)</f>
        <v>20484</v>
      </c>
    </row>
    <row r="16" spans="1:5" s="242" customFormat="1" ht="15" customHeight="1">
      <c r="A16" s="243" t="s">
        <v>548</v>
      </c>
      <c r="B16" s="244"/>
      <c r="C16" s="240">
        <v>68282</v>
      </c>
      <c r="D16" s="244"/>
      <c r="E16" s="247">
        <v>20484</v>
      </c>
    </row>
    <row r="17" spans="1:5" s="242" customFormat="1" ht="15" customHeight="1">
      <c r="A17" s="243" t="s">
        <v>549</v>
      </c>
      <c r="B17" s="244"/>
      <c r="C17" s="240">
        <v>23238</v>
      </c>
      <c r="D17" s="244"/>
      <c r="E17" s="247"/>
    </row>
    <row r="18" spans="1:5" ht="15" customHeight="1">
      <c r="A18" s="245" t="s">
        <v>550</v>
      </c>
      <c r="B18" s="236">
        <v>80345</v>
      </c>
      <c r="C18" s="248">
        <f>SUM(C19:C20)</f>
        <v>72285</v>
      </c>
      <c r="D18" s="248">
        <f>SUM(D19:D20)</f>
        <v>8060</v>
      </c>
      <c r="E18" s="249">
        <f>SUM(E19:E20)</f>
        <v>0</v>
      </c>
    </row>
    <row r="19" spans="1:5" s="242" customFormat="1" ht="15" customHeight="1">
      <c r="A19" s="243" t="s">
        <v>551</v>
      </c>
      <c r="B19" s="244"/>
      <c r="C19" s="240">
        <v>72285</v>
      </c>
      <c r="D19" s="244"/>
      <c r="E19" s="247"/>
    </row>
    <row r="20" spans="1:5" s="242" customFormat="1" ht="15" customHeight="1">
      <c r="A20" s="243" t="s">
        <v>552</v>
      </c>
      <c r="B20" s="244"/>
      <c r="C20" s="240"/>
      <c r="D20" s="244">
        <v>8060</v>
      </c>
      <c r="E20" s="247"/>
    </row>
    <row r="21" spans="1:5" ht="15" customHeight="1">
      <c r="A21" s="245" t="s">
        <v>553</v>
      </c>
      <c r="B21" s="236">
        <v>16681</v>
      </c>
      <c r="C21" s="236">
        <f>B21</f>
        <v>16681</v>
      </c>
      <c r="D21" s="236"/>
      <c r="E21" s="246"/>
    </row>
    <row r="22" spans="1:5" ht="15" customHeight="1">
      <c r="A22" s="245" t="s">
        <v>241</v>
      </c>
      <c r="B22" s="236">
        <v>10850</v>
      </c>
      <c r="C22" s="236">
        <f>B22</f>
        <v>10850</v>
      </c>
      <c r="D22" s="236"/>
      <c r="E22" s="246"/>
    </row>
    <row r="23" spans="1:5" s="20" customFormat="1" ht="15" customHeight="1">
      <c r="A23" s="250" t="s">
        <v>25</v>
      </c>
      <c r="B23" s="251">
        <f>B10+B15+B18+B21+B22</f>
        <v>430859</v>
      </c>
      <c r="C23" s="251">
        <f>C10+C15+C18+C21+C22</f>
        <v>394055</v>
      </c>
      <c r="D23" s="251">
        <f>D10+D15+D18+D21+D22</f>
        <v>16320</v>
      </c>
      <c r="E23" s="251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zoomScalePageLayoutView="0" workbookViewId="0" topLeftCell="A1">
      <selection activeCell="B10" sqref="B10:B11"/>
    </sheetView>
  </sheetViews>
  <sheetFormatPr defaultColWidth="8.8515625" defaultRowHeight="12.75"/>
  <cols>
    <col min="1" max="1" width="8.8515625" style="655" customWidth="1"/>
    <col min="2" max="2" width="67.57421875" style="655" customWidth="1"/>
    <col min="3" max="8" width="17.28125" style="1759" customWidth="1"/>
    <col min="9" max="16384" width="8.8515625" style="655" customWidth="1"/>
  </cols>
  <sheetData>
    <row r="1" spans="1:8" ht="15">
      <c r="A1" s="2262" t="s">
        <v>540</v>
      </c>
      <c r="B1" s="2262"/>
      <c r="C1" s="2262"/>
      <c r="D1" s="2262"/>
      <c r="E1" s="2262"/>
      <c r="F1" s="2262"/>
      <c r="G1" s="2262"/>
      <c r="H1" s="2262"/>
    </row>
    <row r="2" spans="1:2" ht="19.5">
      <c r="A2" s="1758"/>
      <c r="B2" s="1758"/>
    </row>
    <row r="3" spans="1:8" ht="15">
      <c r="A3" s="2267" t="s">
        <v>1295</v>
      </c>
      <c r="B3" s="2267"/>
      <c r="C3" s="2267"/>
      <c r="D3" s="2267"/>
      <c r="E3" s="2267"/>
      <c r="F3" s="2267"/>
      <c r="G3" s="2267"/>
      <c r="H3" s="2267"/>
    </row>
    <row r="4" spans="1:8" ht="15">
      <c r="A4" s="1819"/>
      <c r="B4" s="2268" t="s">
        <v>1296</v>
      </c>
      <c r="C4" s="2268"/>
      <c r="D4" s="2268"/>
      <c r="E4" s="2268"/>
      <c r="F4" s="2268"/>
      <c r="G4" s="2268"/>
      <c r="H4" s="1819" t="s">
        <v>511</v>
      </c>
    </row>
    <row r="5" spans="1:8" ht="19.5" customHeight="1">
      <c r="A5" s="2266" t="s">
        <v>1294</v>
      </c>
      <c r="B5" s="2266"/>
      <c r="C5" s="2266"/>
      <c r="D5" s="2266"/>
      <c r="E5" s="2266"/>
      <c r="F5" s="2266"/>
      <c r="G5" s="2266"/>
      <c r="H5" s="2266"/>
    </row>
    <row r="6" spans="1:2" ht="19.5" customHeight="1">
      <c r="A6" s="1760"/>
      <c r="B6" s="1760"/>
    </row>
    <row r="7" spans="2:8" ht="12.75">
      <c r="B7" s="2265" t="s">
        <v>155</v>
      </c>
      <c r="C7" s="2265"/>
      <c r="D7" s="2265"/>
      <c r="E7" s="2265"/>
      <c r="F7" s="2265"/>
      <c r="G7" s="2265"/>
      <c r="H7" s="2265"/>
    </row>
    <row r="8" spans="1:8" ht="25.5">
      <c r="A8" s="2263" t="s">
        <v>156</v>
      </c>
      <c r="B8" s="1761" t="s">
        <v>24</v>
      </c>
      <c r="C8" s="1762" t="s">
        <v>1071</v>
      </c>
      <c r="D8" s="1762" t="s">
        <v>1072</v>
      </c>
      <c r="E8" s="1762" t="s">
        <v>1157</v>
      </c>
      <c r="F8" s="1762" t="s">
        <v>1178</v>
      </c>
      <c r="G8" s="1762" t="s">
        <v>1250</v>
      </c>
      <c r="H8" s="1762" t="s">
        <v>1267</v>
      </c>
    </row>
    <row r="9" spans="1:8" ht="12.75">
      <c r="A9" s="2263"/>
      <c r="B9" s="1763" t="s">
        <v>158</v>
      </c>
      <c r="C9" s="1764" t="s">
        <v>159</v>
      </c>
      <c r="D9" s="1764" t="s">
        <v>160</v>
      </c>
      <c r="E9" s="1764" t="s">
        <v>161</v>
      </c>
      <c r="F9" s="1764" t="s">
        <v>476</v>
      </c>
      <c r="G9" s="1764" t="s">
        <v>701</v>
      </c>
      <c r="H9" s="1764" t="s">
        <v>782</v>
      </c>
    </row>
    <row r="10" spans="1:8" ht="12.75">
      <c r="A10" s="1765" t="s">
        <v>38</v>
      </c>
      <c r="B10" s="1766" t="s">
        <v>1076</v>
      </c>
      <c r="C10" s="1767"/>
      <c r="D10" s="1767"/>
      <c r="E10" s="1767"/>
      <c r="F10" s="1767"/>
      <c r="G10" s="1767"/>
      <c r="H10" s="1767"/>
    </row>
    <row r="11" spans="1:8" s="1759" customFormat="1" ht="15">
      <c r="A11" s="1768" t="s">
        <v>40</v>
      </c>
      <c r="B11" s="1769" t="s">
        <v>894</v>
      </c>
      <c r="C11" s="1770">
        <v>24710200</v>
      </c>
      <c r="D11" s="1770">
        <v>24710200</v>
      </c>
      <c r="E11" s="1770">
        <v>24710200</v>
      </c>
      <c r="F11" s="1770">
        <v>24710200</v>
      </c>
      <c r="G11" s="1770">
        <v>24710200</v>
      </c>
      <c r="H11" s="1770">
        <v>0</v>
      </c>
    </row>
    <row r="12" spans="1:8" s="1759" customFormat="1" ht="15">
      <c r="A12" s="1768" t="s">
        <v>47</v>
      </c>
      <c r="B12" s="1769" t="s">
        <v>955</v>
      </c>
      <c r="C12" s="1770">
        <v>311334729</v>
      </c>
      <c r="D12" s="1770">
        <v>311334729</v>
      </c>
      <c r="E12" s="1770">
        <v>221820822</v>
      </c>
      <c r="F12" s="1770">
        <v>72632644</v>
      </c>
      <c r="G12" s="1770">
        <v>75399644</v>
      </c>
      <c r="H12" s="1770">
        <v>40311234</v>
      </c>
    </row>
    <row r="13" spans="1:8" ht="12.75">
      <c r="A13" s="1771" t="s">
        <v>49</v>
      </c>
      <c r="B13" s="1772" t="s">
        <v>895</v>
      </c>
      <c r="C13" s="1773">
        <v>3100000</v>
      </c>
      <c r="D13" s="1773">
        <v>3100000</v>
      </c>
      <c r="E13" s="1773">
        <v>3100000</v>
      </c>
      <c r="F13" s="1773">
        <v>3100000</v>
      </c>
      <c r="G13" s="1773">
        <v>3417570</v>
      </c>
      <c r="H13" s="1773">
        <v>0</v>
      </c>
    </row>
    <row r="14" spans="1:8" s="1759" customFormat="1" ht="12.75">
      <c r="A14" s="1768" t="s">
        <v>51</v>
      </c>
      <c r="B14" s="1772" t="s">
        <v>1036</v>
      </c>
      <c r="C14" s="1773">
        <v>75018755</v>
      </c>
      <c r="D14" s="1773">
        <v>75018755</v>
      </c>
      <c r="E14" s="1773">
        <v>74500493</v>
      </c>
      <c r="F14" s="1773">
        <v>71644263</v>
      </c>
      <c r="G14" s="1773">
        <v>69231263</v>
      </c>
      <c r="H14" s="1773">
        <v>40090090</v>
      </c>
    </row>
    <row r="15" spans="1:8" ht="25.5">
      <c r="A15" s="1771" t="s">
        <v>53</v>
      </c>
      <c r="B15" s="1772" t="s">
        <v>896</v>
      </c>
      <c r="C15" s="1773">
        <v>1700000</v>
      </c>
      <c r="D15" s="1773">
        <v>1700000</v>
      </c>
      <c r="E15" s="1773">
        <v>1700000</v>
      </c>
      <c r="F15" s="1773">
        <v>1700000</v>
      </c>
      <c r="G15" s="1773">
        <v>1700000</v>
      </c>
      <c r="H15" s="1773">
        <v>1700000</v>
      </c>
    </row>
    <row r="16" spans="1:8" ht="25.5">
      <c r="A16" s="1774" t="s">
        <v>55</v>
      </c>
      <c r="B16" s="1775" t="s">
        <v>893</v>
      </c>
      <c r="C16" s="1776">
        <v>2310572</v>
      </c>
      <c r="D16" s="1776">
        <v>2310572</v>
      </c>
      <c r="E16" s="1776">
        <v>2310572</v>
      </c>
      <c r="F16" s="1776">
        <v>2310572</v>
      </c>
      <c r="G16" s="1776">
        <v>2310572</v>
      </c>
      <c r="H16" s="1776">
        <v>0</v>
      </c>
    </row>
    <row r="17" spans="1:8" ht="12.75">
      <c r="A17" s="1777" t="s">
        <v>57</v>
      </c>
      <c r="B17" s="1778" t="s">
        <v>897</v>
      </c>
      <c r="C17" s="1779">
        <v>1430284</v>
      </c>
      <c r="D17" s="1779">
        <v>1430284</v>
      </c>
      <c r="E17" s="1779">
        <v>1430284</v>
      </c>
      <c r="F17" s="1779">
        <v>1430284</v>
      </c>
      <c r="G17" s="1779">
        <v>0</v>
      </c>
      <c r="H17" s="1779">
        <v>0</v>
      </c>
    </row>
    <row r="18" spans="1:8" ht="12.75">
      <c r="A18" s="1777" t="s">
        <v>86</v>
      </c>
      <c r="B18" s="1778" t="s">
        <v>1005</v>
      </c>
      <c r="C18" s="1779">
        <v>0</v>
      </c>
      <c r="D18" s="1779">
        <v>0</v>
      </c>
      <c r="E18" s="1779">
        <v>0</v>
      </c>
      <c r="F18" s="1779">
        <v>0</v>
      </c>
      <c r="G18" s="1779">
        <v>0</v>
      </c>
      <c r="H18" s="1779">
        <v>0</v>
      </c>
    </row>
    <row r="19" spans="1:8" ht="25.5">
      <c r="A19" s="1780" t="s">
        <v>59</v>
      </c>
      <c r="B19" s="1781" t="s">
        <v>1035</v>
      </c>
      <c r="C19" s="1782">
        <v>0</v>
      </c>
      <c r="D19" s="1782">
        <v>0</v>
      </c>
      <c r="E19" s="1782">
        <v>0</v>
      </c>
      <c r="F19" s="1782">
        <v>0</v>
      </c>
      <c r="G19" s="1782">
        <v>0</v>
      </c>
      <c r="H19" s="1782">
        <v>0</v>
      </c>
    </row>
    <row r="20" spans="1:8" ht="12.75">
      <c r="A20" s="1777" t="s">
        <v>61</v>
      </c>
      <c r="B20" s="1783" t="s">
        <v>1270</v>
      </c>
      <c r="C20" s="1779">
        <v>0</v>
      </c>
      <c r="D20" s="1779">
        <v>0</v>
      </c>
      <c r="E20" s="1779">
        <v>0</v>
      </c>
      <c r="F20" s="1779">
        <v>0</v>
      </c>
      <c r="G20" s="1779">
        <v>0</v>
      </c>
      <c r="H20" s="1779">
        <v>14999999</v>
      </c>
    </row>
    <row r="21" spans="1:8" s="1759" customFormat="1" ht="12.75">
      <c r="A21" s="1784" t="s">
        <v>63</v>
      </c>
      <c r="B21" s="1783" t="s">
        <v>959</v>
      </c>
      <c r="C21" s="1779">
        <v>991609</v>
      </c>
      <c r="D21" s="1779">
        <v>991609</v>
      </c>
      <c r="E21" s="1779">
        <v>991609</v>
      </c>
      <c r="F21" s="1779">
        <v>0</v>
      </c>
      <c r="G21" s="1779">
        <v>0</v>
      </c>
      <c r="H21" s="1779">
        <v>0</v>
      </c>
    </row>
    <row r="22" spans="1:8" ht="12.75">
      <c r="A22" s="1777" t="s">
        <v>65</v>
      </c>
      <c r="B22" s="1783" t="s">
        <v>1154</v>
      </c>
      <c r="C22" s="1779">
        <v>4998283</v>
      </c>
      <c r="D22" s="1779">
        <v>4998283</v>
      </c>
      <c r="E22" s="1779">
        <v>4998283</v>
      </c>
      <c r="F22" s="1779">
        <v>4998283</v>
      </c>
      <c r="G22" s="1779">
        <v>4998283</v>
      </c>
      <c r="H22" s="1779">
        <v>4998283</v>
      </c>
    </row>
    <row r="23" spans="1:8" ht="25.5">
      <c r="A23" s="1784" t="s">
        <v>92</v>
      </c>
      <c r="B23" s="1783" t="s">
        <v>1034</v>
      </c>
      <c r="C23" s="1779">
        <v>8256106</v>
      </c>
      <c r="D23" s="1779">
        <v>8256106</v>
      </c>
      <c r="E23" s="1779">
        <v>8256106</v>
      </c>
      <c r="F23" s="1779">
        <v>8256106</v>
      </c>
      <c r="G23" s="1779">
        <v>8256106</v>
      </c>
      <c r="H23" s="1779">
        <v>8256106</v>
      </c>
    </row>
    <row r="24" spans="1:8" ht="25.5">
      <c r="A24" s="1777" t="s">
        <v>66</v>
      </c>
      <c r="B24" s="1783" t="s">
        <v>1180</v>
      </c>
      <c r="C24" s="1779"/>
      <c r="D24" s="1779"/>
      <c r="E24" s="1779"/>
      <c r="F24" s="1779">
        <v>53429</v>
      </c>
      <c r="G24" s="1779">
        <v>53429</v>
      </c>
      <c r="H24" s="1779">
        <v>53429</v>
      </c>
    </row>
    <row r="25" spans="1:8" ht="12.75">
      <c r="A25" s="1784" t="s">
        <v>67</v>
      </c>
      <c r="B25" s="1783" t="s">
        <v>1249</v>
      </c>
      <c r="C25" s="1779"/>
      <c r="D25" s="1779"/>
      <c r="E25" s="1779"/>
      <c r="F25" s="1779">
        <v>1772920</v>
      </c>
      <c r="G25" s="1779">
        <v>1802411</v>
      </c>
      <c r="H25" s="1779">
        <v>0</v>
      </c>
    </row>
    <row r="26" spans="1:8" ht="12.75">
      <c r="A26" s="1777" t="s">
        <v>68</v>
      </c>
      <c r="B26" s="1783" t="s">
        <v>1161</v>
      </c>
      <c r="C26" s="1779"/>
      <c r="D26" s="1779"/>
      <c r="E26" s="1779">
        <v>199148770</v>
      </c>
      <c r="F26" s="1779">
        <v>199148770</v>
      </c>
      <c r="G26" s="1779">
        <v>184886525</v>
      </c>
      <c r="H26" s="1779">
        <v>184886525</v>
      </c>
    </row>
    <row r="27" spans="1:8" ht="12.75">
      <c r="A27" s="1784" t="s">
        <v>70</v>
      </c>
      <c r="B27" s="1783" t="s">
        <v>1207</v>
      </c>
      <c r="C27" s="1779"/>
      <c r="D27" s="1779"/>
      <c r="E27" s="1779"/>
      <c r="F27" s="1779"/>
      <c r="G27" s="1779"/>
      <c r="H27" s="1779">
        <v>16970000</v>
      </c>
    </row>
    <row r="28" spans="1:8" ht="12.75">
      <c r="A28" s="1777" t="s">
        <v>97</v>
      </c>
      <c r="B28" s="1785" t="s">
        <v>538</v>
      </c>
      <c r="C28" s="1586">
        <f>SUM(C11:C23)</f>
        <v>433850538</v>
      </c>
      <c r="D28" s="1586">
        <f>SUM(D11:D23)</f>
        <v>433850538</v>
      </c>
      <c r="E28" s="1586">
        <f>SUM(E11:E26)</f>
        <v>542967139</v>
      </c>
      <c r="F28" s="1586">
        <f>SUM(F11:F26)</f>
        <v>391757471</v>
      </c>
      <c r="G28" s="1586">
        <f>SUM(G11:G26)</f>
        <v>376766003</v>
      </c>
      <c r="H28" s="1586">
        <f>SUM(H11:H27)</f>
        <v>312265666</v>
      </c>
    </row>
    <row r="29" spans="1:8" ht="12.75">
      <c r="A29" s="1784" t="s">
        <v>99</v>
      </c>
      <c r="B29" s="1786"/>
      <c r="C29" s="1088"/>
      <c r="D29" s="1088"/>
      <c r="E29" s="1088"/>
      <c r="F29" s="1088"/>
      <c r="G29" s="1088"/>
      <c r="H29" s="1088"/>
    </row>
    <row r="30" spans="1:8" ht="12.75">
      <c r="A30" s="1777" t="s">
        <v>101</v>
      </c>
      <c r="B30" s="1787"/>
      <c r="C30" s="1088"/>
      <c r="D30" s="1088"/>
      <c r="E30" s="1088"/>
      <c r="F30" s="1088"/>
      <c r="G30" s="1088"/>
      <c r="H30" s="1088"/>
    </row>
    <row r="31" spans="1:8" ht="15">
      <c r="A31" s="1784" t="s">
        <v>103</v>
      </c>
      <c r="B31" s="1342"/>
      <c r="C31" s="1087"/>
      <c r="D31" s="1087"/>
      <c r="E31" s="1087"/>
      <c r="F31" s="1087"/>
      <c r="G31" s="1087"/>
      <c r="H31" s="1087"/>
    </row>
    <row r="32" spans="1:8" ht="15">
      <c r="A32" s="1777" t="s">
        <v>105</v>
      </c>
      <c r="B32" s="1343" t="s">
        <v>12</v>
      </c>
      <c r="C32" s="1088"/>
      <c r="D32" s="1088"/>
      <c r="E32" s="1088"/>
      <c r="F32" s="1088"/>
      <c r="G32" s="1088"/>
      <c r="H32" s="1088"/>
    </row>
    <row r="33" spans="1:8" ht="12.75">
      <c r="A33" s="1784" t="s">
        <v>107</v>
      </c>
      <c r="B33" s="1788" t="s">
        <v>956</v>
      </c>
      <c r="C33" s="1088">
        <v>595883</v>
      </c>
      <c r="D33" s="1088">
        <v>595883</v>
      </c>
      <c r="E33" s="1088">
        <v>595883</v>
      </c>
      <c r="F33" s="1088">
        <v>595883</v>
      </c>
      <c r="G33" s="1088">
        <v>595883</v>
      </c>
      <c r="H33" s="1088">
        <v>595883</v>
      </c>
    </row>
    <row r="34" spans="1:8" ht="25.5">
      <c r="A34" s="1777" t="s">
        <v>109</v>
      </c>
      <c r="B34" s="1789" t="s">
        <v>537</v>
      </c>
      <c r="C34" s="1088">
        <v>20423885</v>
      </c>
      <c r="D34" s="1088">
        <v>4285985</v>
      </c>
      <c r="E34" s="1088">
        <v>4285985</v>
      </c>
      <c r="F34" s="1088">
        <v>4285985</v>
      </c>
      <c r="G34" s="1088">
        <v>4285985</v>
      </c>
      <c r="H34" s="1088">
        <v>9840844</v>
      </c>
    </row>
    <row r="35" spans="1:8" s="1759" customFormat="1" ht="12.75">
      <c r="A35" s="1784" t="s">
        <v>111</v>
      </c>
      <c r="B35" s="1658" t="s">
        <v>536</v>
      </c>
      <c r="C35" s="1088">
        <v>10371000</v>
      </c>
      <c r="D35" s="1088">
        <v>10371000</v>
      </c>
      <c r="E35" s="1088">
        <v>9509000</v>
      </c>
      <c r="F35" s="1088">
        <v>9509000</v>
      </c>
      <c r="G35" s="1088">
        <v>2073150</v>
      </c>
      <c r="H35" s="1088">
        <v>334382</v>
      </c>
    </row>
    <row r="36" spans="1:8" ht="12.75">
      <c r="A36" s="1777" t="s">
        <v>113</v>
      </c>
      <c r="B36" s="1790" t="s">
        <v>897</v>
      </c>
      <c r="C36" s="1088">
        <v>139598</v>
      </c>
      <c r="D36" s="1088">
        <v>139598</v>
      </c>
      <c r="E36" s="1088">
        <v>139598</v>
      </c>
      <c r="F36" s="1088">
        <v>139598</v>
      </c>
      <c r="G36" s="1088">
        <v>0</v>
      </c>
      <c r="H36" s="1088">
        <v>0</v>
      </c>
    </row>
    <row r="37" spans="1:8" ht="25.5">
      <c r="A37" s="1784" t="s">
        <v>115</v>
      </c>
      <c r="B37" s="1783" t="s">
        <v>957</v>
      </c>
      <c r="C37" s="1089">
        <v>2000000</v>
      </c>
      <c r="D37" s="1089">
        <v>1500000</v>
      </c>
      <c r="E37" s="1089">
        <v>1500000</v>
      </c>
      <c r="F37" s="1089">
        <v>1500000</v>
      </c>
      <c r="G37" s="1089">
        <v>1500000</v>
      </c>
      <c r="H37" s="1089">
        <v>1500000</v>
      </c>
    </row>
    <row r="38" spans="1:8" ht="25.5">
      <c r="A38" s="1777" t="s">
        <v>117</v>
      </c>
      <c r="B38" s="1783" t="s">
        <v>958</v>
      </c>
      <c r="C38" s="1089">
        <v>350000</v>
      </c>
      <c r="D38" s="1089">
        <v>350000</v>
      </c>
      <c r="E38" s="1089">
        <v>350000</v>
      </c>
      <c r="F38" s="1089">
        <v>350000</v>
      </c>
      <c r="G38" s="1089">
        <v>350000</v>
      </c>
      <c r="H38" s="1089">
        <v>350000</v>
      </c>
    </row>
    <row r="39" spans="1:8" ht="25.5">
      <c r="A39" s="1784" t="s">
        <v>118</v>
      </c>
      <c r="B39" s="1791" t="s">
        <v>1035</v>
      </c>
      <c r="C39" s="1089">
        <v>126606</v>
      </c>
      <c r="D39" s="1089">
        <v>126606</v>
      </c>
      <c r="E39" s="1089">
        <v>126606</v>
      </c>
      <c r="F39" s="1089">
        <v>0</v>
      </c>
      <c r="G39" s="1089">
        <v>0</v>
      </c>
      <c r="H39" s="1089">
        <v>0</v>
      </c>
    </row>
    <row r="40" spans="1:8" ht="12.75">
      <c r="A40" s="1777" t="s">
        <v>120</v>
      </c>
      <c r="B40" s="1783" t="s">
        <v>1161</v>
      </c>
      <c r="C40" s="1089">
        <v>0</v>
      </c>
      <c r="D40" s="1089">
        <v>0</v>
      </c>
      <c r="E40" s="1089">
        <v>0</v>
      </c>
      <c r="F40" s="1089">
        <v>0</v>
      </c>
      <c r="G40" s="1089">
        <v>14262245</v>
      </c>
      <c r="H40" s="1089">
        <v>14262245</v>
      </c>
    </row>
    <row r="41" spans="1:8" s="1759" customFormat="1" ht="12.75">
      <c r="A41" s="1784" t="s">
        <v>122</v>
      </c>
      <c r="B41" s="1772" t="s">
        <v>1036</v>
      </c>
      <c r="C41" s="1089"/>
      <c r="D41" s="1089"/>
      <c r="E41" s="1089"/>
      <c r="F41" s="1089"/>
      <c r="G41" s="1089"/>
      <c r="H41" s="1089">
        <v>696418</v>
      </c>
    </row>
    <row r="42" spans="1:8" ht="12.75">
      <c r="A42" s="1777" t="s">
        <v>124</v>
      </c>
      <c r="B42" s="1783"/>
      <c r="C42" s="1089"/>
      <c r="D42" s="1089"/>
      <c r="E42" s="1089"/>
      <c r="F42" s="1089"/>
      <c r="G42" s="1089"/>
      <c r="H42" s="1089"/>
    </row>
    <row r="43" spans="1:8" ht="12.75">
      <c r="A43" s="1784" t="s">
        <v>126</v>
      </c>
      <c r="B43" s="1792" t="s">
        <v>538</v>
      </c>
      <c r="C43" s="1586">
        <f>SUM(C33:C40)</f>
        <v>34006972</v>
      </c>
      <c r="D43" s="1586">
        <f>SUM(D33:D40)</f>
        <v>17369072</v>
      </c>
      <c r="E43" s="1586">
        <f>SUM(E33:E40)</f>
        <v>16507072</v>
      </c>
      <c r="F43" s="1586">
        <f>SUM(F33:F40)</f>
        <v>16380466</v>
      </c>
      <c r="G43" s="1586">
        <f>SUM(G33:G40)</f>
        <v>23067263</v>
      </c>
      <c r="H43" s="1586">
        <f>SUM(H33:H41)</f>
        <v>27579772</v>
      </c>
    </row>
    <row r="44" spans="1:8" ht="12.75">
      <c r="A44" s="1777" t="s">
        <v>128</v>
      </c>
      <c r="B44" s="1793"/>
      <c r="C44" s="1587"/>
      <c r="D44" s="1587"/>
      <c r="E44" s="1587"/>
      <c r="F44" s="1587"/>
      <c r="G44" s="1587"/>
      <c r="H44" s="1587"/>
    </row>
    <row r="45" spans="1:8" ht="12.75">
      <c r="A45" s="1784" t="s">
        <v>130</v>
      </c>
      <c r="B45" s="1794"/>
      <c r="C45" s="1588"/>
      <c r="D45" s="1588"/>
      <c r="E45" s="1588"/>
      <c r="F45" s="1588"/>
      <c r="G45" s="1588"/>
      <c r="H45" s="1588"/>
    </row>
    <row r="46" spans="1:8" ht="12.75">
      <c r="A46" s="1777" t="s">
        <v>131</v>
      </c>
      <c r="B46" s="1795"/>
      <c r="C46" s="1088"/>
      <c r="D46" s="1088"/>
      <c r="E46" s="1088"/>
      <c r="F46" s="1088"/>
      <c r="G46" s="1088"/>
      <c r="H46" s="1088"/>
    </row>
    <row r="47" spans="1:8" ht="12.75">
      <c r="A47" s="1784" t="s">
        <v>133</v>
      </c>
      <c r="B47" s="1794" t="s">
        <v>539</v>
      </c>
      <c r="C47" s="1588">
        <f aca="true" t="shared" si="0" ref="C47:H47">SUM(C28+C43)</f>
        <v>467857510</v>
      </c>
      <c r="D47" s="1588">
        <f t="shared" si="0"/>
        <v>451219610</v>
      </c>
      <c r="E47" s="1588">
        <f t="shared" si="0"/>
        <v>559474211</v>
      </c>
      <c r="F47" s="1588">
        <f t="shared" si="0"/>
        <v>408137937</v>
      </c>
      <c r="G47" s="1588">
        <f t="shared" si="0"/>
        <v>399833266</v>
      </c>
      <c r="H47" s="1588">
        <f t="shared" si="0"/>
        <v>339845438</v>
      </c>
    </row>
    <row r="48" ht="12.75">
      <c r="A48" s="1774"/>
    </row>
    <row r="49" spans="1:2" ht="15.75">
      <c r="A49" s="2264"/>
      <c r="B49" s="2264"/>
    </row>
    <row r="51" spans="1:8" ht="12.75">
      <c r="A51" s="666">
        <v>39</v>
      </c>
      <c r="B51" s="666" t="s">
        <v>780</v>
      </c>
      <c r="C51" s="1089">
        <v>10908397</v>
      </c>
      <c r="D51" s="1089">
        <v>10908397</v>
      </c>
      <c r="E51" s="1089">
        <v>10908397</v>
      </c>
      <c r="F51" s="1089">
        <v>10908397</v>
      </c>
      <c r="G51" s="1089">
        <v>10908397</v>
      </c>
      <c r="H51" s="1089">
        <v>36405025</v>
      </c>
    </row>
    <row r="55" spans="1:8" ht="12.75">
      <c r="A55" s="1940" t="s">
        <v>781</v>
      </c>
      <c r="B55" s="1940"/>
      <c r="C55" s="1796">
        <f aca="true" t="shared" si="1" ref="C55:H55">SUM(C47+C51)</f>
        <v>478765907</v>
      </c>
      <c r="D55" s="1796">
        <f t="shared" si="1"/>
        <v>462128007</v>
      </c>
      <c r="E55" s="1796">
        <f t="shared" si="1"/>
        <v>570382608</v>
      </c>
      <c r="F55" s="1796">
        <f t="shared" si="1"/>
        <v>419046334</v>
      </c>
      <c r="G55" s="1796">
        <f t="shared" si="1"/>
        <v>410741663</v>
      </c>
      <c r="H55" s="1796">
        <f t="shared" si="1"/>
        <v>376250463</v>
      </c>
    </row>
  </sheetData>
  <sheetProtection/>
  <mergeCells count="8">
    <mergeCell ref="A1:H1"/>
    <mergeCell ref="A55:B55"/>
    <mergeCell ref="A8:A9"/>
    <mergeCell ref="A49:B49"/>
    <mergeCell ref="B7:H7"/>
    <mergeCell ref="A5:H5"/>
    <mergeCell ref="A3:H3"/>
    <mergeCell ref="B4:G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18" customWidth="1"/>
    <col min="2" max="2" width="37.57421875" style="18" customWidth="1"/>
    <col min="3" max="7" width="8.7109375" style="25" customWidth="1"/>
    <col min="8" max="16384" width="11.57421875" style="18" customWidth="1"/>
  </cols>
  <sheetData>
    <row r="1" ht="12.75" customHeight="1">
      <c r="F1" s="26" t="s">
        <v>30</v>
      </c>
    </row>
    <row r="2" ht="12.75" customHeight="1">
      <c r="E2" s="25" t="s">
        <v>1</v>
      </c>
    </row>
    <row r="3" ht="12.75" customHeight="1">
      <c r="C3" s="26"/>
    </row>
    <row r="4" spans="2:6" ht="22.5" customHeight="1">
      <c r="B4" s="1831" t="s">
        <v>31</v>
      </c>
      <c r="C4" s="1831"/>
      <c r="D4" s="1831"/>
      <c r="E4" s="1831"/>
      <c r="F4" s="1831"/>
    </row>
    <row r="5" spans="2:6" ht="14.25" customHeight="1">
      <c r="B5" s="27"/>
      <c r="C5" s="27"/>
      <c r="D5" s="27"/>
      <c r="E5" s="27"/>
      <c r="F5" s="27"/>
    </row>
    <row r="6" spans="2:7" ht="58.5" customHeight="1">
      <c r="B6" s="1832" t="s">
        <v>32</v>
      </c>
      <c r="C6" s="1832"/>
      <c r="D6" s="1832"/>
      <c r="E6" s="1832"/>
      <c r="F6" s="1832"/>
      <c r="G6" s="1832"/>
    </row>
    <row r="7" spans="2:3" ht="12.75" customHeight="1">
      <c r="B7" s="28"/>
      <c r="C7" s="29"/>
    </row>
    <row r="8" ht="12.75" customHeight="1">
      <c r="G8" s="30" t="s">
        <v>5</v>
      </c>
    </row>
    <row r="9" spans="1:7" ht="50.25" customHeight="1">
      <c r="A9" s="31" t="s">
        <v>33</v>
      </c>
      <c r="B9" s="32" t="s">
        <v>24</v>
      </c>
      <c r="C9" s="33" t="s">
        <v>34</v>
      </c>
      <c r="D9" s="33" t="s">
        <v>35</v>
      </c>
      <c r="E9" s="33" t="s">
        <v>36</v>
      </c>
      <c r="F9" s="33" t="s">
        <v>37</v>
      </c>
      <c r="G9" s="34" t="s">
        <v>25</v>
      </c>
    </row>
    <row r="10" spans="1:7" s="20" customFormat="1" ht="27.75" customHeight="1">
      <c r="A10" s="35" t="s">
        <v>38</v>
      </c>
      <c r="B10" s="36" t="s">
        <v>39</v>
      </c>
      <c r="C10" s="37">
        <v>132230</v>
      </c>
      <c r="D10" s="37">
        <v>137916</v>
      </c>
      <c r="E10" s="37">
        <v>143846</v>
      </c>
      <c r="F10" s="37">
        <v>150031</v>
      </c>
      <c r="G10" s="37">
        <f aca="true" t="shared" si="0" ref="G10:G18">SUM(C10:F10)</f>
        <v>564023</v>
      </c>
    </row>
    <row r="11" spans="1:7" s="20" customFormat="1" ht="27.75" customHeight="1">
      <c r="A11" s="38" t="s">
        <v>40</v>
      </c>
      <c r="B11" s="39" t="s">
        <v>41</v>
      </c>
      <c r="C11" s="40"/>
      <c r="D11" s="40"/>
      <c r="E11" s="40"/>
      <c r="F11" s="40"/>
      <c r="G11" s="37">
        <f t="shared" si="0"/>
        <v>0</v>
      </c>
    </row>
    <row r="12" spans="1:7" ht="15" customHeight="1">
      <c r="A12" s="24"/>
      <c r="B12" s="41" t="s">
        <v>42</v>
      </c>
      <c r="C12" s="42">
        <v>100</v>
      </c>
      <c r="D12" s="42">
        <v>105</v>
      </c>
      <c r="E12" s="42">
        <v>110</v>
      </c>
      <c r="F12" s="42">
        <v>115</v>
      </c>
      <c r="G12" s="37">
        <f t="shared" si="0"/>
        <v>430</v>
      </c>
    </row>
    <row r="13" spans="1:7" ht="15" customHeight="1">
      <c r="A13" s="24"/>
      <c r="B13" s="41" t="s">
        <v>43</v>
      </c>
      <c r="C13" s="42"/>
      <c r="D13" s="42"/>
      <c r="E13" s="42"/>
      <c r="F13" s="42"/>
      <c r="G13" s="37">
        <f t="shared" si="0"/>
        <v>0</v>
      </c>
    </row>
    <row r="14" spans="1:7" ht="15" customHeight="1">
      <c r="A14" s="24"/>
      <c r="B14" s="41" t="s">
        <v>44</v>
      </c>
      <c r="C14" s="42">
        <v>4385</v>
      </c>
      <c r="D14" s="42">
        <v>4574</v>
      </c>
      <c r="E14" s="42">
        <v>4770</v>
      </c>
      <c r="F14" s="42">
        <v>4980</v>
      </c>
      <c r="G14" s="37">
        <f t="shared" si="0"/>
        <v>18709</v>
      </c>
    </row>
    <row r="15" spans="1:7" ht="15" customHeight="1">
      <c r="A15" s="24"/>
      <c r="B15" s="41" t="s">
        <v>45</v>
      </c>
      <c r="C15" s="42">
        <v>1240</v>
      </c>
      <c r="D15" s="42">
        <v>1300</v>
      </c>
      <c r="E15" s="42">
        <v>1360</v>
      </c>
      <c r="F15" s="42">
        <v>1420</v>
      </c>
      <c r="G15" s="37">
        <f t="shared" si="0"/>
        <v>5320</v>
      </c>
    </row>
    <row r="16" spans="1:7" ht="15" customHeight="1">
      <c r="A16" s="24"/>
      <c r="B16" s="41" t="s">
        <v>46</v>
      </c>
      <c r="C16" s="42"/>
      <c r="D16" s="42"/>
      <c r="E16" s="42"/>
      <c r="F16" s="42"/>
      <c r="G16" s="37">
        <f t="shared" si="0"/>
        <v>0</v>
      </c>
    </row>
    <row r="17" spans="1:7" ht="27.75" customHeight="1">
      <c r="A17" s="24" t="s">
        <v>47</v>
      </c>
      <c r="B17" s="41" t="s">
        <v>48</v>
      </c>
      <c r="C17" s="42"/>
      <c r="D17" s="42"/>
      <c r="E17" s="42"/>
      <c r="F17" s="42"/>
      <c r="G17" s="37">
        <f t="shared" si="0"/>
        <v>0</v>
      </c>
    </row>
    <row r="18" spans="1:7" ht="27.75" customHeight="1">
      <c r="A18" s="24" t="s">
        <v>49</v>
      </c>
      <c r="B18" s="41" t="s">
        <v>50</v>
      </c>
      <c r="C18" s="42"/>
      <c r="D18" s="42"/>
      <c r="E18" s="42"/>
      <c r="F18" s="42"/>
      <c r="G18" s="37">
        <f t="shared" si="0"/>
        <v>0</v>
      </c>
    </row>
    <row r="19" spans="1:7" s="20" customFormat="1" ht="27.75" customHeight="1">
      <c r="A19" s="24" t="s">
        <v>51</v>
      </c>
      <c r="B19" s="39" t="s">
        <v>52</v>
      </c>
      <c r="C19" s="40">
        <f>SUM(C10:C18)</f>
        <v>137955</v>
      </c>
      <c r="D19" s="40">
        <f>SUM(D10:D18)</f>
        <v>143895</v>
      </c>
      <c r="E19" s="40">
        <f>SUM(E10:E18)</f>
        <v>150086</v>
      </c>
      <c r="F19" s="40">
        <f>SUM(F10:F18)</f>
        <v>156546</v>
      </c>
      <c r="G19" s="40">
        <f>SUM(G10:G18)</f>
        <v>588482</v>
      </c>
    </row>
    <row r="20" spans="1:7" s="20" customFormat="1" ht="27.75" customHeight="1">
      <c r="A20" s="24" t="s">
        <v>53</v>
      </c>
      <c r="B20" s="39" t="s">
        <v>54</v>
      </c>
      <c r="C20" s="43">
        <f>C19/2</f>
        <v>68977.5</v>
      </c>
      <c r="D20" s="43">
        <f>D19/2</f>
        <v>71947.5</v>
      </c>
      <c r="E20" s="40">
        <f>E19/2</f>
        <v>75043</v>
      </c>
      <c r="F20" s="40">
        <f>F19/2</f>
        <v>78273</v>
      </c>
      <c r="G20" s="40">
        <f>G19/2</f>
        <v>294241</v>
      </c>
    </row>
    <row r="21" spans="1:7" s="20" customFormat="1" ht="27.75" customHeight="1">
      <c r="A21" s="24" t="s">
        <v>55</v>
      </c>
      <c r="B21" s="39" t="s">
        <v>56</v>
      </c>
      <c r="C21" s="40">
        <f>SUM(C22:C24)</f>
        <v>0</v>
      </c>
      <c r="D21" s="40">
        <f>SUM(D22:D24)</f>
        <v>0</v>
      </c>
      <c r="E21" s="40">
        <f>SUM(E22:E24)</f>
        <v>0</v>
      </c>
      <c r="F21" s="40">
        <f>SUM(F22:F24)</f>
        <v>0</v>
      </c>
      <c r="G21" s="40">
        <f>SUM(G22:G24)</f>
        <v>0</v>
      </c>
    </row>
    <row r="22" spans="1:7" ht="27.75" customHeight="1">
      <c r="A22" s="24" t="s">
        <v>57</v>
      </c>
      <c r="B22" s="41" t="s">
        <v>58</v>
      </c>
      <c r="C22" s="42"/>
      <c r="D22" s="42"/>
      <c r="E22" s="42"/>
      <c r="F22" s="42"/>
      <c r="G22" s="44">
        <f>SUM(C22:F22)</f>
        <v>0</v>
      </c>
    </row>
    <row r="23" spans="1:7" ht="27.75" customHeight="1">
      <c r="A23" s="24" t="s">
        <v>59</v>
      </c>
      <c r="B23" s="41" t="s">
        <v>60</v>
      </c>
      <c r="C23" s="42"/>
      <c r="D23" s="42"/>
      <c r="E23" s="42"/>
      <c r="F23" s="42"/>
      <c r="G23" s="44">
        <f>SUM(C23:F23)</f>
        <v>0</v>
      </c>
    </row>
    <row r="24" spans="1:7" ht="26.25" customHeight="1">
      <c r="A24" s="24" t="s">
        <v>61</v>
      </c>
      <c r="B24" s="41" t="s">
        <v>62</v>
      </c>
      <c r="C24" s="42"/>
      <c r="D24" s="42"/>
      <c r="E24" s="42"/>
      <c r="F24" s="42"/>
      <c r="G24" s="44">
        <f>SUM(C24:F24)</f>
        <v>0</v>
      </c>
    </row>
    <row r="25" spans="1:7" ht="26.25" customHeight="1">
      <c r="A25" s="24" t="s">
        <v>63</v>
      </c>
      <c r="B25" s="39" t="s">
        <v>64</v>
      </c>
      <c r="C25" s="40">
        <f>SUM(C26:C28)</f>
        <v>0</v>
      </c>
      <c r="D25" s="40">
        <f>SUM(D26:D28)</f>
        <v>0</v>
      </c>
      <c r="E25" s="40">
        <f>SUM(E26:E28)</f>
        <v>0</v>
      </c>
      <c r="F25" s="40">
        <f>SUM(F26:F28)</f>
        <v>0</v>
      </c>
      <c r="G25" s="40">
        <f>SUM(G26:G28)</f>
        <v>0</v>
      </c>
    </row>
    <row r="26" spans="1:7" ht="12.75" customHeight="1">
      <c r="A26" s="24" t="s">
        <v>65</v>
      </c>
      <c r="B26" s="41" t="s">
        <v>58</v>
      </c>
      <c r="C26" s="42"/>
      <c r="D26" s="42"/>
      <c r="E26" s="42"/>
      <c r="F26" s="42"/>
      <c r="G26" s="44">
        <f>SUM(C26:F26)</f>
        <v>0</v>
      </c>
    </row>
    <row r="27" spans="1:7" ht="12.75" customHeight="1">
      <c r="A27" s="24" t="s">
        <v>66</v>
      </c>
      <c r="B27" s="41" t="s">
        <v>60</v>
      </c>
      <c r="C27" s="42"/>
      <c r="D27" s="42"/>
      <c r="E27" s="42"/>
      <c r="F27" s="42"/>
      <c r="G27" s="44">
        <f>SUM(C27:F27)</f>
        <v>0</v>
      </c>
    </row>
    <row r="28" spans="1:7" ht="26.25" customHeight="1">
      <c r="A28" s="24" t="s">
        <v>67</v>
      </c>
      <c r="B28" s="41" t="s">
        <v>62</v>
      </c>
      <c r="C28" s="42"/>
      <c r="D28" s="42"/>
      <c r="E28" s="42"/>
      <c r="F28" s="42"/>
      <c r="G28" s="44">
        <f>SUM(C28:F28)</f>
        <v>0</v>
      </c>
    </row>
    <row r="29" spans="1:7" s="20" customFormat="1" ht="12.75" customHeight="1">
      <c r="A29" s="24" t="s">
        <v>68</v>
      </c>
      <c r="B29" s="39" t="s">
        <v>69</v>
      </c>
      <c r="C29" s="40">
        <f>C21+C25</f>
        <v>0</v>
      </c>
      <c r="D29" s="40">
        <f>D21+D25</f>
        <v>0</v>
      </c>
      <c r="E29" s="40">
        <f>E21+E25</f>
        <v>0</v>
      </c>
      <c r="F29" s="40">
        <f>F21+F25</f>
        <v>0</v>
      </c>
      <c r="G29" s="40">
        <f>G21+G25</f>
        <v>0</v>
      </c>
    </row>
    <row r="30" spans="1:7" ht="26.25" customHeight="1">
      <c r="A30" s="24" t="s">
        <v>70</v>
      </c>
      <c r="B30" s="39" t="s">
        <v>71</v>
      </c>
      <c r="C30" s="43">
        <f>C20-C29</f>
        <v>68977.5</v>
      </c>
      <c r="D30" s="43">
        <f>D20-D29</f>
        <v>71947.5</v>
      </c>
      <c r="E30" s="40">
        <f>E20-E29</f>
        <v>75043</v>
      </c>
      <c r="F30" s="40">
        <f>F20-F29</f>
        <v>78273</v>
      </c>
      <c r="G30" s="40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92"/>
  <sheetViews>
    <sheetView view="pageBreakPreview" zoomScaleSheetLayoutView="100" zoomScalePageLayoutView="0" workbookViewId="0" topLeftCell="A256">
      <selection activeCell="B264" sqref="B264:D264"/>
    </sheetView>
  </sheetViews>
  <sheetFormatPr defaultColWidth="9.140625" defaultRowHeight="12.75"/>
  <cols>
    <col min="1" max="1" width="26.140625" style="931" customWidth="1"/>
    <col min="2" max="5" width="15.57421875" style="931" customWidth="1"/>
    <col min="6" max="16384" width="9.140625" style="931" customWidth="1"/>
  </cols>
  <sheetData>
    <row r="1" s="923" customFormat="1" ht="12">
      <c r="E1" s="923" t="s">
        <v>913</v>
      </c>
    </row>
    <row r="2" s="923" customFormat="1" ht="12"/>
    <row r="3" spans="1:5" s="923" customFormat="1" ht="15">
      <c r="A3" s="2288" t="s">
        <v>1295</v>
      </c>
      <c r="B3" s="2288"/>
      <c r="C3" s="2288"/>
      <c r="D3" s="2288"/>
      <c r="E3" s="2288"/>
    </row>
    <row r="4" spans="1:5" s="923" customFormat="1" ht="15">
      <c r="A4" s="1827"/>
      <c r="B4" s="2283" t="s">
        <v>1296</v>
      </c>
      <c r="C4" s="2283"/>
      <c r="D4" s="2283"/>
      <c r="E4" s="1827" t="s">
        <v>519</v>
      </c>
    </row>
    <row r="5" spans="1:14" s="925" customFormat="1" ht="15.75">
      <c r="A5" s="2276" t="s">
        <v>914</v>
      </c>
      <c r="B5" s="2276"/>
      <c r="C5" s="2276"/>
      <c r="D5" s="2276"/>
      <c r="E5" s="2276"/>
      <c r="F5" s="924"/>
      <c r="G5" s="924"/>
      <c r="H5" s="924"/>
      <c r="I5" s="924"/>
      <c r="J5" s="924"/>
      <c r="K5" s="924"/>
      <c r="L5" s="924"/>
      <c r="M5" s="924"/>
      <c r="N5" s="924"/>
    </row>
    <row r="6" spans="1:14" s="928" customFormat="1" ht="30.75" customHeight="1">
      <c r="A6" s="2277" t="s">
        <v>915</v>
      </c>
      <c r="B6" s="2277"/>
      <c r="C6" s="2277"/>
      <c r="D6" s="2277"/>
      <c r="E6" s="2277"/>
      <c r="F6" s="927"/>
      <c r="G6" s="927"/>
      <c r="H6" s="927"/>
      <c r="I6" s="927"/>
      <c r="J6" s="927"/>
      <c r="K6" s="927"/>
      <c r="L6" s="927"/>
      <c r="M6" s="927"/>
      <c r="N6" s="927"/>
    </row>
    <row r="7" spans="1:14" s="928" customFormat="1" ht="30.75" customHeight="1">
      <c r="A7" s="926"/>
      <c r="B7" s="926"/>
      <c r="C7" s="926"/>
      <c r="D7" s="926"/>
      <c r="E7" s="926"/>
      <c r="F7" s="927"/>
      <c r="G7" s="927"/>
      <c r="H7" s="927"/>
      <c r="I7" s="927"/>
      <c r="J7" s="927"/>
      <c r="K7" s="927"/>
      <c r="L7" s="927"/>
      <c r="M7" s="927"/>
      <c r="N7" s="927"/>
    </row>
    <row r="8" spans="1:5" ht="37.5" customHeight="1">
      <c r="A8" s="929" t="s">
        <v>916</v>
      </c>
      <c r="B8" s="2286" t="s">
        <v>917</v>
      </c>
      <c r="C8" s="2287"/>
      <c r="D8" s="2287"/>
      <c r="E8" s="930" t="s">
        <v>214</v>
      </c>
    </row>
    <row r="9" spans="1:5" ht="15" thickBot="1">
      <c r="A9" s="932" t="s">
        <v>918</v>
      </c>
      <c r="B9" s="933">
        <v>2020</v>
      </c>
      <c r="C9" s="933">
        <v>2021</v>
      </c>
      <c r="D9" s="933" t="s">
        <v>1074</v>
      </c>
      <c r="E9" s="934" t="s">
        <v>25</v>
      </c>
    </row>
    <row r="10" spans="1:5" ht="14.25">
      <c r="A10" s="935" t="s">
        <v>919</v>
      </c>
      <c r="B10" s="936"/>
      <c r="C10" s="936"/>
      <c r="D10" s="936"/>
      <c r="E10" s="937">
        <f aca="true" t="shared" si="0" ref="E10:E15">SUM(B10:D10)</f>
        <v>0</v>
      </c>
    </row>
    <row r="11" spans="1:5" ht="14.25">
      <c r="A11" s="938" t="s">
        <v>920</v>
      </c>
      <c r="B11" s="939">
        <v>1569872</v>
      </c>
      <c r="C11" s="939"/>
      <c r="D11" s="939"/>
      <c r="E11" s="940">
        <f t="shared" si="0"/>
        <v>1569872</v>
      </c>
    </row>
    <row r="12" spans="1:5" ht="14.25">
      <c r="A12" s="938" t="s">
        <v>921</v>
      </c>
      <c r="B12" s="939"/>
      <c r="C12" s="939"/>
      <c r="D12" s="939"/>
      <c r="E12" s="940">
        <f t="shared" si="0"/>
        <v>0</v>
      </c>
    </row>
    <row r="13" spans="1:5" ht="14.25">
      <c r="A13" s="938" t="s">
        <v>922</v>
      </c>
      <c r="B13" s="939"/>
      <c r="C13" s="939"/>
      <c r="D13" s="939"/>
      <c r="E13" s="940">
        <f t="shared" si="0"/>
        <v>0</v>
      </c>
    </row>
    <row r="14" spans="1:5" ht="14.25">
      <c r="A14" s="938" t="s">
        <v>923</v>
      </c>
      <c r="B14" s="939"/>
      <c r="C14" s="939"/>
      <c r="D14" s="939"/>
      <c r="E14" s="940">
        <f t="shared" si="0"/>
        <v>0</v>
      </c>
    </row>
    <row r="15" spans="1:5" ht="15" thickBot="1">
      <c r="A15" s="941"/>
      <c r="B15" s="942"/>
      <c r="C15" s="942"/>
      <c r="D15" s="942"/>
      <c r="E15" s="940">
        <f t="shared" si="0"/>
        <v>0</v>
      </c>
    </row>
    <row r="16" spans="1:5" ht="15" thickBot="1">
      <c r="A16" s="943" t="s">
        <v>918</v>
      </c>
      <c r="B16" s="944">
        <f>B10+SUM(B11:B15)</f>
        <v>1569872</v>
      </c>
      <c r="C16" s="944">
        <f>C10+SUM(C11:C15)</f>
        <v>0</v>
      </c>
      <c r="D16" s="944">
        <f>D10+SUM(D11:D15)</f>
        <v>0</v>
      </c>
      <c r="E16" s="945">
        <f>E10+SUM(E11:E15)</f>
        <v>1569872</v>
      </c>
    </row>
    <row r="17" spans="1:5" ht="15" thickBot="1">
      <c r="A17" s="946"/>
      <c r="B17" s="946"/>
      <c r="C17" s="946"/>
      <c r="D17" s="946"/>
      <c r="E17" s="946"/>
    </row>
    <row r="18" spans="1:5" ht="15" thickBot="1">
      <c r="A18" s="947" t="s">
        <v>924</v>
      </c>
      <c r="B18" s="948">
        <v>2020</v>
      </c>
      <c r="C18" s="948">
        <v>2021</v>
      </c>
      <c r="D18" s="948" t="s">
        <v>1074</v>
      </c>
      <c r="E18" s="949" t="s">
        <v>25</v>
      </c>
    </row>
    <row r="19" spans="1:5" ht="14.25">
      <c r="A19" s="935" t="s">
        <v>925</v>
      </c>
      <c r="B19" s="936">
        <v>5600</v>
      </c>
      <c r="C19" s="936"/>
      <c r="D19" s="936"/>
      <c r="E19" s="937">
        <f aca="true" t="shared" si="1" ref="E19:E25">SUM(B19:D19)</f>
        <v>5600</v>
      </c>
    </row>
    <row r="20" spans="1:5" ht="14.25">
      <c r="A20" s="950" t="s">
        <v>926</v>
      </c>
      <c r="B20" s="939">
        <v>1430284</v>
      </c>
      <c r="C20" s="939"/>
      <c r="D20" s="939"/>
      <c r="E20" s="940">
        <f t="shared" si="1"/>
        <v>1430284</v>
      </c>
    </row>
    <row r="21" spans="1:5" ht="14.25">
      <c r="A21" s="938" t="s">
        <v>927</v>
      </c>
      <c r="B21" s="939">
        <v>133988</v>
      </c>
      <c r="C21" s="939"/>
      <c r="D21" s="939"/>
      <c r="E21" s="940">
        <f t="shared" si="1"/>
        <v>133988</v>
      </c>
    </row>
    <row r="22" spans="1:5" ht="14.25">
      <c r="A22" s="938" t="s">
        <v>928</v>
      </c>
      <c r="B22" s="939"/>
      <c r="C22" s="939"/>
      <c r="D22" s="939"/>
      <c r="E22" s="940">
        <f t="shared" si="1"/>
        <v>0</v>
      </c>
    </row>
    <row r="23" spans="1:5" ht="14.25">
      <c r="A23" s="951"/>
      <c r="B23" s="939"/>
      <c r="C23" s="939"/>
      <c r="D23" s="939"/>
      <c r="E23" s="940">
        <f t="shared" si="1"/>
        <v>0</v>
      </c>
    </row>
    <row r="24" spans="1:5" ht="14.25">
      <c r="A24" s="951"/>
      <c r="B24" s="939"/>
      <c r="C24" s="939"/>
      <c r="D24" s="939"/>
      <c r="E24" s="940">
        <f t="shared" si="1"/>
        <v>0</v>
      </c>
    </row>
    <row r="25" spans="1:5" ht="15" thickBot="1">
      <c r="A25" s="941"/>
      <c r="B25" s="952"/>
      <c r="C25" s="952"/>
      <c r="D25" s="952"/>
      <c r="E25" s="953">
        <f t="shared" si="1"/>
        <v>0</v>
      </c>
    </row>
    <row r="26" spans="1:5" ht="15" thickBot="1">
      <c r="A26" s="943" t="s">
        <v>444</v>
      </c>
      <c r="B26" s="944">
        <f>SUM(B19:B25)</f>
        <v>1569872</v>
      </c>
      <c r="C26" s="944">
        <f>SUM(C19:C25)</f>
        <v>0</v>
      </c>
      <c r="D26" s="944">
        <f>SUM(D19:D25)</f>
        <v>0</v>
      </c>
      <c r="E26" s="945">
        <f>SUM(E19:E25)</f>
        <v>1569872</v>
      </c>
    </row>
    <row r="27" spans="1:5" ht="14.25">
      <c r="A27" s="954"/>
      <c r="B27" s="954"/>
      <c r="C27" s="954"/>
      <c r="D27" s="954"/>
      <c r="E27" s="954"/>
    </row>
    <row r="28" spans="1:5" ht="14.25">
      <c r="A28" s="2280" t="s">
        <v>1075</v>
      </c>
      <c r="B28" s="2280"/>
      <c r="C28" s="2280"/>
      <c r="D28" s="2280"/>
      <c r="E28" s="2280"/>
    </row>
    <row r="29" spans="1:5" ht="15" thickBot="1">
      <c r="A29" s="954"/>
      <c r="B29" s="954"/>
      <c r="C29" s="954"/>
      <c r="D29" s="954"/>
      <c r="E29" s="954"/>
    </row>
    <row r="30" spans="1:5" ht="15" thickBot="1">
      <c r="A30" s="2281" t="s">
        <v>929</v>
      </c>
      <c r="B30" s="2281"/>
      <c r="C30" s="2281"/>
      <c r="D30" s="2282" t="s">
        <v>930</v>
      </c>
      <c r="E30" s="2282"/>
    </row>
    <row r="31" spans="1:5" ht="14.25">
      <c r="A31" s="2269"/>
      <c r="B31" s="2269"/>
      <c r="C31" s="2269"/>
      <c r="D31" s="2270"/>
      <c r="E31" s="2270"/>
    </row>
    <row r="32" spans="1:5" ht="15" thickBot="1">
      <c r="A32" s="2271"/>
      <c r="B32" s="2271"/>
      <c r="C32" s="2271"/>
      <c r="D32" s="2272"/>
      <c r="E32" s="2272"/>
    </row>
    <row r="33" spans="1:5" ht="15" thickBot="1">
      <c r="A33" s="2273" t="s">
        <v>444</v>
      </c>
      <c r="B33" s="2273"/>
      <c r="C33" s="2273"/>
      <c r="D33" s="2274">
        <f>SUM(D31:E32)</f>
        <v>0</v>
      </c>
      <c r="E33" s="2274"/>
    </row>
    <row r="34" spans="1:5" ht="14.25">
      <c r="A34" s="955"/>
      <c r="B34" s="955"/>
      <c r="C34" s="955"/>
      <c r="D34" s="956"/>
      <c r="E34" s="956"/>
    </row>
    <row r="35" spans="1:5" ht="14.25">
      <c r="A35" s="923"/>
      <c r="B35" s="923"/>
      <c r="C35" s="923"/>
      <c r="D35" s="923"/>
      <c r="E35" s="923" t="s">
        <v>913</v>
      </c>
    </row>
    <row r="36" spans="1:5" ht="14.25">
      <c r="A36" s="923"/>
      <c r="B36" s="923"/>
      <c r="C36" s="923"/>
      <c r="D36" s="923"/>
      <c r="E36" s="923"/>
    </row>
    <row r="37" spans="1:5" ht="14.25">
      <c r="A37" s="2275" t="s">
        <v>1295</v>
      </c>
      <c r="B37" s="2275"/>
      <c r="C37" s="2275"/>
      <c r="D37" s="2275"/>
      <c r="E37" s="2275"/>
    </row>
    <row r="38" spans="1:5" ht="15">
      <c r="A38" s="867"/>
      <c r="B38" s="2283" t="s">
        <v>1296</v>
      </c>
      <c r="C38" s="2283"/>
      <c r="D38" s="2283"/>
      <c r="E38" s="1827" t="s">
        <v>519</v>
      </c>
    </row>
    <row r="39" spans="1:5" ht="15.75">
      <c r="A39" s="2276" t="s">
        <v>914</v>
      </c>
      <c r="B39" s="2276"/>
      <c r="C39" s="2276"/>
      <c r="D39" s="2276"/>
      <c r="E39" s="2276"/>
    </row>
    <row r="40" spans="1:5" ht="40.5" customHeight="1">
      <c r="A40" s="2277" t="s">
        <v>915</v>
      </c>
      <c r="B40" s="2277"/>
      <c r="C40" s="2277"/>
      <c r="D40" s="2277"/>
      <c r="E40" s="2277"/>
    </row>
    <row r="41" spans="1:5" ht="40.5" customHeight="1">
      <c r="A41" s="926"/>
      <c r="B41" s="926"/>
      <c r="C41" s="926"/>
      <c r="D41" s="926"/>
      <c r="E41" s="926"/>
    </row>
    <row r="42" spans="1:5" ht="36.75" customHeight="1">
      <c r="A42" s="929" t="s">
        <v>916</v>
      </c>
      <c r="B42" s="2286" t="s">
        <v>931</v>
      </c>
      <c r="C42" s="2287"/>
      <c r="D42" s="2287"/>
      <c r="E42" s="930" t="s">
        <v>214</v>
      </c>
    </row>
    <row r="43" spans="1:5" ht="15" thickBot="1">
      <c r="A43" s="932" t="s">
        <v>918</v>
      </c>
      <c r="B43" s="933">
        <v>2020</v>
      </c>
      <c r="C43" s="933">
        <v>2021</v>
      </c>
      <c r="D43" s="933" t="s">
        <v>1074</v>
      </c>
      <c r="E43" s="934" t="s">
        <v>25</v>
      </c>
    </row>
    <row r="44" spans="1:5" ht="14.25">
      <c r="A44" s="935" t="s">
        <v>919</v>
      </c>
      <c r="B44" s="936">
        <v>24710200</v>
      </c>
      <c r="C44" s="936"/>
      <c r="D44" s="936"/>
      <c r="E44" s="937">
        <f aca="true" t="shared" si="2" ref="E44:E49">SUM(B44:D44)</f>
        <v>24710200</v>
      </c>
    </row>
    <row r="45" spans="1:5" ht="14.25">
      <c r="A45" s="938" t="s">
        <v>920</v>
      </c>
      <c r="B45" s="939">
        <v>319165729</v>
      </c>
      <c r="C45" s="939">
        <v>55823243</v>
      </c>
      <c r="D45" s="939"/>
      <c r="E45" s="940">
        <f t="shared" si="2"/>
        <v>374988972</v>
      </c>
    </row>
    <row r="46" spans="1:5" ht="14.25">
      <c r="A46" s="938" t="s">
        <v>921</v>
      </c>
      <c r="B46" s="939"/>
      <c r="C46" s="939"/>
      <c r="D46" s="939"/>
      <c r="E46" s="940">
        <f t="shared" si="2"/>
        <v>0</v>
      </c>
    </row>
    <row r="47" spans="1:5" ht="14.25">
      <c r="A47" s="938" t="s">
        <v>922</v>
      </c>
      <c r="B47" s="939"/>
      <c r="C47" s="939"/>
      <c r="D47" s="939"/>
      <c r="E47" s="940">
        <f t="shared" si="2"/>
        <v>0</v>
      </c>
    </row>
    <row r="48" spans="1:5" ht="14.25">
      <c r="A48" s="938" t="s">
        <v>923</v>
      </c>
      <c r="B48" s="939"/>
      <c r="C48" s="939"/>
      <c r="D48" s="939"/>
      <c r="E48" s="940">
        <f t="shared" si="2"/>
        <v>0</v>
      </c>
    </row>
    <row r="49" spans="1:5" ht="15" thickBot="1">
      <c r="A49" s="941"/>
      <c r="B49" s="942"/>
      <c r="C49" s="942"/>
      <c r="D49" s="942"/>
      <c r="E49" s="940">
        <f t="shared" si="2"/>
        <v>0</v>
      </c>
    </row>
    <row r="50" spans="1:5" ht="15" thickBot="1">
      <c r="A50" s="943" t="s">
        <v>918</v>
      </c>
      <c r="B50" s="944">
        <f>B44+SUM(B45:B49)</f>
        <v>343875929</v>
      </c>
      <c r="C50" s="944">
        <f>C44+SUM(C45:C49)</f>
        <v>55823243</v>
      </c>
      <c r="D50" s="944">
        <f>D44+SUM(D45:D49)</f>
        <v>0</v>
      </c>
      <c r="E50" s="945">
        <f>E44+SUM(E45:E49)</f>
        <v>399699172</v>
      </c>
    </row>
    <row r="51" spans="1:5" ht="15" thickBot="1">
      <c r="A51" s="946"/>
      <c r="B51" s="946"/>
      <c r="C51" s="946"/>
      <c r="D51" s="946"/>
      <c r="E51" s="946"/>
    </row>
    <row r="52" spans="1:5" ht="15" thickBot="1">
      <c r="A52" s="947" t="s">
        <v>924</v>
      </c>
      <c r="B52" s="948">
        <v>2020</v>
      </c>
      <c r="C52" s="948">
        <v>2021</v>
      </c>
      <c r="D52" s="948" t="s">
        <v>1074</v>
      </c>
      <c r="E52" s="949" t="s">
        <v>25</v>
      </c>
    </row>
    <row r="53" spans="1:5" ht="14.25">
      <c r="A53" s="935" t="s">
        <v>925</v>
      </c>
      <c r="B53" s="936">
        <v>1524000</v>
      </c>
      <c r="C53" s="936"/>
      <c r="D53" s="936"/>
      <c r="E53" s="937">
        <f aca="true" t="shared" si="3" ref="E53:E59">SUM(B53:D53)</f>
        <v>1524000</v>
      </c>
    </row>
    <row r="54" spans="1:5" ht="14.25">
      <c r="A54" s="950" t="s">
        <v>926</v>
      </c>
      <c r="B54" s="939">
        <v>335524229</v>
      </c>
      <c r="C54" s="939"/>
      <c r="D54" s="939"/>
      <c r="E54" s="940">
        <f t="shared" si="3"/>
        <v>335524229</v>
      </c>
    </row>
    <row r="55" spans="1:5" ht="14.25">
      <c r="A55" s="938" t="s">
        <v>927</v>
      </c>
      <c r="B55" s="939">
        <v>22005327</v>
      </c>
      <c r="C55" s="939">
        <v>40645616</v>
      </c>
      <c r="D55" s="939"/>
      <c r="E55" s="940">
        <f t="shared" si="3"/>
        <v>62650943</v>
      </c>
    </row>
    <row r="56" spans="1:5" ht="14.25">
      <c r="A56" s="938" t="s">
        <v>134</v>
      </c>
      <c r="B56" s="939"/>
      <c r="C56" s="939"/>
      <c r="D56" s="939"/>
      <c r="E56" s="940">
        <f t="shared" si="3"/>
        <v>0</v>
      </c>
    </row>
    <row r="57" spans="1:5" ht="14.25">
      <c r="A57" s="951" t="s">
        <v>932</v>
      </c>
      <c r="B57" s="939"/>
      <c r="C57" s="939"/>
      <c r="D57" s="939"/>
      <c r="E57" s="940">
        <f t="shared" si="3"/>
        <v>0</v>
      </c>
    </row>
    <row r="58" spans="1:5" ht="14.25">
      <c r="A58" s="951"/>
      <c r="B58" s="939"/>
      <c r="C58" s="939"/>
      <c r="D58" s="939"/>
      <c r="E58" s="940">
        <f t="shared" si="3"/>
        <v>0</v>
      </c>
    </row>
    <row r="59" spans="1:5" ht="15" thickBot="1">
      <c r="A59" s="941"/>
      <c r="B59" s="952"/>
      <c r="C59" s="952"/>
      <c r="D59" s="952"/>
      <c r="E59" s="953">
        <f t="shared" si="3"/>
        <v>0</v>
      </c>
    </row>
    <row r="60" spans="1:5" ht="15" thickBot="1">
      <c r="A60" s="943" t="s">
        <v>444</v>
      </c>
      <c r="B60" s="944">
        <f>SUM(B53:B59)</f>
        <v>359053556</v>
      </c>
      <c r="C60" s="944">
        <f>SUM(C53:C59)</f>
        <v>40645616</v>
      </c>
      <c r="D60" s="944">
        <f>SUM(D53:D59)</f>
        <v>0</v>
      </c>
      <c r="E60" s="945">
        <f>SUM(E53:E59)</f>
        <v>399699172</v>
      </c>
    </row>
    <row r="61" spans="1:5" ht="14.25">
      <c r="A61" s="954"/>
      <c r="B61" s="954"/>
      <c r="C61" s="954"/>
      <c r="D61" s="954"/>
      <c r="E61" s="954"/>
    </row>
    <row r="62" spans="1:5" ht="14.25">
      <c r="A62" s="2280" t="s">
        <v>1075</v>
      </c>
      <c r="B62" s="2280"/>
      <c r="C62" s="2280"/>
      <c r="D62" s="2280"/>
      <c r="E62" s="2280"/>
    </row>
    <row r="63" spans="1:5" ht="15" thickBot="1">
      <c r="A63" s="954"/>
      <c r="B63" s="954"/>
      <c r="C63" s="954"/>
      <c r="D63" s="954"/>
      <c r="E63" s="954"/>
    </row>
    <row r="64" spans="1:5" ht="15" thickBot="1">
      <c r="A64" s="2281" t="s">
        <v>929</v>
      </c>
      <c r="B64" s="2281"/>
      <c r="C64" s="2281"/>
      <c r="D64" s="2282" t="s">
        <v>933</v>
      </c>
      <c r="E64" s="2282"/>
    </row>
    <row r="65" spans="1:5" ht="14.25">
      <c r="A65" s="2269"/>
      <c r="B65" s="2269"/>
      <c r="C65" s="2269"/>
      <c r="D65" s="2270"/>
      <c r="E65" s="2270"/>
    </row>
    <row r="66" spans="1:5" ht="15" thickBot="1">
      <c r="A66" s="2271"/>
      <c r="B66" s="2271"/>
      <c r="C66" s="2271"/>
      <c r="D66" s="2272"/>
      <c r="E66" s="2272"/>
    </row>
    <row r="67" spans="1:5" ht="15" thickBot="1">
      <c r="A67" s="2273" t="s">
        <v>444</v>
      </c>
      <c r="B67" s="2273"/>
      <c r="C67" s="2273"/>
      <c r="D67" s="2274">
        <f>SUM(D65:E66)</f>
        <v>0</v>
      </c>
      <c r="E67" s="2274"/>
    </row>
    <row r="68" spans="1:5" ht="14.25">
      <c r="A68" s="955"/>
      <c r="B68" s="955"/>
      <c r="C68" s="955"/>
      <c r="D68" s="956"/>
      <c r="E68" s="956"/>
    </row>
    <row r="69" spans="1:5" ht="14.25">
      <c r="A69" s="923"/>
      <c r="B69" s="923"/>
      <c r="C69" s="923"/>
      <c r="D69" s="923"/>
      <c r="E69" s="923" t="s">
        <v>913</v>
      </c>
    </row>
    <row r="70" spans="1:5" ht="14.25">
      <c r="A70" s="923"/>
      <c r="B70" s="923"/>
      <c r="C70" s="923"/>
      <c r="D70" s="923"/>
      <c r="E70" s="923"/>
    </row>
    <row r="71" spans="1:5" ht="14.25">
      <c r="A71" s="2275" t="s">
        <v>1295</v>
      </c>
      <c r="B71" s="2275"/>
      <c r="C71" s="2275"/>
      <c r="D71" s="2275"/>
      <c r="E71" s="2275"/>
    </row>
    <row r="72" spans="1:5" ht="15">
      <c r="A72" s="867"/>
      <c r="B72" s="2283" t="s">
        <v>1296</v>
      </c>
      <c r="C72" s="2283"/>
      <c r="D72" s="2283"/>
      <c r="E72" s="1827" t="s">
        <v>519</v>
      </c>
    </row>
    <row r="73" spans="1:5" ht="15.75">
      <c r="A73" s="2276" t="s">
        <v>914</v>
      </c>
      <c r="B73" s="2276"/>
      <c r="C73" s="2276"/>
      <c r="D73" s="2276"/>
      <c r="E73" s="2276"/>
    </row>
    <row r="74" spans="1:5" ht="41.25" customHeight="1">
      <c r="A74" s="2277" t="s">
        <v>915</v>
      </c>
      <c r="B74" s="2277"/>
      <c r="C74" s="2277"/>
      <c r="D74" s="2277"/>
      <c r="E74" s="2277"/>
    </row>
    <row r="75" spans="1:5" ht="37.5" customHeight="1">
      <c r="A75" s="957" t="s">
        <v>916</v>
      </c>
      <c r="B75" s="2284" t="s">
        <v>934</v>
      </c>
      <c r="C75" s="2285"/>
      <c r="D75" s="2285"/>
      <c r="E75" s="930" t="s">
        <v>214</v>
      </c>
    </row>
    <row r="76" spans="1:5" ht="15" thickBot="1">
      <c r="A76" s="932" t="s">
        <v>918</v>
      </c>
      <c r="B76" s="933">
        <v>2020</v>
      </c>
      <c r="C76" s="933">
        <v>2021</v>
      </c>
      <c r="D76" s="933" t="s">
        <v>1074</v>
      </c>
      <c r="E76" s="934" t="s">
        <v>25</v>
      </c>
    </row>
    <row r="77" spans="1:5" ht="14.25">
      <c r="A77" s="935" t="s">
        <v>919</v>
      </c>
      <c r="B77" s="936">
        <v>0</v>
      </c>
      <c r="C77" s="936"/>
      <c r="D77" s="936"/>
      <c r="E77" s="937">
        <f aca="true" t="shared" si="4" ref="E77:E82">SUM(B77:D77)</f>
        <v>0</v>
      </c>
    </row>
    <row r="78" spans="1:5" ht="14.25">
      <c r="A78" s="938" t="s">
        <v>920</v>
      </c>
      <c r="B78" s="939">
        <v>13836175</v>
      </c>
      <c r="C78" s="939">
        <v>860767</v>
      </c>
      <c r="D78" s="939">
        <v>0</v>
      </c>
      <c r="E78" s="940">
        <f t="shared" si="4"/>
        <v>14696942</v>
      </c>
    </row>
    <row r="79" spans="1:5" ht="14.25">
      <c r="A79" s="938" t="s">
        <v>921</v>
      </c>
      <c r="B79" s="939"/>
      <c r="C79" s="939"/>
      <c r="D79" s="939"/>
      <c r="E79" s="940">
        <f t="shared" si="4"/>
        <v>0</v>
      </c>
    </row>
    <row r="80" spans="1:5" ht="14.25">
      <c r="A80" s="938" t="s">
        <v>922</v>
      </c>
      <c r="B80" s="939"/>
      <c r="C80" s="939"/>
      <c r="D80" s="939"/>
      <c r="E80" s="940">
        <f t="shared" si="4"/>
        <v>0</v>
      </c>
    </row>
    <row r="81" spans="1:5" ht="14.25">
      <c r="A81" s="938" t="s">
        <v>923</v>
      </c>
      <c r="B81" s="939"/>
      <c r="C81" s="939"/>
      <c r="D81" s="939"/>
      <c r="E81" s="940">
        <f t="shared" si="4"/>
        <v>0</v>
      </c>
    </row>
    <row r="82" spans="1:5" ht="15" thickBot="1">
      <c r="A82" s="941"/>
      <c r="B82" s="942"/>
      <c r="C82" s="942"/>
      <c r="D82" s="942"/>
      <c r="E82" s="940">
        <f t="shared" si="4"/>
        <v>0</v>
      </c>
    </row>
    <row r="83" spans="1:5" ht="15" thickBot="1">
      <c r="A83" s="943" t="s">
        <v>918</v>
      </c>
      <c r="B83" s="944">
        <f>B77+SUM(B78:B82)</f>
        <v>13836175</v>
      </c>
      <c r="C83" s="944">
        <f>C77+SUM(C78:C82)</f>
        <v>860767</v>
      </c>
      <c r="D83" s="944">
        <f>D77+SUM(D78:D82)</f>
        <v>0</v>
      </c>
      <c r="E83" s="945">
        <f>E77+SUM(E78:E82)</f>
        <v>14696942</v>
      </c>
    </row>
    <row r="84" spans="1:5" ht="15" thickBot="1">
      <c r="A84" s="946"/>
      <c r="B84" s="946"/>
      <c r="C84" s="946"/>
      <c r="D84" s="946"/>
      <c r="E84" s="946"/>
    </row>
    <row r="85" spans="1:5" ht="15" thickBot="1">
      <c r="A85" s="947" t="s">
        <v>924</v>
      </c>
      <c r="B85" s="948">
        <v>2020</v>
      </c>
      <c r="C85" s="948">
        <v>2021</v>
      </c>
      <c r="D85" s="948" t="s">
        <v>1074</v>
      </c>
      <c r="E85" s="949" t="s">
        <v>25</v>
      </c>
    </row>
    <row r="86" spans="1:5" ht="14.25">
      <c r="A86" s="935" t="s">
        <v>925</v>
      </c>
      <c r="B86" s="936">
        <v>8778303</v>
      </c>
      <c r="C86" s="936">
        <v>722667</v>
      </c>
      <c r="D86" s="936"/>
      <c r="E86" s="937">
        <f aca="true" t="shared" si="5" ref="E86:E92">SUM(B86:D86)</f>
        <v>9500970</v>
      </c>
    </row>
    <row r="87" spans="1:5" ht="14.25">
      <c r="A87" s="950" t="s">
        <v>926</v>
      </c>
      <c r="B87" s="939">
        <v>2310572</v>
      </c>
      <c r="C87" s="939">
        <v>0</v>
      </c>
      <c r="D87" s="939"/>
      <c r="E87" s="940">
        <f t="shared" si="5"/>
        <v>2310572</v>
      </c>
    </row>
    <row r="88" spans="1:5" ht="14.25">
      <c r="A88" s="938" t="s">
        <v>927</v>
      </c>
      <c r="B88" s="939">
        <v>2747300</v>
      </c>
      <c r="C88" s="939">
        <v>138100</v>
      </c>
      <c r="D88" s="939"/>
      <c r="E88" s="940">
        <f t="shared" si="5"/>
        <v>2885400</v>
      </c>
    </row>
    <row r="89" spans="1:5" ht="14.25">
      <c r="A89" s="938" t="s">
        <v>928</v>
      </c>
      <c r="B89" s="939"/>
      <c r="C89" s="939"/>
      <c r="D89" s="939"/>
      <c r="E89" s="940">
        <f t="shared" si="5"/>
        <v>0</v>
      </c>
    </row>
    <row r="90" spans="1:5" ht="14.25">
      <c r="A90" s="951" t="s">
        <v>932</v>
      </c>
      <c r="B90" s="958"/>
      <c r="C90" s="939"/>
      <c r="D90" s="939"/>
      <c r="E90" s="940">
        <f t="shared" si="5"/>
        <v>0</v>
      </c>
    </row>
    <row r="91" spans="1:5" ht="14.25">
      <c r="A91" s="951"/>
      <c r="B91" s="939"/>
      <c r="C91" s="939"/>
      <c r="D91" s="939"/>
      <c r="E91" s="940">
        <f t="shared" si="5"/>
        <v>0</v>
      </c>
    </row>
    <row r="92" spans="1:5" ht="15" thickBot="1">
      <c r="A92" s="941"/>
      <c r="B92" s="952"/>
      <c r="C92" s="952"/>
      <c r="D92" s="952"/>
      <c r="E92" s="953">
        <f t="shared" si="5"/>
        <v>0</v>
      </c>
    </row>
    <row r="93" spans="1:5" ht="15" thickBot="1">
      <c r="A93" s="943" t="s">
        <v>444</v>
      </c>
      <c r="B93" s="944">
        <f>SUM(B86:B92)</f>
        <v>13836175</v>
      </c>
      <c r="C93" s="944">
        <f>SUM(C86:C92)</f>
        <v>860767</v>
      </c>
      <c r="D93" s="944">
        <f>SUM(D86:D92)</f>
        <v>0</v>
      </c>
      <c r="E93" s="945">
        <f>SUM(E86:E92)</f>
        <v>14696942</v>
      </c>
    </row>
    <row r="94" spans="1:5" ht="14.25">
      <c r="A94" s="954"/>
      <c r="B94" s="954"/>
      <c r="C94" s="954"/>
      <c r="D94" s="954"/>
      <c r="E94" s="954"/>
    </row>
    <row r="95" spans="1:5" ht="14.25">
      <c r="A95" s="2280" t="s">
        <v>1075</v>
      </c>
      <c r="B95" s="2280"/>
      <c r="C95" s="2280"/>
      <c r="D95" s="2280"/>
      <c r="E95" s="2280"/>
    </row>
    <row r="96" spans="1:5" ht="15" thickBot="1">
      <c r="A96" s="954"/>
      <c r="B96" s="954"/>
      <c r="C96" s="954"/>
      <c r="D96" s="954"/>
      <c r="E96" s="954"/>
    </row>
    <row r="97" spans="1:5" ht="15" thickBot="1">
      <c r="A97" s="2281" t="s">
        <v>929</v>
      </c>
      <c r="B97" s="2281"/>
      <c r="C97" s="2281"/>
      <c r="D97" s="2282" t="s">
        <v>933</v>
      </c>
      <c r="E97" s="2282"/>
    </row>
    <row r="98" spans="1:5" ht="14.25">
      <c r="A98" s="2269"/>
      <c r="B98" s="2269"/>
      <c r="C98" s="2269"/>
      <c r="D98" s="2270"/>
      <c r="E98" s="2270"/>
    </row>
    <row r="99" spans="1:5" ht="15" thickBot="1">
      <c r="A99" s="2271"/>
      <c r="B99" s="2271"/>
      <c r="C99" s="2271"/>
      <c r="D99" s="2272"/>
      <c r="E99" s="2272"/>
    </row>
    <row r="100" spans="1:5" ht="15" thickBot="1">
      <c r="A100" s="2273" t="s">
        <v>444</v>
      </c>
      <c r="B100" s="2273"/>
      <c r="C100" s="2273"/>
      <c r="D100" s="2274">
        <f>SUM(D98:E99)</f>
        <v>0</v>
      </c>
      <c r="E100" s="2274"/>
    </row>
    <row r="101" spans="1:5" ht="14.25">
      <c r="A101" s="923"/>
      <c r="B101" s="923"/>
      <c r="C101" s="923"/>
      <c r="D101" s="923"/>
      <c r="E101" s="923" t="s">
        <v>913</v>
      </c>
    </row>
    <row r="102" spans="1:5" ht="14.25">
      <c r="A102" s="923"/>
      <c r="B102" s="923"/>
      <c r="C102" s="923"/>
      <c r="D102" s="923"/>
      <c r="E102" s="923"/>
    </row>
    <row r="103" spans="1:5" ht="14.25">
      <c r="A103" s="2275" t="s">
        <v>1295</v>
      </c>
      <c r="B103" s="2275"/>
      <c r="C103" s="2275"/>
      <c r="D103" s="2275"/>
      <c r="E103" s="2275"/>
    </row>
    <row r="104" spans="1:5" ht="15">
      <c r="A104" s="867"/>
      <c r="B104" s="2283" t="s">
        <v>1296</v>
      </c>
      <c r="C104" s="2283"/>
      <c r="D104" s="2283"/>
      <c r="E104" s="1827" t="s">
        <v>519</v>
      </c>
    </row>
    <row r="105" spans="1:5" ht="15.75">
      <c r="A105" s="2276" t="s">
        <v>914</v>
      </c>
      <c r="B105" s="2276"/>
      <c r="C105" s="2276"/>
      <c r="D105" s="2276"/>
      <c r="E105" s="2276"/>
    </row>
    <row r="106" spans="1:5" ht="34.5" customHeight="1">
      <c r="A106" s="2277" t="s">
        <v>915</v>
      </c>
      <c r="B106" s="2277"/>
      <c r="C106" s="2277"/>
      <c r="D106" s="2277"/>
      <c r="E106" s="2277"/>
    </row>
    <row r="107" spans="1:5" ht="30" customHeight="1" thickBot="1">
      <c r="A107" s="959" t="s">
        <v>916</v>
      </c>
      <c r="B107" s="2278" t="s">
        <v>1067</v>
      </c>
      <c r="C107" s="2279"/>
      <c r="D107" s="2279"/>
      <c r="E107" s="960" t="s">
        <v>214</v>
      </c>
    </row>
    <row r="108" spans="1:5" ht="15" thickBot="1">
      <c r="A108" s="947" t="s">
        <v>918</v>
      </c>
      <c r="B108" s="948">
        <v>2020</v>
      </c>
      <c r="C108" s="948">
        <v>2021</v>
      </c>
      <c r="D108" s="948" t="s">
        <v>1074</v>
      </c>
      <c r="E108" s="949" t="s">
        <v>25</v>
      </c>
    </row>
    <row r="109" spans="1:5" ht="14.25">
      <c r="A109" s="935" t="s">
        <v>919</v>
      </c>
      <c r="B109" s="936">
        <v>991609</v>
      </c>
      <c r="C109" s="936">
        <v>0</v>
      </c>
      <c r="D109" s="936"/>
      <c r="E109" s="937">
        <f aca="true" t="shared" si="6" ref="E109:E114">SUM(B109:D109)</f>
        <v>991609</v>
      </c>
    </row>
    <row r="110" spans="1:5" ht="14.25">
      <c r="A110" s="938" t="s">
        <v>920</v>
      </c>
      <c r="B110" s="939">
        <v>504447</v>
      </c>
      <c r="C110" s="939">
        <v>0</v>
      </c>
      <c r="D110" s="939"/>
      <c r="E110" s="940">
        <f t="shared" si="6"/>
        <v>504447</v>
      </c>
    </row>
    <row r="111" spans="1:5" ht="14.25">
      <c r="A111" s="938" t="s">
        <v>921</v>
      </c>
      <c r="B111" s="939"/>
      <c r="C111" s="939"/>
      <c r="D111" s="939"/>
      <c r="E111" s="940">
        <f t="shared" si="6"/>
        <v>0</v>
      </c>
    </row>
    <row r="112" spans="1:5" ht="14.25">
      <c r="A112" s="938" t="s">
        <v>922</v>
      </c>
      <c r="B112" s="939"/>
      <c r="C112" s="939"/>
      <c r="D112" s="939"/>
      <c r="E112" s="940">
        <f t="shared" si="6"/>
        <v>0</v>
      </c>
    </row>
    <row r="113" spans="1:5" ht="14.25">
      <c r="A113" s="938" t="s">
        <v>923</v>
      </c>
      <c r="B113" s="939"/>
      <c r="C113" s="939"/>
      <c r="D113" s="939"/>
      <c r="E113" s="940">
        <f t="shared" si="6"/>
        <v>0</v>
      </c>
    </row>
    <row r="114" spans="1:5" ht="15" thickBot="1">
      <c r="A114" s="941"/>
      <c r="B114" s="942"/>
      <c r="C114" s="942"/>
      <c r="D114" s="942"/>
      <c r="E114" s="940">
        <f t="shared" si="6"/>
        <v>0</v>
      </c>
    </row>
    <row r="115" spans="1:5" ht="15" thickBot="1">
      <c r="A115" s="943" t="s">
        <v>918</v>
      </c>
      <c r="B115" s="944">
        <f>B109+SUM(B110:B114)</f>
        <v>1496056</v>
      </c>
      <c r="C115" s="944">
        <f>C109+SUM(C110:C114)</f>
        <v>0</v>
      </c>
      <c r="D115" s="944">
        <f>D109+SUM(D110:D114)</f>
        <v>0</v>
      </c>
      <c r="E115" s="945">
        <f>E109+SUM(E110:E114)</f>
        <v>1496056</v>
      </c>
    </row>
    <row r="116" spans="1:5" ht="15" thickBot="1">
      <c r="A116" s="946"/>
      <c r="B116" s="946"/>
      <c r="C116" s="946"/>
      <c r="D116" s="946"/>
      <c r="E116" s="946"/>
    </row>
    <row r="117" spans="1:5" ht="15" thickBot="1">
      <c r="A117" s="947" t="s">
        <v>924</v>
      </c>
      <c r="B117" s="948">
        <v>2020</v>
      </c>
      <c r="C117" s="948">
        <v>2021</v>
      </c>
      <c r="D117" s="948" t="s">
        <v>1074</v>
      </c>
      <c r="E117" s="949" t="s">
        <v>25</v>
      </c>
    </row>
    <row r="118" spans="1:5" ht="14.25">
      <c r="A118" s="935" t="s">
        <v>925</v>
      </c>
      <c r="B118" s="936"/>
      <c r="C118" s="936"/>
      <c r="D118" s="936"/>
      <c r="E118" s="937">
        <f aca="true" t="shared" si="7" ref="E118:E124">SUM(B118:D118)</f>
        <v>0</v>
      </c>
    </row>
    <row r="119" spans="1:5" ht="14.25">
      <c r="A119" s="950" t="s">
        <v>926</v>
      </c>
      <c r="B119" s="939"/>
      <c r="C119" s="939"/>
      <c r="D119" s="939"/>
      <c r="E119" s="940">
        <f t="shared" si="7"/>
        <v>0</v>
      </c>
    </row>
    <row r="120" spans="1:5" ht="14.25">
      <c r="A120" s="938" t="s">
        <v>927</v>
      </c>
      <c r="B120" s="939">
        <v>1496056</v>
      </c>
      <c r="C120" s="939">
        <v>0</v>
      </c>
      <c r="D120" s="939"/>
      <c r="E120" s="940">
        <f t="shared" si="7"/>
        <v>1496056</v>
      </c>
    </row>
    <row r="121" spans="1:5" ht="14.25">
      <c r="A121" s="938" t="s">
        <v>928</v>
      </c>
      <c r="B121" s="939"/>
      <c r="C121" s="939"/>
      <c r="D121" s="939"/>
      <c r="E121" s="940">
        <f t="shared" si="7"/>
        <v>0</v>
      </c>
    </row>
    <row r="122" spans="1:5" ht="14.25">
      <c r="A122" s="951" t="s">
        <v>932</v>
      </c>
      <c r="B122" s="958"/>
      <c r="C122" s="939"/>
      <c r="D122" s="939"/>
      <c r="E122" s="940">
        <f t="shared" si="7"/>
        <v>0</v>
      </c>
    </row>
    <row r="123" spans="1:5" ht="14.25">
      <c r="A123" s="951"/>
      <c r="B123" s="939"/>
      <c r="C123" s="939"/>
      <c r="D123" s="939"/>
      <c r="E123" s="940">
        <f t="shared" si="7"/>
        <v>0</v>
      </c>
    </row>
    <row r="124" spans="1:5" ht="15" thickBot="1">
      <c r="A124" s="941"/>
      <c r="B124" s="952"/>
      <c r="C124" s="952"/>
      <c r="D124" s="952"/>
      <c r="E124" s="953">
        <f t="shared" si="7"/>
        <v>0</v>
      </c>
    </row>
    <row r="125" spans="1:5" ht="15" thickBot="1">
      <c r="A125" s="943" t="s">
        <v>444</v>
      </c>
      <c r="B125" s="944">
        <f>SUM(B118:B124)</f>
        <v>1496056</v>
      </c>
      <c r="C125" s="944">
        <f>SUM(C118:C124)</f>
        <v>0</v>
      </c>
      <c r="D125" s="944">
        <f>SUM(D118:D124)</f>
        <v>0</v>
      </c>
      <c r="E125" s="945">
        <f>SUM(E118:E124)</f>
        <v>1496056</v>
      </c>
    </row>
    <row r="126" spans="1:5" ht="14.25">
      <c r="A126" s="954"/>
      <c r="B126" s="954"/>
      <c r="C126" s="954"/>
      <c r="D126" s="954"/>
      <c r="E126" s="954"/>
    </row>
    <row r="127" spans="1:5" ht="14.25">
      <c r="A127" s="2280" t="s">
        <v>1075</v>
      </c>
      <c r="B127" s="2280"/>
      <c r="C127" s="2280"/>
      <c r="D127" s="2280"/>
      <c r="E127" s="2280"/>
    </row>
    <row r="128" spans="1:5" ht="15" thickBot="1">
      <c r="A128" s="954"/>
      <c r="B128" s="954"/>
      <c r="C128" s="954"/>
      <c r="D128" s="954"/>
      <c r="E128" s="954"/>
    </row>
    <row r="129" spans="1:5" ht="15" thickBot="1">
      <c r="A129" s="2281" t="s">
        <v>929</v>
      </c>
      <c r="B129" s="2281"/>
      <c r="C129" s="2281"/>
      <c r="D129" s="2282" t="s">
        <v>930</v>
      </c>
      <c r="E129" s="2282"/>
    </row>
    <row r="130" spans="1:5" ht="14.25">
      <c r="A130" s="2269"/>
      <c r="B130" s="2269"/>
      <c r="C130" s="2269"/>
      <c r="D130" s="2270"/>
      <c r="E130" s="2270"/>
    </row>
    <row r="131" spans="1:5" ht="15" thickBot="1">
      <c r="A131" s="2271"/>
      <c r="B131" s="2271"/>
      <c r="C131" s="2271"/>
      <c r="D131" s="2272"/>
      <c r="E131" s="2272"/>
    </row>
    <row r="132" spans="1:5" ht="15" thickBot="1">
      <c r="A132" s="2273" t="s">
        <v>444</v>
      </c>
      <c r="B132" s="2273"/>
      <c r="C132" s="2273"/>
      <c r="D132" s="2274">
        <f>SUM(D130:E131)</f>
        <v>0</v>
      </c>
      <c r="E132" s="2274"/>
    </row>
    <row r="133" spans="1:5" ht="14.25">
      <c r="A133" s="923"/>
      <c r="B133" s="923"/>
      <c r="C133" s="923"/>
      <c r="D133" s="923"/>
      <c r="E133" s="923" t="s">
        <v>913</v>
      </c>
    </row>
    <row r="134" spans="1:5" ht="14.25">
      <c r="A134" s="923"/>
      <c r="B134" s="923"/>
      <c r="C134" s="923"/>
      <c r="D134" s="923"/>
      <c r="E134" s="923"/>
    </row>
    <row r="135" spans="1:5" ht="14.25">
      <c r="A135" s="2275" t="s">
        <v>1295</v>
      </c>
      <c r="B135" s="2275"/>
      <c r="C135" s="2275"/>
      <c r="D135" s="2275"/>
      <c r="E135" s="2275"/>
    </row>
    <row r="136" spans="1:5" ht="15">
      <c r="A136" s="867"/>
      <c r="B136" s="2283" t="s">
        <v>1296</v>
      </c>
      <c r="C136" s="2283"/>
      <c r="D136" s="2283"/>
      <c r="E136" s="1827" t="s">
        <v>519</v>
      </c>
    </row>
    <row r="137" spans="1:5" ht="15.75">
      <c r="A137" s="2276" t="s">
        <v>914</v>
      </c>
      <c r="B137" s="2276"/>
      <c r="C137" s="2276"/>
      <c r="D137" s="2276"/>
      <c r="E137" s="2276"/>
    </row>
    <row r="138" spans="1:5" ht="30" customHeight="1">
      <c r="A138" s="2277" t="s">
        <v>915</v>
      </c>
      <c r="B138" s="2277"/>
      <c r="C138" s="2277"/>
      <c r="D138" s="2277"/>
      <c r="E138" s="2277"/>
    </row>
    <row r="139" spans="1:5" ht="60.75" customHeight="1" thickBot="1">
      <c r="A139" s="959" t="s">
        <v>916</v>
      </c>
      <c r="B139" s="2278" t="s">
        <v>1068</v>
      </c>
      <c r="C139" s="2279"/>
      <c r="D139" s="2279"/>
      <c r="E139" s="960" t="s">
        <v>214</v>
      </c>
    </row>
    <row r="140" spans="1:5" ht="15" thickBot="1">
      <c r="A140" s="947" t="s">
        <v>918</v>
      </c>
      <c r="B140" s="948">
        <v>2020</v>
      </c>
      <c r="C140" s="948">
        <v>2021</v>
      </c>
      <c r="D140" s="948" t="s">
        <v>1074</v>
      </c>
      <c r="E140" s="949" t="s">
        <v>25</v>
      </c>
    </row>
    <row r="141" spans="1:5" ht="14.25">
      <c r="A141" s="935" t="s">
        <v>919</v>
      </c>
      <c r="B141" s="936">
        <v>3100000</v>
      </c>
      <c r="C141" s="936">
        <v>0</v>
      </c>
      <c r="D141" s="936"/>
      <c r="E141" s="937">
        <f aca="true" t="shared" si="8" ref="E141:E146">SUM(B141:D141)</f>
        <v>3100000</v>
      </c>
    </row>
    <row r="142" spans="1:5" ht="14.25">
      <c r="A142" s="938" t="s">
        <v>920</v>
      </c>
      <c r="B142" s="939">
        <v>145191371</v>
      </c>
      <c r="C142" s="939">
        <v>2495550</v>
      </c>
      <c r="D142" s="939"/>
      <c r="E142" s="940">
        <f t="shared" si="8"/>
        <v>147686921</v>
      </c>
    </row>
    <row r="143" spans="1:5" ht="14.25">
      <c r="A143" s="938" t="s">
        <v>921</v>
      </c>
      <c r="B143" s="939"/>
      <c r="C143" s="939"/>
      <c r="D143" s="939"/>
      <c r="E143" s="940">
        <f t="shared" si="8"/>
        <v>0</v>
      </c>
    </row>
    <row r="144" spans="1:5" ht="14.25">
      <c r="A144" s="938" t="s">
        <v>922</v>
      </c>
      <c r="B144" s="939"/>
      <c r="C144" s="939"/>
      <c r="D144" s="939"/>
      <c r="E144" s="940">
        <f t="shared" si="8"/>
        <v>0</v>
      </c>
    </row>
    <row r="145" spans="1:5" ht="14.25">
      <c r="A145" s="938" t="s">
        <v>923</v>
      </c>
      <c r="B145" s="939"/>
      <c r="C145" s="939"/>
      <c r="D145" s="939"/>
      <c r="E145" s="940">
        <f t="shared" si="8"/>
        <v>0</v>
      </c>
    </row>
    <row r="146" spans="1:5" ht="15" thickBot="1">
      <c r="A146" s="941"/>
      <c r="B146" s="942"/>
      <c r="C146" s="942"/>
      <c r="D146" s="942"/>
      <c r="E146" s="940">
        <f t="shared" si="8"/>
        <v>0</v>
      </c>
    </row>
    <row r="147" spans="1:5" ht="15" thickBot="1">
      <c r="A147" s="943" t="s">
        <v>918</v>
      </c>
      <c r="B147" s="944">
        <f>B141+SUM(B142:B146)</f>
        <v>148291371</v>
      </c>
      <c r="C147" s="944">
        <f>C141+SUM(C142:C146)</f>
        <v>2495550</v>
      </c>
      <c r="D147" s="944">
        <f>D141+SUM(D142:D146)</f>
        <v>0</v>
      </c>
      <c r="E147" s="945">
        <f>E141+SUM(E142:E146)</f>
        <v>150786921</v>
      </c>
    </row>
    <row r="148" spans="1:5" ht="15" thickBot="1">
      <c r="A148" s="946"/>
      <c r="B148" s="946"/>
      <c r="C148" s="946"/>
      <c r="D148" s="946"/>
      <c r="E148" s="946"/>
    </row>
    <row r="149" spans="1:5" ht="15" thickBot="1">
      <c r="A149" s="947" t="s">
        <v>924</v>
      </c>
      <c r="B149" s="948">
        <v>2020</v>
      </c>
      <c r="C149" s="948">
        <v>2021</v>
      </c>
      <c r="D149" s="948" t="s">
        <v>1074</v>
      </c>
      <c r="E149" s="949" t="s">
        <v>25</v>
      </c>
    </row>
    <row r="150" spans="1:5" ht="14.25">
      <c r="A150" s="935" t="s">
        <v>925</v>
      </c>
      <c r="B150" s="936">
        <v>1066800</v>
      </c>
      <c r="C150" s="936">
        <v>2489200</v>
      </c>
      <c r="D150" s="936"/>
      <c r="E150" s="937">
        <f aca="true" t="shared" si="9" ref="E150:E156">SUM(B150:D150)</f>
        <v>3556000</v>
      </c>
    </row>
    <row r="151" spans="1:5" ht="14.25">
      <c r="A151" s="950" t="s">
        <v>926</v>
      </c>
      <c r="B151" s="939">
        <v>10698288</v>
      </c>
      <c r="C151" s="939">
        <v>125170661</v>
      </c>
      <c r="D151" s="939"/>
      <c r="E151" s="940">
        <f t="shared" si="9"/>
        <v>135868949</v>
      </c>
    </row>
    <row r="152" spans="1:5" ht="14.25">
      <c r="A152" s="938" t="s">
        <v>927</v>
      </c>
      <c r="B152" s="939">
        <v>9737192</v>
      </c>
      <c r="C152" s="939">
        <v>1624780</v>
      </c>
      <c r="D152" s="939"/>
      <c r="E152" s="940">
        <f t="shared" si="9"/>
        <v>11361972</v>
      </c>
    </row>
    <row r="153" spans="1:5" ht="14.25">
      <c r="A153" s="938" t="s">
        <v>928</v>
      </c>
      <c r="B153" s="939"/>
      <c r="C153" s="939"/>
      <c r="D153" s="939"/>
      <c r="E153" s="940">
        <f t="shared" si="9"/>
        <v>0</v>
      </c>
    </row>
    <row r="154" spans="1:5" ht="14.25">
      <c r="A154" s="951" t="s">
        <v>932</v>
      </c>
      <c r="B154" s="958"/>
      <c r="C154" s="939"/>
      <c r="D154" s="939"/>
      <c r="E154" s="940">
        <f t="shared" si="9"/>
        <v>0</v>
      </c>
    </row>
    <row r="155" spans="1:5" ht="14.25">
      <c r="A155" s="951"/>
      <c r="B155" s="939"/>
      <c r="C155" s="939"/>
      <c r="D155" s="939"/>
      <c r="E155" s="940">
        <f t="shared" si="9"/>
        <v>0</v>
      </c>
    </row>
    <row r="156" spans="1:5" ht="15" thickBot="1">
      <c r="A156" s="941"/>
      <c r="B156" s="952"/>
      <c r="C156" s="952"/>
      <c r="D156" s="952"/>
      <c r="E156" s="953">
        <f t="shared" si="9"/>
        <v>0</v>
      </c>
    </row>
    <row r="157" spans="1:5" ht="15" thickBot="1">
      <c r="A157" s="943" t="s">
        <v>444</v>
      </c>
      <c r="B157" s="944">
        <f>SUM(B150:B156)</f>
        <v>21502280</v>
      </c>
      <c r="C157" s="944">
        <f>SUM(C150:C156)</f>
        <v>129284641</v>
      </c>
      <c r="D157" s="944">
        <f>SUM(D150:D156)</f>
        <v>0</v>
      </c>
      <c r="E157" s="945">
        <f>SUM(E150:E156)</f>
        <v>150786921</v>
      </c>
    </row>
    <row r="158" spans="1:5" ht="14.25">
      <c r="A158" s="954"/>
      <c r="B158" s="954"/>
      <c r="C158" s="954"/>
      <c r="D158" s="954"/>
      <c r="E158" s="954"/>
    </row>
    <row r="159" spans="1:5" ht="14.25">
      <c r="A159" s="2280" t="s">
        <v>1075</v>
      </c>
      <c r="B159" s="2280"/>
      <c r="C159" s="2280"/>
      <c r="D159" s="2280"/>
      <c r="E159" s="2280"/>
    </row>
    <row r="160" spans="1:5" ht="15" thickBot="1">
      <c r="A160" s="954"/>
      <c r="B160" s="954"/>
      <c r="C160" s="954"/>
      <c r="D160" s="954"/>
      <c r="E160" s="954"/>
    </row>
    <row r="161" spans="1:5" ht="15" thickBot="1">
      <c r="A161" s="2281" t="s">
        <v>929</v>
      </c>
      <c r="B161" s="2281"/>
      <c r="C161" s="2281"/>
      <c r="D161" s="2282" t="s">
        <v>930</v>
      </c>
      <c r="E161" s="2282"/>
    </row>
    <row r="162" spans="1:5" ht="14.25">
      <c r="A162" s="2269"/>
      <c r="B162" s="2269"/>
      <c r="C162" s="2269"/>
      <c r="D162" s="2270"/>
      <c r="E162" s="2270"/>
    </row>
    <row r="163" spans="1:5" ht="15" thickBot="1">
      <c r="A163" s="2271"/>
      <c r="B163" s="2271"/>
      <c r="C163" s="2271"/>
      <c r="D163" s="2272"/>
      <c r="E163" s="2272"/>
    </row>
    <row r="164" spans="1:5" ht="15" thickBot="1">
      <c r="A164" s="2273" t="s">
        <v>444</v>
      </c>
      <c r="B164" s="2273"/>
      <c r="C164" s="2273"/>
      <c r="D164" s="2274">
        <f>SUM(D162:E163)</f>
        <v>0</v>
      </c>
      <c r="E164" s="2274"/>
    </row>
    <row r="165" spans="1:5" ht="14.25">
      <c r="A165" s="923"/>
      <c r="B165" s="923"/>
      <c r="C165" s="923"/>
      <c r="D165" s="923"/>
      <c r="E165" s="923" t="s">
        <v>913</v>
      </c>
    </row>
    <row r="166" spans="1:5" ht="14.25">
      <c r="A166" s="923"/>
      <c r="B166" s="923"/>
      <c r="C166" s="923"/>
      <c r="D166" s="923"/>
      <c r="E166" s="923"/>
    </row>
    <row r="167" spans="1:5" ht="14.25">
      <c r="A167" s="2275" t="s">
        <v>1295</v>
      </c>
      <c r="B167" s="2275"/>
      <c r="C167" s="2275"/>
      <c r="D167" s="2275"/>
      <c r="E167" s="2275"/>
    </row>
    <row r="168" spans="1:5" ht="15">
      <c r="A168" s="867"/>
      <c r="B168" s="2283" t="s">
        <v>1296</v>
      </c>
      <c r="C168" s="2283"/>
      <c r="D168" s="2283"/>
      <c r="E168" s="1827" t="s">
        <v>519</v>
      </c>
    </row>
    <row r="169" spans="1:5" ht="15.75">
      <c r="A169" s="2276" t="s">
        <v>914</v>
      </c>
      <c r="B169" s="2276"/>
      <c r="C169" s="2276"/>
      <c r="D169" s="2276"/>
      <c r="E169" s="2276"/>
    </row>
    <row r="170" spans="1:5" ht="27" customHeight="1">
      <c r="A170" s="2277" t="s">
        <v>915</v>
      </c>
      <c r="B170" s="2277"/>
      <c r="C170" s="2277"/>
      <c r="D170" s="2277"/>
      <c r="E170" s="2277"/>
    </row>
    <row r="171" spans="1:11" ht="28.5" customHeight="1" thickBot="1">
      <c r="A171" s="959" t="s">
        <v>916</v>
      </c>
      <c r="B171" s="2278" t="s">
        <v>1061</v>
      </c>
      <c r="C171" s="2279"/>
      <c r="D171" s="2279"/>
      <c r="E171" s="960" t="s">
        <v>214</v>
      </c>
      <c r="K171" s="931" t="s">
        <v>1293</v>
      </c>
    </row>
    <row r="172" spans="1:5" ht="15" thickBot="1">
      <c r="A172" s="947" t="s">
        <v>918</v>
      </c>
      <c r="B172" s="948">
        <v>2020</v>
      </c>
      <c r="C172" s="948">
        <v>2021</v>
      </c>
      <c r="D172" s="948" t="s">
        <v>1074</v>
      </c>
      <c r="E172" s="949" t="s">
        <v>25</v>
      </c>
    </row>
    <row r="173" spans="1:5" ht="14.25">
      <c r="A173" s="935" t="s">
        <v>919</v>
      </c>
      <c r="B173" s="936">
        <v>0</v>
      </c>
      <c r="C173" s="936"/>
      <c r="D173" s="936"/>
      <c r="E173" s="937">
        <f aca="true" t="shared" si="10" ref="E173:E178">SUM(B173:D173)</f>
        <v>0</v>
      </c>
    </row>
    <row r="174" spans="1:5" ht="14.25">
      <c r="A174" s="938" t="s">
        <v>920</v>
      </c>
      <c r="B174" s="939">
        <v>8256106</v>
      </c>
      <c r="C174" s="939"/>
      <c r="D174" s="939"/>
      <c r="E174" s="940">
        <f t="shared" si="10"/>
        <v>8256106</v>
      </c>
    </row>
    <row r="175" spans="1:5" ht="14.25">
      <c r="A175" s="938" t="s">
        <v>921</v>
      </c>
      <c r="B175" s="939"/>
      <c r="C175" s="939"/>
      <c r="D175" s="939"/>
      <c r="E175" s="940">
        <f t="shared" si="10"/>
        <v>0</v>
      </c>
    </row>
    <row r="176" spans="1:5" ht="14.25">
      <c r="A176" s="938" t="s">
        <v>922</v>
      </c>
      <c r="B176" s="939"/>
      <c r="C176" s="939"/>
      <c r="D176" s="939"/>
      <c r="E176" s="940">
        <f t="shared" si="10"/>
        <v>0</v>
      </c>
    </row>
    <row r="177" spans="1:5" ht="14.25">
      <c r="A177" s="938" t="s">
        <v>923</v>
      </c>
      <c r="B177" s="939"/>
      <c r="C177" s="939"/>
      <c r="D177" s="939"/>
      <c r="E177" s="940">
        <f t="shared" si="10"/>
        <v>0</v>
      </c>
    </row>
    <row r="178" spans="1:5" ht="15" thickBot="1">
      <c r="A178" s="941"/>
      <c r="B178" s="942"/>
      <c r="C178" s="942"/>
      <c r="D178" s="942"/>
      <c r="E178" s="940">
        <f t="shared" si="10"/>
        <v>0</v>
      </c>
    </row>
    <row r="179" spans="1:5" ht="15" thickBot="1">
      <c r="A179" s="943" t="s">
        <v>918</v>
      </c>
      <c r="B179" s="944">
        <f>B173+SUM(B174:B178)</f>
        <v>8256106</v>
      </c>
      <c r="C179" s="944">
        <f>C173+SUM(C174:C178)</f>
        <v>0</v>
      </c>
      <c r="D179" s="944">
        <f>D173+SUM(D174:D178)</f>
        <v>0</v>
      </c>
      <c r="E179" s="945">
        <f>E173+SUM(E174:E178)</f>
        <v>8256106</v>
      </c>
    </row>
    <row r="180" spans="1:5" ht="15" thickBot="1">
      <c r="A180" s="946"/>
      <c r="B180" s="946"/>
      <c r="C180" s="946"/>
      <c r="D180" s="946"/>
      <c r="E180" s="946"/>
    </row>
    <row r="181" spans="1:5" ht="15" thickBot="1">
      <c r="A181" s="947" t="s">
        <v>924</v>
      </c>
      <c r="B181" s="948">
        <v>2020</v>
      </c>
      <c r="C181" s="948">
        <v>2021</v>
      </c>
      <c r="D181" s="948" t="s">
        <v>1074</v>
      </c>
      <c r="E181" s="949" t="s">
        <v>25</v>
      </c>
    </row>
    <row r="182" spans="1:5" ht="14.25">
      <c r="A182" s="935" t="s">
        <v>925</v>
      </c>
      <c r="B182" s="936"/>
      <c r="C182" s="936"/>
      <c r="D182" s="936"/>
      <c r="E182" s="937">
        <f aca="true" t="shared" si="11" ref="E182:E188">SUM(B182:D182)</f>
        <v>0</v>
      </c>
    </row>
    <row r="183" spans="1:5" ht="14.25">
      <c r="A183" s="950" t="s">
        <v>926</v>
      </c>
      <c r="B183" s="939">
        <v>8256106</v>
      </c>
      <c r="C183" s="939">
        <v>8256106</v>
      </c>
      <c r="D183" s="939"/>
      <c r="E183" s="940">
        <f t="shared" si="11"/>
        <v>16512212</v>
      </c>
    </row>
    <row r="184" spans="1:5" ht="14.25">
      <c r="A184" s="938" t="s">
        <v>927</v>
      </c>
      <c r="B184" s="939"/>
      <c r="C184" s="939"/>
      <c r="D184" s="939"/>
      <c r="E184" s="940">
        <f t="shared" si="11"/>
        <v>0</v>
      </c>
    </row>
    <row r="185" spans="1:5" ht="14.25">
      <c r="A185" s="938" t="s">
        <v>928</v>
      </c>
      <c r="B185" s="939"/>
      <c r="C185" s="939"/>
      <c r="D185" s="939"/>
      <c r="E185" s="940">
        <f t="shared" si="11"/>
        <v>0</v>
      </c>
    </row>
    <row r="186" spans="1:5" ht="14.25">
      <c r="A186" s="951" t="s">
        <v>932</v>
      </c>
      <c r="B186" s="958"/>
      <c r="C186" s="939"/>
      <c r="D186" s="939"/>
      <c r="E186" s="940">
        <f t="shared" si="11"/>
        <v>0</v>
      </c>
    </row>
    <row r="187" spans="1:5" ht="14.25">
      <c r="A187" s="951"/>
      <c r="B187" s="939"/>
      <c r="C187" s="939"/>
      <c r="D187" s="939"/>
      <c r="E187" s="940">
        <f t="shared" si="11"/>
        <v>0</v>
      </c>
    </row>
    <row r="188" spans="1:5" ht="15" thickBot="1">
      <c r="A188" s="941"/>
      <c r="B188" s="952"/>
      <c r="C188" s="952"/>
      <c r="D188" s="952"/>
      <c r="E188" s="953">
        <f t="shared" si="11"/>
        <v>0</v>
      </c>
    </row>
    <row r="189" spans="1:5" ht="15" thickBot="1">
      <c r="A189" s="943" t="s">
        <v>444</v>
      </c>
      <c r="B189" s="944">
        <f>SUM(B182:B188)</f>
        <v>8256106</v>
      </c>
      <c r="C189" s="944">
        <f>SUM(C182:C188)</f>
        <v>8256106</v>
      </c>
      <c r="D189" s="944">
        <f>SUM(D182:D188)</f>
        <v>0</v>
      </c>
      <c r="E189" s="945">
        <f>SUM(E182:E188)</f>
        <v>16512212</v>
      </c>
    </row>
    <row r="190" spans="1:5" ht="14.25">
      <c r="A190" s="954"/>
      <c r="B190" s="954"/>
      <c r="C190" s="954"/>
      <c r="D190" s="954"/>
      <c r="E190" s="954"/>
    </row>
    <row r="191" spans="1:5" ht="14.25">
      <c r="A191" s="2280" t="s">
        <v>1075</v>
      </c>
      <c r="B191" s="2280"/>
      <c r="C191" s="2280"/>
      <c r="D191" s="2280"/>
      <c r="E191" s="2280"/>
    </row>
    <row r="192" spans="1:5" ht="15" thickBot="1">
      <c r="A192" s="954"/>
      <c r="B192" s="954"/>
      <c r="C192" s="954"/>
      <c r="D192" s="954"/>
      <c r="E192" s="954"/>
    </row>
    <row r="193" spans="1:5" ht="15" thickBot="1">
      <c r="A193" s="2281" t="s">
        <v>929</v>
      </c>
      <c r="B193" s="2281"/>
      <c r="C193" s="2281"/>
      <c r="D193" s="2282" t="s">
        <v>930</v>
      </c>
      <c r="E193" s="2282"/>
    </row>
    <row r="194" spans="1:5" ht="14.25">
      <c r="A194" s="2269"/>
      <c r="B194" s="2269"/>
      <c r="C194" s="2269"/>
      <c r="D194" s="2270"/>
      <c r="E194" s="2270"/>
    </row>
    <row r="195" spans="1:5" ht="15" thickBot="1">
      <c r="A195" s="2271"/>
      <c r="B195" s="2271"/>
      <c r="C195" s="2271"/>
      <c r="D195" s="2272"/>
      <c r="E195" s="2272"/>
    </row>
    <row r="196" spans="1:5" ht="15" thickBot="1">
      <c r="A196" s="2273" t="s">
        <v>444</v>
      </c>
      <c r="B196" s="2273"/>
      <c r="C196" s="2273"/>
      <c r="D196" s="2274">
        <f>SUM(D194:E195)</f>
        <v>0</v>
      </c>
      <c r="E196" s="2274"/>
    </row>
    <row r="197" spans="1:5" ht="14.25">
      <c r="A197" s="923"/>
      <c r="B197" s="923"/>
      <c r="C197" s="923"/>
      <c r="D197" s="923"/>
      <c r="E197" s="923" t="s">
        <v>913</v>
      </c>
    </row>
    <row r="198" spans="1:5" ht="14.25">
      <c r="A198" s="923"/>
      <c r="B198" s="923"/>
      <c r="C198" s="923"/>
      <c r="D198" s="923"/>
      <c r="E198" s="923"/>
    </row>
    <row r="199" spans="1:5" ht="14.25">
      <c r="A199" s="2275" t="s">
        <v>1295</v>
      </c>
      <c r="B199" s="2275"/>
      <c r="C199" s="2275"/>
      <c r="D199" s="2275"/>
      <c r="E199" s="2275"/>
    </row>
    <row r="200" spans="1:5" ht="15.75">
      <c r="A200" s="2276" t="s">
        <v>914</v>
      </c>
      <c r="B200" s="2276"/>
      <c r="C200" s="2276"/>
      <c r="D200" s="2276"/>
      <c r="E200" s="2276"/>
    </row>
    <row r="201" spans="1:5" ht="15.75">
      <c r="A201" s="924"/>
      <c r="B201" s="2283" t="s">
        <v>1296</v>
      </c>
      <c r="C201" s="2283"/>
      <c r="D201" s="2283"/>
      <c r="E201" s="1827" t="s">
        <v>519</v>
      </c>
    </row>
    <row r="202" spans="1:5" ht="34.5" customHeight="1">
      <c r="A202" s="2277" t="s">
        <v>915</v>
      </c>
      <c r="B202" s="2277"/>
      <c r="C202" s="2277"/>
      <c r="D202" s="2277"/>
      <c r="E202" s="2277"/>
    </row>
    <row r="203" spans="1:5" ht="38.25" customHeight="1" thickBot="1">
      <c r="A203" s="959" t="s">
        <v>916</v>
      </c>
      <c r="B203" s="2278" t="s">
        <v>1264</v>
      </c>
      <c r="C203" s="2279"/>
      <c r="D203" s="2279"/>
      <c r="E203" s="960" t="s">
        <v>214</v>
      </c>
    </row>
    <row r="204" spans="1:5" ht="15" thickBot="1">
      <c r="A204" s="947" t="s">
        <v>918</v>
      </c>
      <c r="B204" s="948">
        <v>2020</v>
      </c>
      <c r="C204" s="948">
        <v>2021</v>
      </c>
      <c r="D204" s="948" t="s">
        <v>1074</v>
      </c>
      <c r="E204" s="949" t="s">
        <v>25</v>
      </c>
    </row>
    <row r="205" spans="1:5" ht="14.25">
      <c r="A205" s="935" t="s">
        <v>919</v>
      </c>
      <c r="B205" s="936">
        <v>0</v>
      </c>
      <c r="C205" s="936"/>
      <c r="D205" s="936"/>
      <c r="E205" s="937">
        <f aca="true" t="shared" si="12" ref="E205:E210">SUM(B205:D205)</f>
        <v>0</v>
      </c>
    </row>
    <row r="206" spans="1:5" ht="14.25">
      <c r="A206" s="938" t="s">
        <v>920</v>
      </c>
      <c r="B206" s="939">
        <v>84202628</v>
      </c>
      <c r="C206" s="939"/>
      <c r="D206" s="939"/>
      <c r="E206" s="940">
        <f t="shared" si="12"/>
        <v>84202628</v>
      </c>
    </row>
    <row r="207" spans="1:5" ht="14.25">
      <c r="A207" s="938" t="s">
        <v>921</v>
      </c>
      <c r="B207" s="939"/>
      <c r="C207" s="939"/>
      <c r="D207" s="939"/>
      <c r="E207" s="940">
        <f t="shared" si="12"/>
        <v>0</v>
      </c>
    </row>
    <row r="208" spans="1:5" ht="14.25">
      <c r="A208" s="938" t="s">
        <v>922</v>
      </c>
      <c r="B208" s="939"/>
      <c r="C208" s="939"/>
      <c r="D208" s="939"/>
      <c r="E208" s="940">
        <f t="shared" si="12"/>
        <v>0</v>
      </c>
    </row>
    <row r="209" spans="1:5" ht="14.25">
      <c r="A209" s="938" t="s">
        <v>923</v>
      </c>
      <c r="B209" s="939"/>
      <c r="C209" s="939"/>
      <c r="D209" s="939"/>
      <c r="E209" s="940">
        <f t="shared" si="12"/>
        <v>0</v>
      </c>
    </row>
    <row r="210" spans="1:5" ht="15" thickBot="1">
      <c r="A210" s="941"/>
      <c r="B210" s="942"/>
      <c r="C210" s="942"/>
      <c r="D210" s="942"/>
      <c r="E210" s="940">
        <f t="shared" si="12"/>
        <v>0</v>
      </c>
    </row>
    <row r="211" spans="1:5" ht="15" thickBot="1">
      <c r="A211" s="943" t="s">
        <v>918</v>
      </c>
      <c r="B211" s="944">
        <f>B205+SUM(B206:B210)</f>
        <v>84202628</v>
      </c>
      <c r="C211" s="944">
        <f>C205+SUM(C206:C210)</f>
        <v>0</v>
      </c>
      <c r="D211" s="944">
        <f>D205+SUM(D206:D210)</f>
        <v>0</v>
      </c>
      <c r="E211" s="945">
        <f>E205+SUM(E206:E210)</f>
        <v>84202628</v>
      </c>
    </row>
    <row r="212" spans="1:5" ht="15" thickBot="1">
      <c r="A212" s="946"/>
      <c r="B212" s="946"/>
      <c r="C212" s="946"/>
      <c r="D212" s="946"/>
      <c r="E212" s="946"/>
    </row>
    <row r="213" spans="1:5" ht="15" thickBot="1">
      <c r="A213" s="947" t="s">
        <v>924</v>
      </c>
      <c r="B213" s="948">
        <v>2020</v>
      </c>
      <c r="C213" s="948">
        <v>2021</v>
      </c>
      <c r="D213" s="948" t="s">
        <v>1074</v>
      </c>
      <c r="E213" s="949" t="s">
        <v>25</v>
      </c>
    </row>
    <row r="214" spans="1:5" ht="14.25">
      <c r="A214" s="935" t="s">
        <v>925</v>
      </c>
      <c r="B214" s="936"/>
      <c r="C214" s="936">
        <v>1559308</v>
      </c>
      <c r="D214" s="936"/>
      <c r="E214" s="937">
        <f aca="true" t="shared" si="13" ref="E214:E220">SUM(B214:D214)</f>
        <v>1559308</v>
      </c>
    </row>
    <row r="215" spans="1:5" ht="14.25">
      <c r="A215" s="950" t="s">
        <v>926</v>
      </c>
      <c r="B215" s="939">
        <v>1435300</v>
      </c>
      <c r="C215" s="939">
        <v>72787755</v>
      </c>
      <c r="D215" s="939"/>
      <c r="E215" s="940">
        <f t="shared" si="13"/>
        <v>74223055</v>
      </c>
    </row>
    <row r="216" spans="1:5" ht="14.25">
      <c r="A216" s="938" t="s">
        <v>927</v>
      </c>
      <c r="B216" s="939">
        <v>0</v>
      </c>
      <c r="C216" s="939">
        <v>5301649</v>
      </c>
      <c r="D216" s="939"/>
      <c r="E216" s="940">
        <f t="shared" si="13"/>
        <v>5301649</v>
      </c>
    </row>
    <row r="217" spans="1:5" ht="14.25">
      <c r="A217" s="938" t="s">
        <v>928</v>
      </c>
      <c r="B217" s="939"/>
      <c r="C217" s="939"/>
      <c r="D217" s="939"/>
      <c r="E217" s="940">
        <f t="shared" si="13"/>
        <v>0</v>
      </c>
    </row>
    <row r="218" spans="1:5" ht="14.25">
      <c r="A218" s="951" t="s">
        <v>932</v>
      </c>
      <c r="B218" s="958"/>
      <c r="C218" s="939">
        <v>3118616</v>
      </c>
      <c r="D218" s="939"/>
      <c r="E218" s="940">
        <f t="shared" si="13"/>
        <v>3118616</v>
      </c>
    </row>
    <row r="219" spans="1:5" ht="14.25">
      <c r="A219" s="951"/>
      <c r="B219" s="939"/>
      <c r="C219" s="939"/>
      <c r="D219" s="939"/>
      <c r="E219" s="940">
        <f t="shared" si="13"/>
        <v>0</v>
      </c>
    </row>
    <row r="220" spans="1:5" ht="15" thickBot="1">
      <c r="A220" s="941"/>
      <c r="B220" s="952"/>
      <c r="C220" s="952"/>
      <c r="D220" s="952"/>
      <c r="E220" s="953">
        <f t="shared" si="13"/>
        <v>0</v>
      </c>
    </row>
    <row r="221" spans="1:5" ht="15" thickBot="1">
      <c r="A221" s="943" t="s">
        <v>444</v>
      </c>
      <c r="B221" s="944">
        <f>SUM(B214:B220)</f>
        <v>1435300</v>
      </c>
      <c r="C221" s="944">
        <f>SUM(C214:C220)</f>
        <v>82767328</v>
      </c>
      <c r="D221" s="944">
        <f>SUM(D214:D220)</f>
        <v>0</v>
      </c>
      <c r="E221" s="945">
        <f>SUM(E214:E220)</f>
        <v>84202628</v>
      </c>
    </row>
    <row r="222" spans="1:5" ht="14.25">
      <c r="A222" s="954"/>
      <c r="B222" s="954"/>
      <c r="C222" s="954"/>
      <c r="D222" s="954"/>
      <c r="E222" s="954"/>
    </row>
    <row r="223" spans="1:5" ht="14.25">
      <c r="A223" s="2280" t="s">
        <v>1075</v>
      </c>
      <c r="B223" s="2280"/>
      <c r="C223" s="2280"/>
      <c r="D223" s="2280"/>
      <c r="E223" s="2280"/>
    </row>
    <row r="224" spans="1:5" ht="15" thickBot="1">
      <c r="A224" s="954"/>
      <c r="B224" s="954"/>
      <c r="C224" s="954"/>
      <c r="D224" s="954"/>
      <c r="E224" s="954"/>
    </row>
    <row r="225" spans="1:5" ht="15" thickBot="1">
      <c r="A225" s="2281" t="s">
        <v>929</v>
      </c>
      <c r="B225" s="2281"/>
      <c r="C225" s="2281"/>
      <c r="D225" s="2282" t="s">
        <v>930</v>
      </c>
      <c r="E225" s="2282"/>
    </row>
    <row r="226" spans="1:5" ht="14.25">
      <c r="A226" s="2269"/>
      <c r="B226" s="2269"/>
      <c r="C226" s="2269"/>
      <c r="D226" s="2270"/>
      <c r="E226" s="2270"/>
    </row>
    <row r="227" spans="1:5" ht="15" thickBot="1">
      <c r="A227" s="2271"/>
      <c r="B227" s="2271"/>
      <c r="C227" s="2271"/>
      <c r="D227" s="2272"/>
      <c r="E227" s="2272"/>
    </row>
    <row r="228" spans="1:5" ht="15" thickBot="1">
      <c r="A228" s="2273" t="s">
        <v>444</v>
      </c>
      <c r="B228" s="2273"/>
      <c r="C228" s="2273"/>
      <c r="D228" s="2274">
        <f>SUM(D226:E227)</f>
        <v>0</v>
      </c>
      <c r="E228" s="2274"/>
    </row>
    <row r="229" spans="1:5" ht="14.25">
      <c r="A229" s="923"/>
      <c r="B229" s="923"/>
      <c r="C229" s="923"/>
      <c r="D229" s="923"/>
      <c r="E229" s="923" t="s">
        <v>913</v>
      </c>
    </row>
    <row r="230" spans="1:5" ht="14.25">
      <c r="A230" s="923"/>
      <c r="B230" s="923"/>
      <c r="C230" s="923"/>
      <c r="D230" s="923"/>
      <c r="E230" s="923"/>
    </row>
    <row r="231" spans="1:5" ht="14.25">
      <c r="A231" s="2275" t="s">
        <v>1295</v>
      </c>
      <c r="B231" s="2275"/>
      <c r="C231" s="2275"/>
      <c r="D231" s="2275"/>
      <c r="E231" s="2275"/>
    </row>
    <row r="232" spans="1:5" ht="15">
      <c r="A232" s="867"/>
      <c r="B232" s="2283" t="s">
        <v>1296</v>
      </c>
      <c r="C232" s="2283"/>
      <c r="D232" s="2283"/>
      <c r="E232" s="1827" t="s">
        <v>519</v>
      </c>
    </row>
    <row r="233" spans="1:5" ht="15.75">
      <c r="A233" s="2276" t="s">
        <v>914</v>
      </c>
      <c r="B233" s="2276"/>
      <c r="C233" s="2276"/>
      <c r="D233" s="2276"/>
      <c r="E233" s="2276"/>
    </row>
    <row r="234" spans="1:5" ht="44.25" customHeight="1">
      <c r="A234" s="2277" t="s">
        <v>915</v>
      </c>
      <c r="B234" s="2277"/>
      <c r="C234" s="2277"/>
      <c r="D234" s="2277"/>
      <c r="E234" s="2277"/>
    </row>
    <row r="235" spans="1:5" ht="36.75" customHeight="1" thickBot="1">
      <c r="A235" s="959" t="s">
        <v>916</v>
      </c>
      <c r="B235" s="2278" t="s">
        <v>1265</v>
      </c>
      <c r="C235" s="2279"/>
      <c r="D235" s="2279"/>
      <c r="E235" s="960" t="s">
        <v>214</v>
      </c>
    </row>
    <row r="236" spans="1:5" ht="15" thickBot="1">
      <c r="A236" s="947" t="s">
        <v>918</v>
      </c>
      <c r="B236" s="948">
        <v>2020</v>
      </c>
      <c r="C236" s="948">
        <v>2021</v>
      </c>
      <c r="D236" s="948" t="s">
        <v>1074</v>
      </c>
      <c r="E236" s="949" t="s">
        <v>25</v>
      </c>
    </row>
    <row r="237" spans="1:5" ht="14.25">
      <c r="A237" s="935" t="s">
        <v>919</v>
      </c>
      <c r="B237" s="936">
        <v>0</v>
      </c>
      <c r="C237" s="936"/>
      <c r="D237" s="936"/>
      <c r="E237" s="937">
        <f aca="true" t="shared" si="14" ref="E237:E242">SUM(B237:D237)</f>
        <v>0</v>
      </c>
    </row>
    <row r="238" spans="1:5" ht="14.25">
      <c r="A238" s="938" t="s">
        <v>920</v>
      </c>
      <c r="B238" s="939">
        <v>199148770</v>
      </c>
      <c r="C238" s="939"/>
      <c r="D238" s="939"/>
      <c r="E238" s="940">
        <f t="shared" si="14"/>
        <v>199148770</v>
      </c>
    </row>
    <row r="239" spans="1:5" ht="14.25">
      <c r="A239" s="938" t="s">
        <v>921</v>
      </c>
      <c r="B239" s="939"/>
      <c r="C239" s="939"/>
      <c r="D239" s="939"/>
      <c r="E239" s="940">
        <f t="shared" si="14"/>
        <v>0</v>
      </c>
    </row>
    <row r="240" spans="1:5" ht="14.25">
      <c r="A240" s="938" t="s">
        <v>922</v>
      </c>
      <c r="B240" s="939"/>
      <c r="C240" s="939"/>
      <c r="D240" s="939"/>
      <c r="E240" s="940">
        <f t="shared" si="14"/>
        <v>0</v>
      </c>
    </row>
    <row r="241" spans="1:5" ht="14.25">
      <c r="A241" s="938" t="s">
        <v>923</v>
      </c>
      <c r="B241" s="939"/>
      <c r="C241" s="939"/>
      <c r="D241" s="939"/>
      <c r="E241" s="940">
        <f t="shared" si="14"/>
        <v>0</v>
      </c>
    </row>
    <row r="242" spans="1:5" ht="15" thickBot="1">
      <c r="A242" s="941"/>
      <c r="B242" s="942"/>
      <c r="C242" s="942"/>
      <c r="D242" s="942"/>
      <c r="E242" s="940">
        <f t="shared" si="14"/>
        <v>0</v>
      </c>
    </row>
    <row r="243" spans="1:5" ht="15" thickBot="1">
      <c r="A243" s="943" t="s">
        <v>918</v>
      </c>
      <c r="B243" s="944">
        <f>B237+SUM(B238:B242)</f>
        <v>199148770</v>
      </c>
      <c r="C243" s="944">
        <f>C237+SUM(C238:C242)</f>
        <v>0</v>
      </c>
      <c r="D243" s="944">
        <f>D237+SUM(D238:D242)</f>
        <v>0</v>
      </c>
      <c r="E243" s="945">
        <f>E237+SUM(E238:E242)</f>
        <v>199148770</v>
      </c>
    </row>
    <row r="244" spans="1:5" ht="15" thickBot="1">
      <c r="A244" s="946"/>
      <c r="B244" s="946"/>
      <c r="C244" s="946"/>
      <c r="D244" s="946"/>
      <c r="E244" s="946"/>
    </row>
    <row r="245" spans="1:5" ht="15" thickBot="1">
      <c r="A245" s="947" t="s">
        <v>924</v>
      </c>
      <c r="B245" s="948">
        <v>2020</v>
      </c>
      <c r="C245" s="948">
        <v>2021</v>
      </c>
      <c r="D245" s="948" t="s">
        <v>1074</v>
      </c>
      <c r="E245" s="949" t="s">
        <v>25</v>
      </c>
    </row>
    <row r="246" spans="1:5" ht="14.25">
      <c r="A246" s="935" t="s">
        <v>925</v>
      </c>
      <c r="B246" s="936"/>
      <c r="C246" s="936">
        <v>3000000</v>
      </c>
      <c r="D246" s="936"/>
      <c r="E246" s="937">
        <f aca="true" t="shared" si="15" ref="E246:E252">SUM(B246:D246)</f>
        <v>3000000</v>
      </c>
    </row>
    <row r="247" spans="1:5" ht="14.25">
      <c r="A247" s="950" t="s">
        <v>926</v>
      </c>
      <c r="B247" s="939"/>
      <c r="C247" s="939">
        <v>194886525</v>
      </c>
      <c r="D247" s="939"/>
      <c r="E247" s="940">
        <f t="shared" si="15"/>
        <v>194886525</v>
      </c>
    </row>
    <row r="248" spans="1:5" ht="14.25">
      <c r="A248" s="938" t="s">
        <v>927</v>
      </c>
      <c r="B248" s="939"/>
      <c r="C248" s="939">
        <v>1262245</v>
      </c>
      <c r="D248" s="939"/>
      <c r="E248" s="940">
        <f t="shared" si="15"/>
        <v>1262245</v>
      </c>
    </row>
    <row r="249" spans="1:5" ht="14.25">
      <c r="A249" s="938" t="s">
        <v>928</v>
      </c>
      <c r="B249" s="939"/>
      <c r="C249" s="939"/>
      <c r="D249" s="939"/>
      <c r="E249" s="940">
        <f t="shared" si="15"/>
        <v>0</v>
      </c>
    </row>
    <row r="250" spans="1:5" ht="14.25">
      <c r="A250" s="951" t="s">
        <v>932</v>
      </c>
      <c r="B250" s="958"/>
      <c r="C250" s="939"/>
      <c r="D250" s="939"/>
      <c r="E250" s="940">
        <f t="shared" si="15"/>
        <v>0</v>
      </c>
    </row>
    <row r="251" spans="1:5" ht="14.25">
      <c r="A251" s="951"/>
      <c r="B251" s="939"/>
      <c r="C251" s="939"/>
      <c r="D251" s="939"/>
      <c r="E251" s="940">
        <f t="shared" si="15"/>
        <v>0</v>
      </c>
    </row>
    <row r="252" spans="1:5" ht="15" thickBot="1">
      <c r="A252" s="941"/>
      <c r="B252" s="952"/>
      <c r="C252" s="952"/>
      <c r="D252" s="952"/>
      <c r="E252" s="953">
        <f t="shared" si="15"/>
        <v>0</v>
      </c>
    </row>
    <row r="253" spans="1:5" ht="15" thickBot="1">
      <c r="A253" s="943" t="s">
        <v>444</v>
      </c>
      <c r="B253" s="944">
        <f>SUM(B246:B252)</f>
        <v>0</v>
      </c>
      <c r="C253" s="944">
        <f>SUM(C246:C252)</f>
        <v>199148770</v>
      </c>
      <c r="D253" s="944">
        <f>SUM(D246:D252)</f>
        <v>0</v>
      </c>
      <c r="E253" s="945">
        <f>SUM(E246:E252)</f>
        <v>199148770</v>
      </c>
    </row>
    <row r="254" spans="1:5" ht="14.25">
      <c r="A254" s="954"/>
      <c r="B254" s="954"/>
      <c r="C254" s="954"/>
      <c r="D254" s="954"/>
      <c r="E254" s="954"/>
    </row>
    <row r="255" spans="1:5" ht="14.25">
      <c r="A255" s="2280" t="s">
        <v>1075</v>
      </c>
      <c r="B255" s="2280"/>
      <c r="C255" s="2280"/>
      <c r="D255" s="2280"/>
      <c r="E255" s="2280"/>
    </row>
    <row r="256" spans="1:5" ht="15" thickBot="1">
      <c r="A256" s="954"/>
      <c r="B256" s="954"/>
      <c r="C256" s="954"/>
      <c r="D256" s="954"/>
      <c r="E256" s="954"/>
    </row>
    <row r="257" spans="1:5" ht="15" thickBot="1">
      <c r="A257" s="2281" t="s">
        <v>929</v>
      </c>
      <c r="B257" s="2281"/>
      <c r="C257" s="2281"/>
      <c r="D257" s="2282" t="s">
        <v>930</v>
      </c>
      <c r="E257" s="2282"/>
    </row>
    <row r="258" spans="1:5" ht="14.25">
      <c r="A258" s="2269"/>
      <c r="B258" s="2269"/>
      <c r="C258" s="2269"/>
      <c r="D258" s="2270"/>
      <c r="E258" s="2270"/>
    </row>
    <row r="259" spans="1:5" ht="15" thickBot="1">
      <c r="A259" s="2271"/>
      <c r="B259" s="2271"/>
      <c r="C259" s="2271"/>
      <c r="D259" s="2272"/>
      <c r="E259" s="2272"/>
    </row>
    <row r="260" spans="1:5" ht="15" thickBot="1">
      <c r="A260" s="2273" t="s">
        <v>444</v>
      </c>
      <c r="B260" s="2273"/>
      <c r="C260" s="2273"/>
      <c r="D260" s="2274">
        <f>SUM(D258:E259)</f>
        <v>0</v>
      </c>
      <c r="E260" s="2274"/>
    </row>
    <row r="261" spans="1:5" ht="14.25">
      <c r="A261" s="923"/>
      <c r="B261" s="923"/>
      <c r="C261" s="923"/>
      <c r="D261" s="923"/>
      <c r="E261" s="923" t="s">
        <v>913</v>
      </c>
    </row>
    <row r="262" spans="1:5" ht="14.25">
      <c r="A262" s="923"/>
      <c r="B262" s="923"/>
      <c r="C262" s="923"/>
      <c r="D262" s="923"/>
      <c r="E262" s="923"/>
    </row>
    <row r="263" spans="1:5" ht="14.25">
      <c r="A263" s="2275" t="s">
        <v>1295</v>
      </c>
      <c r="B263" s="2275"/>
      <c r="C263" s="2275"/>
      <c r="D263" s="2275"/>
      <c r="E263" s="2275"/>
    </row>
    <row r="264" spans="1:5" ht="15">
      <c r="A264" s="867"/>
      <c r="B264" s="2283" t="s">
        <v>1296</v>
      </c>
      <c r="C264" s="2283"/>
      <c r="D264" s="2283"/>
      <c r="E264" s="1827" t="s">
        <v>519</v>
      </c>
    </row>
    <row r="265" spans="1:5" ht="15.75">
      <c r="A265" s="2276" t="s">
        <v>914</v>
      </c>
      <c r="B265" s="2276"/>
      <c r="C265" s="2276"/>
      <c r="D265" s="2276"/>
      <c r="E265" s="2276"/>
    </row>
    <row r="266" spans="1:5" ht="36.75" customHeight="1">
      <c r="A266" s="2277" t="s">
        <v>915</v>
      </c>
      <c r="B266" s="2277"/>
      <c r="C266" s="2277"/>
      <c r="D266" s="2277"/>
      <c r="E266" s="2277"/>
    </row>
    <row r="267" spans="1:5" ht="15" thickBot="1">
      <c r="A267" s="959" t="s">
        <v>916</v>
      </c>
      <c r="B267" s="2278" t="s">
        <v>1266</v>
      </c>
      <c r="C267" s="2279"/>
      <c r="D267" s="2279"/>
      <c r="E267" s="960" t="s">
        <v>214</v>
      </c>
    </row>
    <row r="268" spans="1:5" ht="15" thickBot="1">
      <c r="A268" s="947" t="s">
        <v>918</v>
      </c>
      <c r="B268" s="948">
        <v>2020</v>
      </c>
      <c r="C268" s="948">
        <v>2021</v>
      </c>
      <c r="D268" s="948" t="s">
        <v>1074</v>
      </c>
      <c r="E268" s="949" t="s">
        <v>25</v>
      </c>
    </row>
    <row r="269" spans="1:5" ht="14.25">
      <c r="A269" s="935" t="s">
        <v>919</v>
      </c>
      <c r="B269" s="936">
        <v>0</v>
      </c>
      <c r="C269" s="936"/>
      <c r="D269" s="936"/>
      <c r="E269" s="937">
        <f aca="true" t="shared" si="16" ref="E269:E274">SUM(B269:D269)</f>
        <v>0</v>
      </c>
    </row>
    <row r="270" spans="1:5" ht="14.25">
      <c r="A270" s="938" t="s">
        <v>920</v>
      </c>
      <c r="B270" s="939">
        <v>4740505</v>
      </c>
      <c r="C270" s="939"/>
      <c r="D270" s="939"/>
      <c r="E270" s="940">
        <f t="shared" si="16"/>
        <v>4740505</v>
      </c>
    </row>
    <row r="271" spans="1:5" ht="14.25">
      <c r="A271" s="938" t="s">
        <v>921</v>
      </c>
      <c r="B271" s="939"/>
      <c r="C271" s="939"/>
      <c r="D271" s="939"/>
      <c r="E271" s="940">
        <f t="shared" si="16"/>
        <v>0</v>
      </c>
    </row>
    <row r="272" spans="1:5" ht="14.25">
      <c r="A272" s="938" t="s">
        <v>922</v>
      </c>
      <c r="B272" s="939"/>
      <c r="C272" s="939"/>
      <c r="D272" s="939"/>
      <c r="E272" s="940">
        <f t="shared" si="16"/>
        <v>0</v>
      </c>
    </row>
    <row r="273" spans="1:5" ht="14.25">
      <c r="A273" s="938" t="s">
        <v>923</v>
      </c>
      <c r="B273" s="939"/>
      <c r="C273" s="939"/>
      <c r="D273" s="939"/>
      <c r="E273" s="940">
        <f t="shared" si="16"/>
        <v>0</v>
      </c>
    </row>
    <row r="274" spans="1:5" ht="15" thickBot="1">
      <c r="A274" s="941"/>
      <c r="B274" s="942"/>
      <c r="C274" s="942"/>
      <c r="D274" s="942"/>
      <c r="E274" s="940">
        <f t="shared" si="16"/>
        <v>0</v>
      </c>
    </row>
    <row r="275" spans="1:5" ht="15" thickBot="1">
      <c r="A275" s="943" t="s">
        <v>918</v>
      </c>
      <c r="B275" s="944">
        <f>B269+SUM(B270:B274)</f>
        <v>4740505</v>
      </c>
      <c r="C275" s="944">
        <f>C269+SUM(C270:C274)</f>
        <v>0</v>
      </c>
      <c r="D275" s="944">
        <f>D269+SUM(D270:D274)</f>
        <v>0</v>
      </c>
      <c r="E275" s="945">
        <f>E269+SUM(E270:E274)</f>
        <v>4740505</v>
      </c>
    </row>
    <row r="276" spans="1:5" ht="15" thickBot="1">
      <c r="A276" s="946"/>
      <c r="B276" s="946"/>
      <c r="C276" s="946"/>
      <c r="D276" s="946"/>
      <c r="E276" s="946"/>
    </row>
    <row r="277" spans="1:5" ht="15" thickBot="1">
      <c r="A277" s="947" t="s">
        <v>924</v>
      </c>
      <c r="B277" s="948">
        <v>2020</v>
      </c>
      <c r="C277" s="948">
        <v>2021</v>
      </c>
      <c r="D277" s="948" t="s">
        <v>1074</v>
      </c>
      <c r="E277" s="949" t="s">
        <v>25</v>
      </c>
    </row>
    <row r="278" spans="1:5" ht="14.25">
      <c r="A278" s="935" t="s">
        <v>925</v>
      </c>
      <c r="B278" s="936"/>
      <c r="C278" s="936"/>
      <c r="D278" s="936"/>
      <c r="E278" s="937">
        <f aca="true" t="shared" si="17" ref="E278:E284">SUM(B278:D278)</f>
        <v>0</v>
      </c>
    </row>
    <row r="279" spans="1:5" ht="14.25">
      <c r="A279" s="950" t="s">
        <v>926</v>
      </c>
      <c r="B279" s="939">
        <v>4740505</v>
      </c>
      <c r="C279" s="939"/>
      <c r="D279" s="939"/>
      <c r="E279" s="940">
        <f t="shared" si="17"/>
        <v>4740505</v>
      </c>
    </row>
    <row r="280" spans="1:5" ht="14.25">
      <c r="A280" s="938" t="s">
        <v>927</v>
      </c>
      <c r="B280" s="939"/>
      <c r="C280" s="939"/>
      <c r="D280" s="939"/>
      <c r="E280" s="940">
        <f t="shared" si="17"/>
        <v>0</v>
      </c>
    </row>
    <row r="281" spans="1:5" ht="14.25">
      <c r="A281" s="938" t="s">
        <v>928</v>
      </c>
      <c r="B281" s="939"/>
      <c r="C281" s="939"/>
      <c r="D281" s="939"/>
      <c r="E281" s="940">
        <f t="shared" si="17"/>
        <v>0</v>
      </c>
    </row>
    <row r="282" spans="1:5" ht="14.25">
      <c r="A282" s="951" t="s">
        <v>932</v>
      </c>
      <c r="B282" s="958"/>
      <c r="C282" s="939"/>
      <c r="D282" s="939"/>
      <c r="E282" s="940">
        <f t="shared" si="17"/>
        <v>0</v>
      </c>
    </row>
    <row r="283" spans="1:5" ht="14.25">
      <c r="A283" s="951"/>
      <c r="B283" s="939"/>
      <c r="C283" s="939"/>
      <c r="D283" s="939"/>
      <c r="E283" s="940">
        <f t="shared" si="17"/>
        <v>0</v>
      </c>
    </row>
    <row r="284" spans="1:5" ht="15" thickBot="1">
      <c r="A284" s="941"/>
      <c r="B284" s="952"/>
      <c r="C284" s="952"/>
      <c r="D284" s="952"/>
      <c r="E284" s="953">
        <f t="shared" si="17"/>
        <v>0</v>
      </c>
    </row>
    <row r="285" spans="1:5" ht="15" thickBot="1">
      <c r="A285" s="943" t="s">
        <v>444</v>
      </c>
      <c r="B285" s="944">
        <f>SUM(B278:B284)</f>
        <v>4740505</v>
      </c>
      <c r="C285" s="944">
        <f>SUM(C278:C284)</f>
        <v>0</v>
      </c>
      <c r="D285" s="944">
        <f>SUM(D278:D284)</f>
        <v>0</v>
      </c>
      <c r="E285" s="945">
        <f>SUM(E278:E284)</f>
        <v>4740505</v>
      </c>
    </row>
    <row r="286" spans="1:5" ht="14.25">
      <c r="A286" s="954"/>
      <c r="B286" s="954"/>
      <c r="C286" s="954"/>
      <c r="D286" s="954"/>
      <c r="E286" s="954"/>
    </row>
    <row r="287" spans="1:5" ht="14.25">
      <c r="A287" s="2280" t="s">
        <v>1075</v>
      </c>
      <c r="B287" s="2280"/>
      <c r="C287" s="2280"/>
      <c r="D287" s="2280"/>
      <c r="E287" s="2280"/>
    </row>
    <row r="288" spans="1:5" ht="15" thickBot="1">
      <c r="A288" s="954"/>
      <c r="B288" s="954"/>
      <c r="C288" s="954"/>
      <c r="D288" s="954"/>
      <c r="E288" s="954"/>
    </row>
    <row r="289" spans="1:5" ht="15" thickBot="1">
      <c r="A289" s="2281" t="s">
        <v>929</v>
      </c>
      <c r="B289" s="2281"/>
      <c r="C289" s="2281"/>
      <c r="D289" s="2282" t="s">
        <v>930</v>
      </c>
      <c r="E289" s="2282"/>
    </row>
    <row r="290" spans="1:5" ht="14.25">
      <c r="A290" s="2269"/>
      <c r="B290" s="2269"/>
      <c r="C290" s="2269"/>
      <c r="D290" s="2270"/>
      <c r="E290" s="2270"/>
    </row>
    <row r="291" spans="1:5" ht="15" thickBot="1">
      <c r="A291" s="2271"/>
      <c r="B291" s="2271"/>
      <c r="C291" s="2271"/>
      <c r="D291" s="2272"/>
      <c r="E291" s="2272"/>
    </row>
    <row r="292" spans="1:5" ht="15" thickBot="1">
      <c r="A292" s="2273" t="s">
        <v>444</v>
      </c>
      <c r="B292" s="2273"/>
      <c r="C292" s="2273"/>
      <c r="D292" s="2274">
        <f>SUM(D290:E291)</f>
        <v>0</v>
      </c>
      <c r="E292" s="2274"/>
    </row>
  </sheetData>
  <sheetProtection selectLockedCells="1" selectUnlockedCells="1"/>
  <mergeCells count="126">
    <mergeCell ref="A290:C290"/>
    <mergeCell ref="D290:E290"/>
    <mergeCell ref="A291:C291"/>
    <mergeCell ref="D291:E291"/>
    <mergeCell ref="A292:C292"/>
    <mergeCell ref="D292:E292"/>
    <mergeCell ref="A263:E263"/>
    <mergeCell ref="A265:E265"/>
    <mergeCell ref="A266:E266"/>
    <mergeCell ref="B267:D267"/>
    <mergeCell ref="A287:E287"/>
    <mergeCell ref="A289:C289"/>
    <mergeCell ref="D289:E289"/>
    <mergeCell ref="B264:D264"/>
    <mergeCell ref="A258:C258"/>
    <mergeCell ref="D258:E258"/>
    <mergeCell ref="A259:C259"/>
    <mergeCell ref="D259:E259"/>
    <mergeCell ref="A260:C260"/>
    <mergeCell ref="D260:E260"/>
    <mergeCell ref="A231:E231"/>
    <mergeCell ref="A233:E233"/>
    <mergeCell ref="A234:E234"/>
    <mergeCell ref="B235:D235"/>
    <mergeCell ref="A255:E255"/>
    <mergeCell ref="A257:C257"/>
    <mergeCell ref="D257:E257"/>
    <mergeCell ref="B232:D232"/>
    <mergeCell ref="A226:C226"/>
    <mergeCell ref="D226:E226"/>
    <mergeCell ref="A227:C227"/>
    <mergeCell ref="D227:E227"/>
    <mergeCell ref="A228:C228"/>
    <mergeCell ref="D228:E228"/>
    <mergeCell ref="A199:E199"/>
    <mergeCell ref="A200:E200"/>
    <mergeCell ref="A202:E202"/>
    <mergeCell ref="B203:D203"/>
    <mergeCell ref="A223:E223"/>
    <mergeCell ref="A225:C225"/>
    <mergeCell ref="D225:E225"/>
    <mergeCell ref="B201:D201"/>
    <mergeCell ref="A194:C194"/>
    <mergeCell ref="D194:E194"/>
    <mergeCell ref="A195:C195"/>
    <mergeCell ref="D195:E195"/>
    <mergeCell ref="A196:C196"/>
    <mergeCell ref="D196:E196"/>
    <mergeCell ref="A167:E167"/>
    <mergeCell ref="A169:E169"/>
    <mergeCell ref="A170:E170"/>
    <mergeCell ref="B171:D171"/>
    <mergeCell ref="A191:E191"/>
    <mergeCell ref="A193:C193"/>
    <mergeCell ref="D193:E193"/>
    <mergeCell ref="B168:D168"/>
    <mergeCell ref="A162:C162"/>
    <mergeCell ref="D162:E162"/>
    <mergeCell ref="A163:C163"/>
    <mergeCell ref="D163:E163"/>
    <mergeCell ref="A164:C164"/>
    <mergeCell ref="D164:E164"/>
    <mergeCell ref="A135:E135"/>
    <mergeCell ref="A137:E137"/>
    <mergeCell ref="A138:E138"/>
    <mergeCell ref="B139:D139"/>
    <mergeCell ref="A159:E159"/>
    <mergeCell ref="A161:C161"/>
    <mergeCell ref="D161:E161"/>
    <mergeCell ref="B136:D136"/>
    <mergeCell ref="A3:E3"/>
    <mergeCell ref="A5:E5"/>
    <mergeCell ref="A6:E6"/>
    <mergeCell ref="B8:D8"/>
    <mergeCell ref="A28:E28"/>
    <mergeCell ref="A30:C30"/>
    <mergeCell ref="D30:E30"/>
    <mergeCell ref="B4:D4"/>
    <mergeCell ref="A31:C31"/>
    <mergeCell ref="D31:E31"/>
    <mergeCell ref="A32:C32"/>
    <mergeCell ref="D32:E32"/>
    <mergeCell ref="A33:C33"/>
    <mergeCell ref="D33:E33"/>
    <mergeCell ref="A37:E37"/>
    <mergeCell ref="A39:E39"/>
    <mergeCell ref="A40:E40"/>
    <mergeCell ref="B42:D42"/>
    <mergeCell ref="A62:E62"/>
    <mergeCell ref="A64:C64"/>
    <mergeCell ref="D64:E64"/>
    <mergeCell ref="B38:D38"/>
    <mergeCell ref="A65:C65"/>
    <mergeCell ref="D65:E65"/>
    <mergeCell ref="A66:C66"/>
    <mergeCell ref="D66:E66"/>
    <mergeCell ref="A67:C67"/>
    <mergeCell ref="D67:E67"/>
    <mergeCell ref="A71:E71"/>
    <mergeCell ref="A73:E73"/>
    <mergeCell ref="A74:E74"/>
    <mergeCell ref="B75:D75"/>
    <mergeCell ref="A95:E95"/>
    <mergeCell ref="A97:C97"/>
    <mergeCell ref="D97:E97"/>
    <mergeCell ref="B72:D72"/>
    <mergeCell ref="A98:C98"/>
    <mergeCell ref="D98:E98"/>
    <mergeCell ref="A99:C99"/>
    <mergeCell ref="D99:E99"/>
    <mergeCell ref="A100:C100"/>
    <mergeCell ref="D100:E100"/>
    <mergeCell ref="A103:E103"/>
    <mergeCell ref="A105:E105"/>
    <mergeCell ref="A106:E106"/>
    <mergeCell ref="B107:D107"/>
    <mergeCell ref="A127:E127"/>
    <mergeCell ref="A129:C129"/>
    <mergeCell ref="D129:E129"/>
    <mergeCell ref="B104:D104"/>
    <mergeCell ref="A130:C130"/>
    <mergeCell ref="D130:E130"/>
    <mergeCell ref="A131:C131"/>
    <mergeCell ref="D131:E131"/>
    <mergeCell ref="A132:C132"/>
    <mergeCell ref="D132:E132"/>
  </mergeCells>
  <conditionalFormatting sqref="B16:D16 E19:E26 B26:D26 D33:E34 E10:E16">
    <cfRule type="cellIs" priority="12" dxfId="0" operator="equal" stopIfTrue="1">
      <formula>0</formula>
    </cfRule>
  </conditionalFormatting>
  <conditionalFormatting sqref="B50:D50 E53:E60 B60:D60 D67:E68 E44:E50">
    <cfRule type="cellIs" priority="10" dxfId="0" operator="equal" stopIfTrue="1">
      <formula>0</formula>
    </cfRule>
  </conditionalFormatting>
  <conditionalFormatting sqref="B83:D83 E86:E93 B93:D93 D100:E100 E77:E83">
    <cfRule type="cellIs" priority="9" dxfId="0" operator="equal" stopIfTrue="1">
      <formula>0</formula>
    </cfRule>
  </conditionalFormatting>
  <conditionalFormatting sqref="B115:D115 E118:E125 B125:D125 D132:E132 E109:E115">
    <cfRule type="cellIs" priority="6" dxfId="0" operator="equal" stopIfTrue="1">
      <formula>0</formula>
    </cfRule>
  </conditionalFormatting>
  <conditionalFormatting sqref="B147:D147 E150:E157 B157:D157 D164:E164 E141:E147">
    <cfRule type="cellIs" priority="5" dxfId="0" operator="equal" stopIfTrue="1">
      <formula>0</formula>
    </cfRule>
  </conditionalFormatting>
  <conditionalFormatting sqref="B179:D179 E182:E189 B189:D189 D196:E196 E173:E179">
    <cfRule type="cellIs" priority="4" dxfId="0" operator="equal" stopIfTrue="1">
      <formula>0</formula>
    </cfRule>
  </conditionalFormatting>
  <conditionalFormatting sqref="B211:D211 E214:E221 B221:D221 D228:E228 E205:E211">
    <cfRule type="cellIs" priority="3" dxfId="0" operator="equal" stopIfTrue="1">
      <formula>0</formula>
    </cfRule>
  </conditionalFormatting>
  <conditionalFormatting sqref="B243:D243 E246:E253 B253:D253 D260:E260 E237:E243">
    <cfRule type="cellIs" priority="2" dxfId="0" operator="equal" stopIfTrue="1">
      <formula>0</formula>
    </cfRule>
  </conditionalFormatting>
  <conditionalFormatting sqref="B275:D275 E278:E285 B285:D285 D292:E292 E269:E275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r:id="rId1"/>
  <rowBreaks count="8" manualBreakCount="8">
    <brk id="34" max="4" man="1"/>
    <brk id="68" max="4" man="1"/>
    <brk id="100" max="4" man="1"/>
    <brk id="132" max="4" man="1"/>
    <brk id="164" max="4" man="1"/>
    <brk id="196" max="4" man="1"/>
    <brk id="228" max="4" man="1"/>
    <brk id="260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5"/>
  <sheetViews>
    <sheetView tabSelected="1" view="pageBreakPreview" zoomScale="130" zoomScaleSheetLayoutView="130" zoomScalePageLayoutView="0" workbookViewId="0" topLeftCell="A1">
      <selection activeCell="F14" sqref="F14"/>
    </sheetView>
  </sheetViews>
  <sheetFormatPr defaultColWidth="11.57421875" defaultRowHeight="12.75" customHeight="1"/>
  <cols>
    <col min="1" max="1" width="4.00390625" style="0" customWidth="1"/>
    <col min="2" max="2" width="3.28125" style="0" customWidth="1"/>
    <col min="3" max="3" width="46.57421875" style="0" customWidth="1"/>
    <col min="4" max="4" width="12.57421875" style="0" hidden="1" customWidth="1"/>
    <col min="5" max="10" width="18.00390625" style="52" customWidth="1"/>
  </cols>
  <sheetData>
    <row r="1" spans="1:10" ht="16.5" customHeight="1">
      <c r="A1" s="1979" t="s">
        <v>1295</v>
      </c>
      <c r="B1" s="1979"/>
      <c r="C1" s="1979"/>
      <c r="D1" s="1979"/>
      <c r="E1" s="1979"/>
      <c r="F1" s="1979"/>
      <c r="G1" s="1979"/>
      <c r="H1" s="1979"/>
      <c r="I1" s="1979"/>
      <c r="J1" s="1979"/>
    </row>
    <row r="2" spans="1:10" ht="12.75" customHeight="1">
      <c r="A2" s="2275"/>
      <c r="B2" s="2275"/>
      <c r="C2" s="2275"/>
      <c r="D2" s="2275"/>
      <c r="E2" s="2059" t="s">
        <v>1296</v>
      </c>
      <c r="F2" s="2059"/>
      <c r="G2" s="2059"/>
      <c r="H2"/>
      <c r="I2"/>
      <c r="J2"/>
    </row>
    <row r="3" spans="1:10" ht="18" customHeight="1">
      <c r="A3" s="2057" t="s">
        <v>554</v>
      </c>
      <c r="B3" s="2057"/>
      <c r="C3" s="2057"/>
      <c r="D3" s="2057"/>
      <c r="E3" s="2057"/>
      <c r="F3" s="2057"/>
      <c r="G3" s="2057"/>
      <c r="H3" s="2057"/>
      <c r="I3" s="2057"/>
      <c r="J3" s="2057"/>
    </row>
    <row r="4" spans="1:10" ht="24.75" customHeight="1">
      <c r="A4" s="2275" t="s">
        <v>555</v>
      </c>
      <c r="B4" s="2275"/>
      <c r="C4" s="2275"/>
      <c r="D4" s="2275"/>
      <c r="E4" s="2275"/>
      <c r="F4" s="2275"/>
      <c r="G4" s="2275"/>
      <c r="H4" s="2275"/>
      <c r="I4" s="2275"/>
      <c r="J4" s="2275"/>
    </row>
    <row r="5" spans="1:10" ht="24.75" customHeight="1">
      <c r="A5" s="2275"/>
      <c r="B5" s="2275"/>
      <c r="C5" s="2275"/>
      <c r="D5" s="2275"/>
      <c r="E5"/>
      <c r="F5"/>
      <c r="G5"/>
      <c r="H5"/>
      <c r="I5"/>
      <c r="J5"/>
    </row>
    <row r="6" spans="1:10" ht="12.75" customHeight="1" thickBot="1">
      <c r="A6" s="1882"/>
      <c r="B6" s="1882"/>
      <c r="C6" s="1882"/>
      <c r="D6" s="3"/>
      <c r="E6"/>
      <c r="F6"/>
      <c r="G6"/>
      <c r="H6"/>
      <c r="I6"/>
      <c r="J6" t="s">
        <v>214</v>
      </c>
    </row>
    <row r="7" spans="1:10" ht="39" customHeight="1">
      <c r="A7" s="2303" t="s">
        <v>156</v>
      </c>
      <c r="B7" s="2304"/>
      <c r="C7" s="2307" t="s">
        <v>157</v>
      </c>
      <c r="D7" s="2307"/>
      <c r="E7" s="557" t="s">
        <v>1071</v>
      </c>
      <c r="F7" s="557" t="s">
        <v>1072</v>
      </c>
      <c r="G7" s="557" t="s">
        <v>1157</v>
      </c>
      <c r="H7" s="557" t="s">
        <v>1178</v>
      </c>
      <c r="I7" s="557" t="s">
        <v>1250</v>
      </c>
      <c r="J7" s="557" t="s">
        <v>1267</v>
      </c>
    </row>
    <row r="8" spans="1:10" ht="12.75" customHeight="1" thickBot="1">
      <c r="A8" s="2305"/>
      <c r="B8" s="2306"/>
      <c r="C8" s="2308" t="s">
        <v>158</v>
      </c>
      <c r="D8" s="2308"/>
      <c r="E8" s="558" t="s">
        <v>159</v>
      </c>
      <c r="F8" s="558" t="s">
        <v>160</v>
      </c>
      <c r="G8" s="558" t="s">
        <v>161</v>
      </c>
      <c r="H8" s="558" t="s">
        <v>456</v>
      </c>
      <c r="I8" s="558" t="s">
        <v>476</v>
      </c>
      <c r="J8" s="558" t="s">
        <v>701</v>
      </c>
    </row>
    <row r="9" spans="1:10" s="10" customFormat="1" ht="12.75" customHeight="1">
      <c r="A9" s="457" t="s">
        <v>38</v>
      </c>
      <c r="B9" s="457" t="s">
        <v>164</v>
      </c>
      <c r="C9" s="556" t="s">
        <v>556</v>
      </c>
      <c r="D9" s="556"/>
      <c r="E9" s="431">
        <f aca="true" t="shared" si="0" ref="E9:J9">SUM(E10:E16)</f>
        <v>126778064</v>
      </c>
      <c r="F9" s="431">
        <f t="shared" si="0"/>
        <v>130626828</v>
      </c>
      <c r="G9" s="431">
        <f t="shared" si="0"/>
        <v>125047485</v>
      </c>
      <c r="H9" s="431">
        <f t="shared" si="0"/>
        <v>125334519</v>
      </c>
      <c r="I9" s="431">
        <f t="shared" si="0"/>
        <v>125334529</v>
      </c>
      <c r="J9" s="431">
        <f t="shared" si="0"/>
        <v>135099567</v>
      </c>
    </row>
    <row r="10" spans="1:10" ht="12.75" customHeight="1">
      <c r="A10" s="287" t="s">
        <v>40</v>
      </c>
      <c r="B10" s="287"/>
      <c r="C10" s="2289" t="s">
        <v>165</v>
      </c>
      <c r="D10" s="2289"/>
      <c r="E10" s="391">
        <f>SUM('15. Óvoda'!E9)</f>
        <v>90183</v>
      </c>
      <c r="F10" s="391">
        <f>SUM('15. Óvoda'!F9)</f>
        <v>0</v>
      </c>
      <c r="G10" s="391">
        <f>SUM('15. Óvoda'!G9)</f>
        <v>35340</v>
      </c>
      <c r="H10" s="391">
        <f>SUM('15. Óvoda'!H9)</f>
        <v>35340</v>
      </c>
      <c r="I10" s="391">
        <f>SUM('15. Óvoda'!I9)</f>
        <v>35340</v>
      </c>
      <c r="J10" s="391">
        <f>SUM('15. Óvoda'!J9)</f>
        <v>35340</v>
      </c>
    </row>
    <row r="11" spans="1:10" ht="12.75" customHeight="1">
      <c r="A11" s="287" t="s">
        <v>47</v>
      </c>
      <c r="B11" s="287"/>
      <c r="C11" s="2289" t="s">
        <v>78</v>
      </c>
      <c r="D11" s="2289"/>
      <c r="E11" s="391">
        <f>SUM('15. Óvoda'!E10)</f>
        <v>2523187</v>
      </c>
      <c r="F11" s="391">
        <f>SUM('15. Óvoda'!F10)</f>
        <v>2265000</v>
      </c>
      <c r="G11" s="391">
        <f>SUM('15. Óvoda'!G10)</f>
        <v>1824006</v>
      </c>
      <c r="H11" s="391">
        <f>SUM('15. Óvoda'!H10)</f>
        <v>2111040</v>
      </c>
      <c r="I11" s="391">
        <f>SUM('15. Óvoda'!I10)</f>
        <v>2111050</v>
      </c>
      <c r="J11" s="391">
        <f>SUM('15. Óvoda'!J10)</f>
        <v>2499228</v>
      </c>
    </row>
    <row r="12" spans="1:10" ht="12.75" customHeight="1">
      <c r="A12" s="287" t="s">
        <v>49</v>
      </c>
      <c r="B12" s="287"/>
      <c r="C12" s="909" t="s">
        <v>901</v>
      </c>
      <c r="D12" s="909"/>
      <c r="E12" s="391">
        <v>498111</v>
      </c>
      <c r="F12" s="391"/>
      <c r="G12" s="391"/>
      <c r="H12" s="391"/>
      <c r="I12" s="391"/>
      <c r="J12" s="391">
        <v>178500</v>
      </c>
    </row>
    <row r="13" spans="1:10" ht="12.75" customHeight="1">
      <c r="A13" s="287">
        <v>5</v>
      </c>
      <c r="B13" s="287"/>
      <c r="C13" s="2298" t="s">
        <v>225</v>
      </c>
      <c r="D13" s="2298"/>
      <c r="E13" s="391">
        <f>SUM('15. Óvoda'!E18)</f>
        <v>435505</v>
      </c>
      <c r="F13" s="391">
        <f>SUM('15. Óvoda'!F18)</f>
        <v>0</v>
      </c>
      <c r="G13" s="391">
        <f>SUM('15. Óvoda'!G18)</f>
        <v>0</v>
      </c>
      <c r="H13" s="391">
        <f>SUM('15. Óvoda'!H18)</f>
        <v>0</v>
      </c>
      <c r="I13" s="391">
        <f>SUM('15. Óvoda'!I18)</f>
        <v>0</v>
      </c>
      <c r="J13" s="391">
        <f>SUM('15. Óvoda'!J18)</f>
        <v>0</v>
      </c>
    </row>
    <row r="14" spans="1:10" ht="12.75" customHeight="1">
      <c r="A14" s="287" t="s">
        <v>53</v>
      </c>
      <c r="B14" s="287"/>
      <c r="C14" s="2292" t="s">
        <v>480</v>
      </c>
      <c r="D14" s="2293"/>
      <c r="E14" s="391">
        <f>SUM('15. Óvoda'!E21)</f>
        <v>122992661</v>
      </c>
      <c r="F14" s="391">
        <f>SUM('15. Óvoda'!F21)</f>
        <v>128168127</v>
      </c>
      <c r="G14" s="391">
        <f>SUM('15. Óvoda'!G21)</f>
        <v>122994438</v>
      </c>
      <c r="H14" s="391">
        <f>SUM('15. Óvoda'!H21)</f>
        <v>122994438</v>
      </c>
      <c r="I14" s="391">
        <f>SUM('15. Óvoda'!I21)</f>
        <v>122994438</v>
      </c>
      <c r="J14" s="391">
        <f>SUM('15. Óvoda'!J21)</f>
        <v>132192797</v>
      </c>
    </row>
    <row r="15" spans="1:10" ht="12.75" customHeight="1">
      <c r="A15" s="287" t="s">
        <v>55</v>
      </c>
      <c r="B15" s="287"/>
      <c r="C15" s="2298" t="s">
        <v>235</v>
      </c>
      <c r="D15" s="2298"/>
      <c r="E15" s="391">
        <f>SUM('15. Óvoda'!E24)</f>
        <v>238417</v>
      </c>
      <c r="F15" s="391">
        <f>SUM('15. Óvoda'!F24)</f>
        <v>193701</v>
      </c>
      <c r="G15" s="391">
        <f>SUM('15. Óvoda'!G24)</f>
        <v>193701</v>
      </c>
      <c r="H15" s="391">
        <f>SUM('15. Óvoda'!H24)</f>
        <v>193701</v>
      </c>
      <c r="I15" s="391">
        <f>SUM('15. Óvoda'!I24)</f>
        <v>193701</v>
      </c>
      <c r="J15" s="391">
        <f>SUM('15. Óvoda'!J24)</f>
        <v>193702</v>
      </c>
    </row>
    <row r="16" spans="1:10" ht="12.75" customHeight="1">
      <c r="A16" s="287" t="s">
        <v>57</v>
      </c>
      <c r="B16" s="287"/>
      <c r="C16" s="2292"/>
      <c r="D16" s="2293"/>
      <c r="E16" s="391"/>
      <c r="F16" s="391"/>
      <c r="G16" s="391"/>
      <c r="H16" s="391"/>
      <c r="I16" s="391"/>
      <c r="J16" s="391"/>
    </row>
    <row r="17" spans="1:10" s="214" customFormat="1" ht="12.75" customHeight="1">
      <c r="A17" s="388" t="s">
        <v>86</v>
      </c>
      <c r="B17" s="554" t="s">
        <v>166</v>
      </c>
      <c r="C17" s="501" t="s">
        <v>1010</v>
      </c>
      <c r="D17" s="501"/>
      <c r="E17" s="555">
        <f aca="true" t="shared" si="1" ref="E17:J17">SUM(E18:E21)</f>
        <v>26593210</v>
      </c>
      <c r="F17" s="555">
        <f t="shared" si="1"/>
        <v>28177406</v>
      </c>
      <c r="G17" s="555">
        <f t="shared" si="1"/>
        <v>24292792</v>
      </c>
      <c r="H17" s="555">
        <f t="shared" si="1"/>
        <v>24573582</v>
      </c>
      <c r="I17" s="555">
        <f t="shared" si="1"/>
        <v>24941277</v>
      </c>
      <c r="J17" s="555">
        <f t="shared" si="1"/>
        <v>23844027</v>
      </c>
    </row>
    <row r="18" spans="1:10" s="214" customFormat="1" ht="12.75" customHeight="1">
      <c r="A18" s="1337">
        <v>10</v>
      </c>
      <c r="B18" s="554"/>
      <c r="C18" s="2289" t="s">
        <v>165</v>
      </c>
      <c r="D18" s="2289"/>
      <c r="E18" s="1336">
        <v>56273</v>
      </c>
      <c r="F18" s="1336">
        <v>0</v>
      </c>
      <c r="G18" s="1336">
        <v>0</v>
      </c>
      <c r="H18" s="1336">
        <v>0</v>
      </c>
      <c r="I18" s="1336">
        <v>0</v>
      </c>
      <c r="J18" s="1336">
        <v>0</v>
      </c>
    </row>
    <row r="19" spans="1:10" ht="12.75" customHeight="1">
      <c r="A19" s="287" t="s">
        <v>61</v>
      </c>
      <c r="B19" s="287"/>
      <c r="C19" s="2289" t="s">
        <v>557</v>
      </c>
      <c r="D19" s="2289"/>
      <c r="E19" s="391">
        <f>SUM('16. Műv. ház'!E10)</f>
        <v>1277049</v>
      </c>
      <c r="F19" s="391">
        <f>SUM('16. Műv. ház'!F10)</f>
        <v>1277000</v>
      </c>
      <c r="G19" s="391">
        <f>SUM('16. Műv. ház'!G10)</f>
        <v>350000</v>
      </c>
      <c r="H19" s="391">
        <f>SUM('16. Műv. ház'!H10)</f>
        <v>400020</v>
      </c>
      <c r="I19" s="391">
        <f>SUM('16. Műv. ház'!I10)</f>
        <v>590018</v>
      </c>
      <c r="J19" s="391">
        <f>SUM('16. Műv. ház'!J10)</f>
        <v>702157</v>
      </c>
    </row>
    <row r="20" spans="1:10" ht="12.75" customHeight="1">
      <c r="A20" s="287" t="s">
        <v>63</v>
      </c>
      <c r="B20" s="287"/>
      <c r="C20" s="2298" t="s">
        <v>480</v>
      </c>
      <c r="D20" s="2298"/>
      <c r="E20" s="391">
        <f>SUM('16. Műv. ház'!E15)</f>
        <v>24938230</v>
      </c>
      <c r="F20" s="391">
        <f>SUM('16. Műv. ház'!F15)</f>
        <v>26630663</v>
      </c>
      <c r="G20" s="391">
        <f>SUM('16. Műv. ház'!G15)</f>
        <v>23673049</v>
      </c>
      <c r="H20" s="391">
        <f>SUM('16. Műv. ház'!H15)</f>
        <v>23903819</v>
      </c>
      <c r="I20" s="391">
        <f>SUM('16. Műv. ház'!I15)</f>
        <v>24081516</v>
      </c>
      <c r="J20" s="391">
        <f>SUM('16. Műv. ház'!J15)</f>
        <v>22872127</v>
      </c>
    </row>
    <row r="21" spans="1:10" ht="12.75" customHeight="1">
      <c r="A21" s="287" t="s">
        <v>65</v>
      </c>
      <c r="B21" s="287"/>
      <c r="C21" s="2298" t="s">
        <v>235</v>
      </c>
      <c r="D21" s="2298"/>
      <c r="E21" s="391">
        <f>SUM('16. Műv. ház'!E18)</f>
        <v>321658</v>
      </c>
      <c r="F21" s="391">
        <f>SUM('16. Műv. ház'!F18)</f>
        <v>269743</v>
      </c>
      <c r="G21" s="391">
        <f>SUM('16. Műv. ház'!G18)</f>
        <v>269743</v>
      </c>
      <c r="H21" s="391">
        <f>SUM('16. Műv. ház'!H18)</f>
        <v>269743</v>
      </c>
      <c r="I21" s="391">
        <f>SUM('16. Műv. ház'!I18)</f>
        <v>269743</v>
      </c>
      <c r="J21" s="391">
        <f>SUM('16. Műv. ház'!J18)</f>
        <v>269743</v>
      </c>
    </row>
    <row r="22" spans="1:10" ht="12.75" customHeight="1">
      <c r="A22" s="287" t="s">
        <v>92</v>
      </c>
      <c r="B22" s="287"/>
      <c r="C22" s="2292"/>
      <c r="D22" s="2293"/>
      <c r="E22" s="391"/>
      <c r="F22" s="391"/>
      <c r="G22" s="391"/>
      <c r="H22" s="391"/>
      <c r="I22" s="391"/>
      <c r="J22" s="391"/>
    </row>
    <row r="23" spans="1:10" s="214" customFormat="1" ht="12.75" customHeight="1">
      <c r="A23" s="388" t="s">
        <v>66</v>
      </c>
      <c r="B23" s="554" t="s">
        <v>173</v>
      </c>
      <c r="C23" s="2299" t="s">
        <v>305</v>
      </c>
      <c r="D23" s="2300"/>
      <c r="E23" s="555">
        <f aca="true" t="shared" si="2" ref="E23:J23">SUM(E24:E28)</f>
        <v>87653371</v>
      </c>
      <c r="F23" s="555">
        <f t="shared" si="2"/>
        <v>99218452</v>
      </c>
      <c r="G23" s="555">
        <f t="shared" si="2"/>
        <v>105488509</v>
      </c>
      <c r="H23" s="555">
        <f t="shared" si="2"/>
        <v>105488532</v>
      </c>
      <c r="I23" s="555">
        <f t="shared" si="2"/>
        <v>105488541</v>
      </c>
      <c r="J23" s="555">
        <f t="shared" si="2"/>
        <v>101211543</v>
      </c>
    </row>
    <row r="24" spans="1:10" ht="12.75" customHeight="1">
      <c r="A24" s="287" t="s">
        <v>67</v>
      </c>
      <c r="B24" s="287"/>
      <c r="C24" s="2289" t="s">
        <v>557</v>
      </c>
      <c r="D24" s="2289"/>
      <c r="E24" s="391">
        <f>SUM('17. Hivatal'!E10)</f>
        <v>2096933</v>
      </c>
      <c r="F24" s="391">
        <f>SUM('17. Hivatal'!F10)</f>
        <v>2071000</v>
      </c>
      <c r="G24" s="391">
        <f>SUM('17. Hivatal'!G10)</f>
        <v>2000008</v>
      </c>
      <c r="H24" s="391">
        <f>SUM('17. Hivatal'!H10)</f>
        <v>2000031</v>
      </c>
      <c r="I24" s="391">
        <f>SUM('17. Hivatal'!I10)</f>
        <v>1900040</v>
      </c>
      <c r="J24" s="391">
        <f>SUM('17. Hivatal'!J10)</f>
        <v>1329246</v>
      </c>
    </row>
    <row r="25" spans="1:10" ht="12.75" customHeight="1">
      <c r="A25" s="287" t="s">
        <v>68</v>
      </c>
      <c r="B25" s="287"/>
      <c r="C25" s="2289" t="s">
        <v>185</v>
      </c>
      <c r="D25" s="2289"/>
      <c r="E25" s="391">
        <f>SUM('17. Hivatal'!E19)</f>
        <v>3143412</v>
      </c>
      <c r="F25" s="391">
        <f>SUM('17. Hivatal'!F19)</f>
        <v>0</v>
      </c>
      <c r="G25" s="391">
        <f>SUM('17. Hivatal'!G19)</f>
        <v>0</v>
      </c>
      <c r="H25" s="391">
        <f>SUM('17. Hivatal'!H19)</f>
        <v>0</v>
      </c>
      <c r="I25" s="391">
        <f>SUM('17. Hivatal'!I19)</f>
        <v>0</v>
      </c>
      <c r="J25" s="391">
        <f>SUM('17. Hivatal'!J19)</f>
        <v>0</v>
      </c>
    </row>
    <row r="26" spans="1:10" ht="12.75" customHeight="1">
      <c r="A26" s="287" t="s">
        <v>70</v>
      </c>
      <c r="B26" s="287"/>
      <c r="C26" s="909" t="s">
        <v>174</v>
      </c>
      <c r="D26" s="909"/>
      <c r="E26" s="391"/>
      <c r="F26" s="391"/>
      <c r="G26" s="391"/>
      <c r="H26" s="391"/>
      <c r="I26" s="391">
        <f>SUM('17. Hivatal'!I17)</f>
        <v>100000</v>
      </c>
      <c r="J26" s="391">
        <f>SUM('17. Hivatal'!J17)</f>
        <v>145000</v>
      </c>
    </row>
    <row r="27" spans="1:10" ht="12.75" customHeight="1">
      <c r="A27" s="287" t="s">
        <v>97</v>
      </c>
      <c r="B27" s="287"/>
      <c r="C27" s="2298" t="s">
        <v>480</v>
      </c>
      <c r="D27" s="2298"/>
      <c r="E27" s="391">
        <f>SUM('17. Hivatal'!E24)</f>
        <v>82145676</v>
      </c>
      <c r="F27" s="391">
        <f>SUM('17. Hivatal'!F24)</f>
        <v>96944100</v>
      </c>
      <c r="G27" s="391">
        <f>SUM('17. Hivatal'!G24)</f>
        <v>103285149</v>
      </c>
      <c r="H27" s="391">
        <f>SUM('17. Hivatal'!H24)</f>
        <v>103285149</v>
      </c>
      <c r="I27" s="391">
        <f>SUM('17. Hivatal'!I24)</f>
        <v>103285149</v>
      </c>
      <c r="J27" s="391">
        <f>SUM('17. Hivatal'!J24)</f>
        <v>99534945</v>
      </c>
    </row>
    <row r="28" spans="1:10" ht="12.75" customHeight="1">
      <c r="A28" s="287" t="s">
        <v>99</v>
      </c>
      <c r="B28" s="287"/>
      <c r="C28" s="2298" t="s">
        <v>235</v>
      </c>
      <c r="D28" s="2298"/>
      <c r="E28" s="391">
        <f>SUM('17. Hivatal'!E23)</f>
        <v>267350</v>
      </c>
      <c r="F28" s="391">
        <f>SUM('17. Hivatal'!F23)</f>
        <v>203352</v>
      </c>
      <c r="G28" s="391">
        <f>SUM('17. Hivatal'!G23)</f>
        <v>203352</v>
      </c>
      <c r="H28" s="391">
        <f>SUM('17. Hivatal'!H23)</f>
        <v>203352</v>
      </c>
      <c r="I28" s="391">
        <f>SUM('17. Hivatal'!I23)</f>
        <v>203352</v>
      </c>
      <c r="J28" s="391">
        <f>SUM('17. Hivatal'!J23)</f>
        <v>202352</v>
      </c>
    </row>
    <row r="29" spans="1:10" ht="12.75" customHeight="1">
      <c r="A29" s="287" t="s">
        <v>101</v>
      </c>
      <c r="B29" s="287"/>
      <c r="C29" s="2292"/>
      <c r="D29" s="2293"/>
      <c r="E29" s="391"/>
      <c r="F29" s="391"/>
      <c r="G29" s="391"/>
      <c r="H29" s="391"/>
      <c r="I29" s="391"/>
      <c r="J29" s="391"/>
    </row>
    <row r="30" spans="1:10" s="10" customFormat="1" ht="12.75" customHeight="1">
      <c r="A30" s="388" t="s">
        <v>103</v>
      </c>
      <c r="B30" s="388" t="s">
        <v>182</v>
      </c>
      <c r="C30" s="1998" t="s">
        <v>898</v>
      </c>
      <c r="D30" s="1999"/>
      <c r="E30" s="406">
        <f aca="true" t="shared" si="3" ref="E30:J30">SUM(E31:E34)</f>
        <v>97428352</v>
      </c>
      <c r="F30" s="406">
        <f t="shared" si="3"/>
        <v>103172725</v>
      </c>
      <c r="G30" s="406">
        <f t="shared" si="3"/>
        <v>100032622</v>
      </c>
      <c r="H30" s="406">
        <f t="shared" si="3"/>
        <v>100095654</v>
      </c>
      <c r="I30" s="406">
        <f t="shared" si="3"/>
        <v>101529210</v>
      </c>
      <c r="J30" s="406">
        <f t="shared" si="3"/>
        <v>116840128</v>
      </c>
    </row>
    <row r="31" spans="1:10" ht="12.75" customHeight="1">
      <c r="A31" s="287" t="s">
        <v>105</v>
      </c>
      <c r="B31" s="287"/>
      <c r="C31" s="805" t="s">
        <v>165</v>
      </c>
      <c r="D31" s="806"/>
      <c r="E31" s="391">
        <f>SUM('18. VÜKI'!E10)</f>
        <v>1090635</v>
      </c>
      <c r="F31" s="391">
        <f>SUM('18. VÜKI'!F10)</f>
        <v>0</v>
      </c>
      <c r="G31" s="391">
        <f>SUM('18. VÜKI'!G10)</f>
        <v>0</v>
      </c>
      <c r="H31" s="391">
        <f>SUM('18. VÜKI'!H10)</f>
        <v>0</v>
      </c>
      <c r="I31" s="391">
        <f>SUM('18. VÜKI'!I10)</f>
        <v>1387847</v>
      </c>
      <c r="J31" s="391">
        <f>SUM('18. VÜKI'!J10)</f>
        <v>1387847</v>
      </c>
    </row>
    <row r="32" spans="1:10" ht="12.75" customHeight="1">
      <c r="A32" s="287" t="s">
        <v>107</v>
      </c>
      <c r="B32" s="287"/>
      <c r="C32" s="2289" t="s">
        <v>557</v>
      </c>
      <c r="D32" s="2289"/>
      <c r="E32" s="391">
        <f>SUM('18. VÜKI'!E12)</f>
        <v>24961549</v>
      </c>
      <c r="F32" s="391">
        <f>SUM('18. VÜKI'!F12)</f>
        <v>24947500</v>
      </c>
      <c r="G32" s="391">
        <f>SUM('18. VÜKI'!G12)</f>
        <v>21773674</v>
      </c>
      <c r="H32" s="391">
        <f>SUM('18. VÜKI'!H12)</f>
        <v>21773727</v>
      </c>
      <c r="I32" s="391">
        <f>SUM('18. VÜKI'!I12)</f>
        <v>21773777</v>
      </c>
      <c r="J32" s="391">
        <f>SUM('18. VÜKI'!J12)</f>
        <v>37365910</v>
      </c>
    </row>
    <row r="33" spans="1:10" ht="12.75" customHeight="1">
      <c r="A33" s="287" t="s">
        <v>109</v>
      </c>
      <c r="B33" s="287"/>
      <c r="C33" s="2296" t="s">
        <v>480</v>
      </c>
      <c r="D33" s="2297"/>
      <c r="E33" s="391">
        <f>SUM('18. VÜKI'!E22)</f>
        <v>70028771</v>
      </c>
      <c r="F33" s="391">
        <f>SUM('18. VÜKI'!F22)</f>
        <v>77694289</v>
      </c>
      <c r="G33" s="391">
        <f>SUM('18. VÜKI'!G22)</f>
        <v>77728012</v>
      </c>
      <c r="H33" s="391">
        <f>SUM('18. VÜKI'!H22)</f>
        <v>77790991</v>
      </c>
      <c r="I33" s="391">
        <f>SUM('18. VÜKI'!I22)</f>
        <v>77836650</v>
      </c>
      <c r="J33" s="391">
        <f>SUM('18. VÜKI'!J22)</f>
        <v>77555435</v>
      </c>
    </row>
    <row r="34" spans="1:10" ht="12.75" customHeight="1">
      <c r="A34" s="287" t="s">
        <v>111</v>
      </c>
      <c r="B34" s="287"/>
      <c r="C34" s="2292" t="s">
        <v>235</v>
      </c>
      <c r="D34" s="2293"/>
      <c r="E34" s="391">
        <f>SUM('18. VÜKI'!E21)</f>
        <v>1347397</v>
      </c>
      <c r="F34" s="391">
        <f>SUM('18. VÜKI'!F21)</f>
        <v>530936</v>
      </c>
      <c r="G34" s="391">
        <f>SUM('18. VÜKI'!G21)</f>
        <v>530936</v>
      </c>
      <c r="H34" s="391">
        <f>SUM('18. VÜKI'!H21)</f>
        <v>530936</v>
      </c>
      <c r="I34" s="391">
        <f>SUM('18. VÜKI'!I21)</f>
        <v>530936</v>
      </c>
      <c r="J34" s="391">
        <f>SUM('18. VÜKI'!J21)</f>
        <v>530936</v>
      </c>
    </row>
    <row r="35" spans="1:10" ht="12.75" customHeight="1">
      <c r="A35" s="287" t="s">
        <v>113</v>
      </c>
      <c r="B35" s="287"/>
      <c r="C35" s="2292"/>
      <c r="D35" s="2293"/>
      <c r="E35" s="391"/>
      <c r="F35" s="391"/>
      <c r="G35" s="391"/>
      <c r="H35" s="391"/>
      <c r="I35" s="391"/>
      <c r="J35" s="391"/>
    </row>
    <row r="36" spans="1:10" ht="12.75" customHeight="1">
      <c r="A36" s="388" t="s">
        <v>115</v>
      </c>
      <c r="B36" s="388" t="s">
        <v>183</v>
      </c>
      <c r="C36" s="1998" t="s">
        <v>899</v>
      </c>
      <c r="D36" s="1999"/>
      <c r="E36" s="406">
        <f aca="true" t="shared" si="4" ref="E36:J36">SUM(E37:E46)</f>
        <v>1242677868</v>
      </c>
      <c r="F36" s="406">
        <f t="shared" si="4"/>
        <v>949855995</v>
      </c>
      <c r="G36" s="406">
        <f t="shared" si="4"/>
        <v>1139563474</v>
      </c>
      <c r="H36" s="406">
        <f t="shared" si="4"/>
        <v>1178285678</v>
      </c>
      <c r="I36" s="406">
        <f t="shared" si="4"/>
        <v>1179148216</v>
      </c>
      <c r="J36" s="406">
        <f t="shared" si="4"/>
        <v>1284499498</v>
      </c>
    </row>
    <row r="37" spans="1:10" ht="29.25" customHeight="1">
      <c r="A37" s="287" t="s">
        <v>117</v>
      </c>
      <c r="B37" s="287"/>
      <c r="C37" s="2295" t="s">
        <v>165</v>
      </c>
      <c r="D37" s="2295"/>
      <c r="E37" s="391">
        <f>SUM('19 önkormányzat'!E22)</f>
        <v>242721409</v>
      </c>
      <c r="F37" s="391">
        <f>SUM('19 önkormányzat'!F22)</f>
        <v>206548258</v>
      </c>
      <c r="G37" s="391">
        <f>SUM('19 önkormányzat'!G22)</f>
        <v>221804558</v>
      </c>
      <c r="H37" s="391">
        <f>SUM('19 önkormányzat'!H22)</f>
        <v>233723592</v>
      </c>
      <c r="I37" s="391">
        <f>SUM('19 önkormányzat'!I22)</f>
        <v>235893089</v>
      </c>
      <c r="J37" s="391">
        <f>SUM('19 önkormányzat'!J22)</f>
        <v>244702426</v>
      </c>
    </row>
    <row r="38" spans="1:10" ht="12.75" customHeight="1">
      <c r="A38" s="287" t="s">
        <v>118</v>
      </c>
      <c r="B38" s="287"/>
      <c r="C38" s="2289" t="s">
        <v>167</v>
      </c>
      <c r="D38" s="2289"/>
      <c r="E38" s="391">
        <f>SUM('19 önkormányzat'!E23)</f>
        <v>86558434</v>
      </c>
      <c r="F38" s="391">
        <f>SUM('19 önkormányzat'!F23)</f>
        <v>0</v>
      </c>
      <c r="G38" s="391">
        <f>SUM('19 önkormányzat'!G23)</f>
        <v>204583492</v>
      </c>
      <c r="H38" s="391">
        <f>SUM('19 önkormányzat'!H23)</f>
        <v>225628568</v>
      </c>
      <c r="I38" s="391">
        <f>SUM('19 önkormányzat'!I23)</f>
        <v>225628568</v>
      </c>
      <c r="J38" s="391">
        <f>SUM('19 önkormányzat'!J23)</f>
        <v>243628561</v>
      </c>
    </row>
    <row r="39" spans="1:10" ht="12.75" customHeight="1">
      <c r="A39" s="287" t="s">
        <v>120</v>
      </c>
      <c r="B39" s="287"/>
      <c r="C39" s="2289" t="s">
        <v>174</v>
      </c>
      <c r="D39" s="2289"/>
      <c r="E39" s="391">
        <f>SUM('19 önkormányzat'!E37)</f>
        <v>197268452</v>
      </c>
      <c r="F39" s="391">
        <f>SUM('19 önkormányzat'!F37)</f>
        <v>187950000</v>
      </c>
      <c r="G39" s="391">
        <f>SUM('19 önkormányzat'!G37)</f>
        <v>156949463</v>
      </c>
      <c r="H39" s="391">
        <f>SUM('19 önkormányzat'!H37)</f>
        <v>157049463</v>
      </c>
      <c r="I39" s="391">
        <f>SUM('19 önkormányzat'!I37)</f>
        <v>157049463</v>
      </c>
      <c r="J39" s="391">
        <f>SUM('19 önkormányzat'!J37)</f>
        <v>157053408</v>
      </c>
    </row>
    <row r="40" spans="1:10" ht="30" customHeight="1">
      <c r="A40" s="287" t="s">
        <v>122</v>
      </c>
      <c r="B40" s="287"/>
      <c r="C40" s="2289" t="s">
        <v>78</v>
      </c>
      <c r="D40" s="2289"/>
      <c r="E40" s="391">
        <f>SUM('19 önkormányzat'!E46)</f>
        <v>22606514</v>
      </c>
      <c r="F40" s="391">
        <f>SUM('19 önkormányzat'!F46)</f>
        <v>21019000</v>
      </c>
      <c r="G40" s="391">
        <f>SUM('19 önkormányzat'!G46)</f>
        <v>18829026</v>
      </c>
      <c r="H40" s="391">
        <f>SUM('19 önkormányzat'!H46)</f>
        <v>17000100</v>
      </c>
      <c r="I40" s="391">
        <f>SUM('19 önkormányzat'!I46)</f>
        <v>15550100</v>
      </c>
      <c r="J40" s="391">
        <f>SUM('19 önkormányzat'!J46)</f>
        <v>19632098</v>
      </c>
    </row>
    <row r="41" spans="1:10" ht="42" customHeight="1">
      <c r="A41" s="287" t="s">
        <v>124</v>
      </c>
      <c r="B41" s="287"/>
      <c r="C41" s="2289" t="s">
        <v>13</v>
      </c>
      <c r="D41" s="2289"/>
      <c r="E41" s="391">
        <f>SUM('19 önkormányzat'!E47)</f>
        <v>31616633</v>
      </c>
      <c r="F41" s="391">
        <f>SUM('19 önkormányzat'!F47)</f>
        <v>14000000</v>
      </c>
      <c r="G41" s="391">
        <f>SUM('19 önkormányzat'!G47)</f>
        <v>16968160</v>
      </c>
      <c r="H41" s="391">
        <f>SUM('19 önkormányzat'!H47)</f>
        <v>22893160</v>
      </c>
      <c r="I41" s="391">
        <f>SUM('19 önkormányzat'!I47)</f>
        <v>22893160</v>
      </c>
      <c r="J41" s="391">
        <f>SUM('19 önkormányzat'!J47)</f>
        <v>31357376</v>
      </c>
    </row>
    <row r="42" spans="1:10" ht="12.75" customHeight="1">
      <c r="A42" s="287" t="s">
        <v>126</v>
      </c>
      <c r="B42" s="287"/>
      <c r="C42" s="2289" t="s">
        <v>185</v>
      </c>
      <c r="D42" s="2289"/>
      <c r="E42" s="391">
        <f>SUM('19 önkormányzat'!E62)</f>
        <v>1117184</v>
      </c>
      <c r="F42" s="391">
        <f>SUM('19 önkormányzat'!F62)</f>
        <v>78000</v>
      </c>
      <c r="G42" s="391">
        <f>SUM('19 önkormányzat'!G62)</f>
        <v>78000</v>
      </c>
      <c r="H42" s="391">
        <f>SUM('19 önkormányzat'!H62)</f>
        <v>1640020</v>
      </c>
      <c r="I42" s="391">
        <f>SUM('19 önkormányzat'!I62)</f>
        <v>1740020</v>
      </c>
      <c r="J42" s="391">
        <f>SUM('19 önkormányzat'!J62)</f>
        <v>1765818</v>
      </c>
    </row>
    <row r="43" spans="1:10" ht="12.75" customHeight="1">
      <c r="A43" s="287" t="s">
        <v>128</v>
      </c>
      <c r="B43" s="287"/>
      <c r="C43" s="2289" t="s">
        <v>187</v>
      </c>
      <c r="D43" s="2289"/>
      <c r="E43" s="391">
        <f>SUM('19 önkormányzat'!E65)</f>
        <v>0</v>
      </c>
      <c r="F43" s="391">
        <f>SUM('19 önkormányzat'!F65)</f>
        <v>0</v>
      </c>
      <c r="G43" s="391">
        <f>SUM('19 önkormányzat'!G65)</f>
        <v>0</v>
      </c>
      <c r="H43" s="391">
        <f>SUM('19 önkormányzat'!H65)</f>
        <v>0</v>
      </c>
      <c r="I43" s="391">
        <f>SUM('19 önkormányzat'!I65)</f>
        <v>0</v>
      </c>
      <c r="J43" s="391">
        <f>SUM('19 önkormányzat'!J65)</f>
        <v>0</v>
      </c>
    </row>
    <row r="44" spans="1:10" ht="12.75" customHeight="1">
      <c r="A44" s="287" t="s">
        <v>130</v>
      </c>
      <c r="B44" s="287"/>
      <c r="C44" s="2289" t="s">
        <v>639</v>
      </c>
      <c r="D44" s="2289"/>
      <c r="E44" s="391">
        <f>SUM('19 önkormányzat'!E67)</f>
        <v>0</v>
      </c>
      <c r="F44" s="391">
        <f>SUM('19 önkormányzat'!F67)</f>
        <v>0</v>
      </c>
      <c r="G44" s="391">
        <f>SUM('19 önkormányzat'!G67)</f>
        <v>0</v>
      </c>
      <c r="H44" s="391">
        <f>SUM('19 önkormányzat'!H67)</f>
        <v>0</v>
      </c>
      <c r="I44" s="391">
        <f>SUM('19 önkormányzat'!I67)</f>
        <v>0</v>
      </c>
      <c r="J44" s="391">
        <f>SUM('19 önkormányzat'!J67)</f>
        <v>0</v>
      </c>
    </row>
    <row r="45" spans="1:10" ht="12.75" customHeight="1">
      <c r="A45" s="287" t="s">
        <v>131</v>
      </c>
      <c r="B45" s="287"/>
      <c r="C45" s="2289" t="s">
        <v>220</v>
      </c>
      <c r="D45" s="2289"/>
      <c r="E45" s="391">
        <f>SUM('19 önkormányzat'!E68)</f>
        <v>651363270</v>
      </c>
      <c r="F45" s="391">
        <f>SUM('19 önkormányzat'!F68)</f>
        <v>512008806</v>
      </c>
      <c r="G45" s="391">
        <f>SUM('19 önkormányzat'!G68)</f>
        <v>512008806</v>
      </c>
      <c r="H45" s="391">
        <f>SUM('19 önkormányzat'!H68)</f>
        <v>512008806</v>
      </c>
      <c r="I45" s="391">
        <f>SUM('19 önkormányzat'!I68)</f>
        <v>512008806</v>
      </c>
      <c r="J45" s="391">
        <f>SUM('19 önkormányzat'!J68)</f>
        <v>574966775</v>
      </c>
    </row>
    <row r="46" spans="1:10" ht="12.75" customHeight="1">
      <c r="A46" s="287" t="s">
        <v>133</v>
      </c>
      <c r="B46" s="287"/>
      <c r="C46" s="2289" t="s">
        <v>223</v>
      </c>
      <c r="D46" s="2289"/>
      <c r="E46" s="391">
        <f>SUM('19 önkormányzat'!E71)</f>
        <v>9425972</v>
      </c>
      <c r="F46" s="391">
        <f>SUM('19 önkormányzat'!F71)</f>
        <v>8251931</v>
      </c>
      <c r="G46" s="391">
        <f>SUM('19 önkormányzat'!G71)</f>
        <v>8341969</v>
      </c>
      <c r="H46" s="391">
        <f>SUM('19 önkormányzat'!H71)</f>
        <v>8341969</v>
      </c>
      <c r="I46" s="391">
        <f>SUM('19 önkormányzat'!I71)</f>
        <v>8385010</v>
      </c>
      <c r="J46" s="391">
        <f>SUM('19 önkormányzat'!J71)</f>
        <v>11393036</v>
      </c>
    </row>
    <row r="47" spans="1:10" ht="12.75" customHeight="1" thickBot="1">
      <c r="A47" s="462" t="s">
        <v>135</v>
      </c>
      <c r="B47" s="462"/>
      <c r="C47" s="2294" t="s">
        <v>480</v>
      </c>
      <c r="D47" s="2294"/>
      <c r="E47" s="559">
        <f aca="true" t="shared" si="5" ref="E47:J47">SUM(-E14-E20)-E27-E33</f>
        <v>-300105338</v>
      </c>
      <c r="F47" s="559">
        <f t="shared" si="5"/>
        <v>-329437179</v>
      </c>
      <c r="G47" s="559">
        <f t="shared" si="5"/>
        <v>-327680648</v>
      </c>
      <c r="H47" s="559">
        <f t="shared" si="5"/>
        <v>-327974397</v>
      </c>
      <c r="I47" s="559">
        <f t="shared" si="5"/>
        <v>-328197753</v>
      </c>
      <c r="J47" s="559">
        <f t="shared" si="5"/>
        <v>-332155304</v>
      </c>
    </row>
    <row r="48" spans="1:10" s="10" customFormat="1" ht="12.75" customHeight="1" thickBot="1">
      <c r="A48" s="560" t="s">
        <v>137</v>
      </c>
      <c r="B48" s="561"/>
      <c r="C48" s="2290" t="s">
        <v>116</v>
      </c>
      <c r="D48" s="2291"/>
      <c r="E48" s="562">
        <f aca="true" t="shared" si="6" ref="E48:J48">SUM(E9+E17+E23+E30+E36)+E47</f>
        <v>1281025527</v>
      </c>
      <c r="F48" s="562">
        <f t="shared" si="6"/>
        <v>981614227</v>
      </c>
      <c r="G48" s="562">
        <f t="shared" si="6"/>
        <v>1166744234</v>
      </c>
      <c r="H48" s="562">
        <f t="shared" si="6"/>
        <v>1205803568</v>
      </c>
      <c r="I48" s="562">
        <f t="shared" si="6"/>
        <v>1208244020</v>
      </c>
      <c r="J48" s="562">
        <f t="shared" si="6"/>
        <v>1329339459</v>
      </c>
    </row>
    <row r="49" spans="1:10" ht="12.75" customHeight="1" thickBot="1">
      <c r="A49" s="2252"/>
      <c r="B49" s="2253"/>
      <c r="C49" s="2253"/>
      <c r="D49" s="2253"/>
      <c r="E49"/>
      <c r="F49"/>
      <c r="G49"/>
      <c r="H49"/>
      <c r="I49"/>
      <c r="J49"/>
    </row>
    <row r="50" spans="1:10" ht="33.75" customHeight="1" thickBot="1">
      <c r="A50" s="2301" t="s">
        <v>156</v>
      </c>
      <c r="B50" s="2301"/>
      <c r="C50" s="553" t="s">
        <v>558</v>
      </c>
      <c r="D50" s="553" t="s">
        <v>494</v>
      </c>
      <c r="E50" s="557" t="s">
        <v>1071</v>
      </c>
      <c r="F50" s="557" t="s">
        <v>1072</v>
      </c>
      <c r="G50" s="557" t="s">
        <v>1157</v>
      </c>
      <c r="H50" s="557" t="s">
        <v>1178</v>
      </c>
      <c r="I50" s="557" t="s">
        <v>1250</v>
      </c>
      <c r="J50" s="557" t="s">
        <v>1267</v>
      </c>
    </row>
    <row r="51" spans="1:10" ht="12.75" customHeight="1" thickBot="1" thickTop="1">
      <c r="A51" s="2302"/>
      <c r="B51" s="2302"/>
      <c r="C51" s="253" t="s">
        <v>158</v>
      </c>
      <c r="D51" s="253" t="s">
        <v>159</v>
      </c>
      <c r="E51" s="254" t="s">
        <v>159</v>
      </c>
      <c r="F51" s="254" t="s">
        <v>160</v>
      </c>
      <c r="G51" s="254" t="s">
        <v>161</v>
      </c>
      <c r="H51" s="254" t="s">
        <v>456</v>
      </c>
      <c r="I51" s="254" t="s">
        <v>476</v>
      </c>
      <c r="J51" s="254" t="s">
        <v>701</v>
      </c>
    </row>
    <row r="52" spans="1:10" ht="24.75" customHeight="1" thickTop="1">
      <c r="A52" s="128" t="s">
        <v>38</v>
      </c>
      <c r="B52" s="176" t="s">
        <v>164</v>
      </c>
      <c r="C52" s="84" t="s">
        <v>239</v>
      </c>
      <c r="D52" s="177">
        <f>'15. Óvoda'!D68</f>
        <v>27</v>
      </c>
      <c r="E52" s="229">
        <f aca="true" t="shared" si="7" ref="E52:J52">SUM(E53:E56)</f>
        <v>126778064</v>
      </c>
      <c r="F52" s="229">
        <f t="shared" si="7"/>
        <v>130626828</v>
      </c>
      <c r="G52" s="229">
        <f t="shared" si="7"/>
        <v>125047485</v>
      </c>
      <c r="H52" s="229">
        <f t="shared" si="7"/>
        <v>125334519</v>
      </c>
      <c r="I52" s="229">
        <f t="shared" si="7"/>
        <v>125334529</v>
      </c>
      <c r="J52" s="229">
        <f t="shared" si="7"/>
        <v>135099567</v>
      </c>
    </row>
    <row r="53" spans="1:10" ht="12.75" customHeight="1">
      <c r="A53" s="132" t="s">
        <v>40</v>
      </c>
      <c r="B53" s="133"/>
      <c r="C53" s="17" t="str">
        <f>'15. Óvoda'!C69</f>
        <v>Ebből: Személyi juttatás</v>
      </c>
      <c r="D53" s="17"/>
      <c r="E53" s="78">
        <f>SUM('15. Óvoda'!E69)</f>
        <v>82862658</v>
      </c>
      <c r="F53" s="78">
        <f>SUM('15. Óvoda'!F69)</f>
        <v>86470333</v>
      </c>
      <c r="G53" s="78">
        <f>SUM('15. Óvoda'!G69)</f>
        <v>86486333</v>
      </c>
      <c r="H53" s="78">
        <f>SUM('15. Óvoda'!H69)</f>
        <v>86486333</v>
      </c>
      <c r="I53" s="78">
        <f>SUM('15. Óvoda'!I69)</f>
        <v>86486333</v>
      </c>
      <c r="J53" s="78">
        <f>SUM('15. Óvoda'!J69)</f>
        <v>93761720</v>
      </c>
    </row>
    <row r="54" spans="1:10" ht="12.75" customHeight="1">
      <c r="A54" s="132" t="s">
        <v>47</v>
      </c>
      <c r="B54" s="133"/>
      <c r="C54" s="17" t="str">
        <f>'15. Óvoda'!C70</f>
        <v>          Járulékok</v>
      </c>
      <c r="D54" s="17"/>
      <c r="E54" s="78">
        <f>SUM('15. Óvoda'!E70)</f>
        <v>15929086</v>
      </c>
      <c r="F54" s="78">
        <f>SUM('15. Óvoda'!F70)</f>
        <v>15725090</v>
      </c>
      <c r="G54" s="78">
        <f>SUM('15. Óvoda'!G70)</f>
        <v>15727890</v>
      </c>
      <c r="H54" s="78">
        <f>SUM('15. Óvoda'!H70)</f>
        <v>15727890</v>
      </c>
      <c r="I54" s="78">
        <f>SUM('15. Óvoda'!I70)</f>
        <v>15727890</v>
      </c>
      <c r="J54" s="78">
        <f>SUM('15. Óvoda'!J70)</f>
        <v>16813771</v>
      </c>
    </row>
    <row r="55" spans="1:10" ht="12.75" customHeight="1">
      <c r="A55" s="132" t="s">
        <v>49</v>
      </c>
      <c r="B55" s="133"/>
      <c r="C55" s="17" t="str">
        <f>'15. Óvoda'!C71</f>
        <v>          Dologi kiadás</v>
      </c>
      <c r="D55" s="9"/>
      <c r="E55" s="78">
        <f>SUM('15. Óvoda'!E71)</f>
        <v>27178698</v>
      </c>
      <c r="F55" s="78">
        <f>SUM('15. Óvoda'!F71)</f>
        <v>27931405</v>
      </c>
      <c r="G55" s="78">
        <f>SUM('15. Óvoda'!G71)</f>
        <v>22333262</v>
      </c>
      <c r="H55" s="78">
        <f>SUM('15. Óvoda'!H71)</f>
        <v>22620296</v>
      </c>
      <c r="I55" s="78">
        <f>SUM('15. Óvoda'!I71)</f>
        <v>22620306</v>
      </c>
      <c r="J55" s="78">
        <f>SUM('15. Óvoda'!J71)</f>
        <v>24190317</v>
      </c>
    </row>
    <row r="56" spans="1:10" ht="12.75" customHeight="1">
      <c r="A56" s="132" t="s">
        <v>51</v>
      </c>
      <c r="B56" s="133"/>
      <c r="C56" s="17" t="s">
        <v>267</v>
      </c>
      <c r="D56" s="17"/>
      <c r="E56" s="78">
        <f>SUM('15. Óvoda'!E72)</f>
        <v>807622</v>
      </c>
      <c r="F56" s="78">
        <f>SUM('15. Óvoda'!F72)</f>
        <v>500000</v>
      </c>
      <c r="G56" s="78">
        <f>SUM('15. Óvoda'!G72)</f>
        <v>500000</v>
      </c>
      <c r="H56" s="78">
        <f>SUM('15. Óvoda'!H72)</f>
        <v>500000</v>
      </c>
      <c r="I56" s="78">
        <f>SUM('15. Óvoda'!I72)</f>
        <v>500000</v>
      </c>
      <c r="J56" s="78">
        <f>SUM('15. Óvoda'!J72)</f>
        <v>333759</v>
      </c>
    </row>
    <row r="57" spans="1:10" ht="12.75" customHeight="1">
      <c r="A57" s="128" t="s">
        <v>53</v>
      </c>
      <c r="B57" s="130" t="s">
        <v>166</v>
      </c>
      <c r="C57" s="252" t="s">
        <v>1010</v>
      </c>
      <c r="D57" s="17">
        <f>'16. Műv. ház'!D39</f>
        <v>5</v>
      </c>
      <c r="E57" s="62">
        <f aca="true" t="shared" si="8" ref="E57:J57">SUM(E58:E61)</f>
        <v>26593210</v>
      </c>
      <c r="F57" s="62">
        <f t="shared" si="8"/>
        <v>28177406</v>
      </c>
      <c r="G57" s="62">
        <f t="shared" si="8"/>
        <v>24292792</v>
      </c>
      <c r="H57" s="62">
        <f t="shared" si="8"/>
        <v>24573582</v>
      </c>
      <c r="I57" s="62">
        <f t="shared" si="8"/>
        <v>24941277</v>
      </c>
      <c r="J57" s="62">
        <f t="shared" si="8"/>
        <v>23844027</v>
      </c>
    </row>
    <row r="58" spans="1:10" ht="12.75" customHeight="1">
      <c r="A58" s="132" t="s">
        <v>55</v>
      </c>
      <c r="B58" s="130"/>
      <c r="C58" s="120" t="str">
        <f>'16. Műv. ház'!C40</f>
        <v>Ebből: Személyi juttatás</v>
      </c>
      <c r="D58" s="120"/>
      <c r="E58" s="78">
        <f>SUM('16. Műv. ház'!E40)</f>
        <v>11818516</v>
      </c>
      <c r="F58" s="78">
        <f>SUM('16. Műv. ház'!F40)</f>
        <v>11927834</v>
      </c>
      <c r="G58" s="78">
        <f>SUM('16. Műv. ház'!G40)</f>
        <v>12026035</v>
      </c>
      <c r="H58" s="78">
        <f>SUM('16. Műv. ház'!H40)</f>
        <v>12222435</v>
      </c>
      <c r="I58" s="78">
        <f>SUM('16. Műv. ház'!I40)</f>
        <v>12376285</v>
      </c>
      <c r="J58" s="78">
        <f>SUM('16. Műv. ház'!J40)</f>
        <v>13184023</v>
      </c>
    </row>
    <row r="59" spans="1:10" ht="12.75" customHeight="1">
      <c r="A59" s="132" t="s">
        <v>57</v>
      </c>
      <c r="B59" s="130"/>
      <c r="C59" s="120" t="str">
        <f>'16. Műv. ház'!C41</f>
        <v>          Járulékok</v>
      </c>
      <c r="D59" s="17"/>
      <c r="E59" s="78">
        <f>SUM('16. Műv. ház'!E41)</f>
        <v>2031672</v>
      </c>
      <c r="F59" s="78">
        <f>SUM('16. Műv. ház'!F41)</f>
        <v>2129572</v>
      </c>
      <c r="G59" s="78">
        <f>SUM('16. Műv. ház'!G41)</f>
        <v>2146757</v>
      </c>
      <c r="H59" s="78">
        <f>SUM('16. Műv. ház'!H41)</f>
        <v>2181127</v>
      </c>
      <c r="I59" s="78">
        <f>SUM('16. Műv. ház'!I41)</f>
        <v>2204974</v>
      </c>
      <c r="J59" s="78">
        <f>SUM('16. Műv. ház'!J41)</f>
        <v>2234109</v>
      </c>
    </row>
    <row r="60" spans="1:10" ht="12.75" customHeight="1">
      <c r="A60" s="132" t="s">
        <v>86</v>
      </c>
      <c r="B60" s="130"/>
      <c r="C60" s="120" t="str">
        <f>'16. Műv. ház'!C42</f>
        <v>          Dologi kiadás</v>
      </c>
      <c r="D60" s="9"/>
      <c r="E60" s="78">
        <f>SUM('16. Műv. ház'!E42)</f>
        <v>12656191</v>
      </c>
      <c r="F60" s="78">
        <f>SUM('16. Műv. ház'!F42)</f>
        <v>13620000</v>
      </c>
      <c r="G60" s="78">
        <f>SUM('16. Műv. ház'!G42)</f>
        <v>9620000</v>
      </c>
      <c r="H60" s="78">
        <f>SUM('16. Műv. ház'!H42)</f>
        <v>9670020</v>
      </c>
      <c r="I60" s="78">
        <f>SUM('16. Műv. ház'!I42)</f>
        <v>9860018</v>
      </c>
      <c r="J60" s="78">
        <f>SUM('16. Műv. ház'!J42)</f>
        <v>8181114</v>
      </c>
    </row>
    <row r="61" spans="1:10" ht="12.75" customHeight="1">
      <c r="A61" s="132" t="s">
        <v>59</v>
      </c>
      <c r="B61" s="130"/>
      <c r="C61" s="120" t="s">
        <v>267</v>
      </c>
      <c r="D61" s="9"/>
      <c r="E61" s="78">
        <v>86831</v>
      </c>
      <c r="F61" s="78">
        <f>SUM('16. Műv. ház'!F43)</f>
        <v>500000</v>
      </c>
      <c r="G61" s="78">
        <f>SUM('16. Műv. ház'!G43)</f>
        <v>500000</v>
      </c>
      <c r="H61" s="78">
        <f>SUM('16. Műv. ház'!H43)</f>
        <v>500000</v>
      </c>
      <c r="I61" s="78">
        <f>SUM('16. Műv. ház'!I43)</f>
        <v>500000</v>
      </c>
      <c r="J61" s="78">
        <f>SUM('16. Műv. ház'!J43)</f>
        <v>244781</v>
      </c>
    </row>
    <row r="62" spans="1:10" ht="12.75" customHeight="1">
      <c r="A62" s="128" t="s">
        <v>61</v>
      </c>
      <c r="B62" s="130" t="s">
        <v>173</v>
      </c>
      <c r="C62" s="9" t="s">
        <v>305</v>
      </c>
      <c r="D62" s="9">
        <f>'17. Hivatal'!D50</f>
        <v>14</v>
      </c>
      <c r="E62" s="62">
        <f aca="true" t="shared" si="9" ref="E62:J62">SUM(E63:E66)</f>
        <v>87653371</v>
      </c>
      <c r="F62" s="62">
        <f t="shared" si="9"/>
        <v>99218452</v>
      </c>
      <c r="G62" s="62">
        <f t="shared" si="9"/>
        <v>105488509</v>
      </c>
      <c r="H62" s="62">
        <f t="shared" si="9"/>
        <v>105488532</v>
      </c>
      <c r="I62" s="62">
        <f t="shared" si="9"/>
        <v>105488541</v>
      </c>
      <c r="J62" s="62">
        <f t="shared" si="9"/>
        <v>101211543</v>
      </c>
    </row>
    <row r="63" spans="1:10" ht="12.75" customHeight="1">
      <c r="A63" s="132" t="s">
        <v>63</v>
      </c>
      <c r="B63" s="130"/>
      <c r="C63" s="17" t="str">
        <f>'17. Hivatal'!C51</f>
        <v>Ebből: Személyi juttatás</v>
      </c>
      <c r="D63" s="17"/>
      <c r="E63" s="78">
        <f>SUM('17. Hivatal'!E51)</f>
        <v>62217645</v>
      </c>
      <c r="F63" s="78">
        <f>SUM('17. Hivatal'!F51)</f>
        <v>73224344</v>
      </c>
      <c r="G63" s="78">
        <f>SUM('17. Hivatal'!G51)</f>
        <v>78798803</v>
      </c>
      <c r="H63" s="78">
        <f>SUM('17. Hivatal'!H51)</f>
        <v>78798803</v>
      </c>
      <c r="I63" s="78">
        <f>SUM('17. Hivatal'!I51)</f>
        <v>78798803</v>
      </c>
      <c r="J63" s="78">
        <f>SUM('17. Hivatal'!J51)</f>
        <v>77374506</v>
      </c>
    </row>
    <row r="64" spans="1:10" ht="12.75" customHeight="1">
      <c r="A64" s="132" t="s">
        <v>65</v>
      </c>
      <c r="B64" s="130"/>
      <c r="C64" s="17" t="str">
        <f>'17. Hivatal'!C52</f>
        <v>          Járulékok</v>
      </c>
      <c r="D64" s="9"/>
      <c r="E64" s="78">
        <f>SUM('17. Hivatal'!E52)</f>
        <v>12151620</v>
      </c>
      <c r="F64" s="78">
        <f>SUM('17. Hivatal'!F52)</f>
        <v>13044108</v>
      </c>
      <c r="G64" s="78">
        <f>SUM('17. Hivatal'!G52)</f>
        <v>13739698</v>
      </c>
      <c r="H64" s="78">
        <f>SUM('17. Hivatal'!H52)</f>
        <v>13739698</v>
      </c>
      <c r="I64" s="78">
        <f>SUM('17. Hivatal'!I52)</f>
        <v>13739698</v>
      </c>
      <c r="J64" s="78">
        <f>SUM('17. Hivatal'!J52)</f>
        <v>12886293</v>
      </c>
    </row>
    <row r="65" spans="1:10" ht="12.75" customHeight="1">
      <c r="A65" s="132" t="s">
        <v>92</v>
      </c>
      <c r="B65" s="130"/>
      <c r="C65" s="17" t="str">
        <f>'17. Hivatal'!C53</f>
        <v>          Dologi kiadás</v>
      </c>
      <c r="D65" s="17"/>
      <c r="E65" s="78">
        <f>SUM('17. Hivatal'!E53)</f>
        <v>12618426</v>
      </c>
      <c r="F65" s="78">
        <f>SUM('17. Hivatal'!F53)</f>
        <v>12350000</v>
      </c>
      <c r="G65" s="78">
        <f>SUM('17. Hivatal'!G53)</f>
        <v>12350008</v>
      </c>
      <c r="H65" s="78">
        <f>SUM('17. Hivatal'!H53)</f>
        <v>12350031</v>
      </c>
      <c r="I65" s="78">
        <f>SUM('17. Hivatal'!I53)</f>
        <v>12350040</v>
      </c>
      <c r="J65" s="78">
        <f>SUM('17. Hivatal'!J53)</f>
        <v>10409765</v>
      </c>
    </row>
    <row r="66" spans="1:10" ht="12.75" customHeight="1">
      <c r="A66" s="132" t="s">
        <v>66</v>
      </c>
      <c r="B66" s="130"/>
      <c r="C66" s="17" t="s">
        <v>267</v>
      </c>
      <c r="D66" s="17"/>
      <c r="E66" s="78">
        <f>SUM('17. Hivatal'!E54)</f>
        <v>665680</v>
      </c>
      <c r="F66" s="78">
        <f>SUM('17. Hivatal'!F54)</f>
        <v>600000</v>
      </c>
      <c r="G66" s="78">
        <f>SUM('17. Hivatal'!G54)</f>
        <v>600000</v>
      </c>
      <c r="H66" s="78">
        <f>SUM('17. Hivatal'!H54)</f>
        <v>600000</v>
      </c>
      <c r="I66" s="78">
        <f>SUM('17. Hivatal'!I54)</f>
        <v>600000</v>
      </c>
      <c r="J66" s="78">
        <f>SUM('17. Hivatal'!J54)</f>
        <v>540979</v>
      </c>
    </row>
    <row r="67" spans="1:10" s="10" customFormat="1" ht="12.75" customHeight="1">
      <c r="A67" s="128" t="s">
        <v>67</v>
      </c>
      <c r="B67" s="130" t="s">
        <v>182</v>
      </c>
      <c r="C67" s="9" t="s">
        <v>559</v>
      </c>
      <c r="D67" s="9">
        <v>18</v>
      </c>
      <c r="E67" s="62">
        <f aca="true" t="shared" si="10" ref="E67:J67">SUM(E68:E71)</f>
        <v>97428352</v>
      </c>
      <c r="F67" s="62">
        <f t="shared" si="10"/>
        <v>103172725</v>
      </c>
      <c r="G67" s="62">
        <f t="shared" si="10"/>
        <v>100032622</v>
      </c>
      <c r="H67" s="62">
        <f t="shared" si="10"/>
        <v>100095654</v>
      </c>
      <c r="I67" s="62">
        <f t="shared" si="10"/>
        <v>101529210</v>
      </c>
      <c r="J67" s="62">
        <f t="shared" si="10"/>
        <v>116840128</v>
      </c>
    </row>
    <row r="68" spans="1:10" ht="12.75" customHeight="1">
      <c r="A68" s="132" t="s">
        <v>68</v>
      </c>
      <c r="B68" s="130"/>
      <c r="C68" s="17" t="s">
        <v>250</v>
      </c>
      <c r="D68" s="9"/>
      <c r="E68" s="78">
        <f>SUM('18. VÜKI'!E72)</f>
        <v>42792987</v>
      </c>
      <c r="F68" s="78">
        <f>SUM('18. VÜKI'!F72)</f>
        <v>51152303</v>
      </c>
      <c r="G68" s="78">
        <f>SUM('18. VÜKI'!G72)</f>
        <v>51181003</v>
      </c>
      <c r="H68" s="78">
        <f>SUM('18. VÜKI'!H72)</f>
        <v>51234603</v>
      </c>
      <c r="I68" s="78">
        <f>SUM('18. VÜKI'!I72)</f>
        <v>52475734</v>
      </c>
      <c r="J68" s="78">
        <f>SUM('18. VÜKI'!J72)</f>
        <v>49672804</v>
      </c>
    </row>
    <row r="69" spans="1:10" ht="12.75" customHeight="1">
      <c r="A69" s="132" t="s">
        <v>70</v>
      </c>
      <c r="B69" s="130"/>
      <c r="C69" s="17" t="s">
        <v>560</v>
      </c>
      <c r="D69" s="9"/>
      <c r="E69" s="78">
        <f>SUM('18. VÜKI'!E73)</f>
        <v>8284276</v>
      </c>
      <c r="F69" s="78">
        <f>SUM('18. VÜKI'!F73)</f>
        <v>8530422</v>
      </c>
      <c r="G69" s="78">
        <f>SUM('18. VÜKI'!G73)</f>
        <v>8535445</v>
      </c>
      <c r="H69" s="78">
        <f>SUM('18. VÜKI'!H73)</f>
        <v>8544824</v>
      </c>
      <c r="I69" s="78">
        <f>SUM('18. VÜKI'!I73)</f>
        <v>8737199</v>
      </c>
      <c r="J69" s="78">
        <f>SUM('18. VÜKI'!J73)</f>
        <v>8744396</v>
      </c>
    </row>
    <row r="70" spans="1:10" ht="12.75" customHeight="1">
      <c r="A70" s="132" t="s">
        <v>97</v>
      </c>
      <c r="B70" s="130"/>
      <c r="C70" s="17" t="s">
        <v>349</v>
      </c>
      <c r="D70" s="9"/>
      <c r="E70" s="78">
        <f>SUM('18. VÜKI'!E74)</f>
        <v>45847501</v>
      </c>
      <c r="F70" s="78">
        <f>SUM('18. VÜKI'!F74)</f>
        <v>42490000</v>
      </c>
      <c r="G70" s="78">
        <f>SUM('18. VÜKI'!G74)</f>
        <v>39316174</v>
      </c>
      <c r="H70" s="78">
        <f>SUM('18. VÜKI'!H74)</f>
        <v>39316227</v>
      </c>
      <c r="I70" s="78">
        <f>SUM('18. VÜKI'!I74)</f>
        <v>39316277</v>
      </c>
      <c r="J70" s="78">
        <f>SUM('18. VÜKI'!J74)</f>
        <v>51119398</v>
      </c>
    </row>
    <row r="71" spans="1:10" ht="12.75" customHeight="1">
      <c r="A71" s="132" t="s">
        <v>99</v>
      </c>
      <c r="B71" s="130"/>
      <c r="C71" s="17" t="s">
        <v>267</v>
      </c>
      <c r="D71" s="9"/>
      <c r="E71" s="78">
        <f>'18. VÜKI'!E75</f>
        <v>503588</v>
      </c>
      <c r="F71" s="78">
        <f>'18. VÜKI'!F75</f>
        <v>1000000</v>
      </c>
      <c r="G71" s="78">
        <f>'18. VÜKI'!G75</f>
        <v>1000000</v>
      </c>
      <c r="H71" s="78">
        <f>'18. VÜKI'!H75</f>
        <v>1000000</v>
      </c>
      <c r="I71" s="78">
        <f>'18. VÜKI'!I75</f>
        <v>1000000</v>
      </c>
      <c r="J71" s="78">
        <f>'18. VÜKI'!J75</f>
        <v>7303530</v>
      </c>
    </row>
    <row r="72" spans="1:10" ht="12.75" customHeight="1">
      <c r="A72" s="128" t="s">
        <v>101</v>
      </c>
      <c r="B72" s="130" t="s">
        <v>183</v>
      </c>
      <c r="C72" s="9" t="s">
        <v>2</v>
      </c>
      <c r="D72" s="9">
        <v>4</v>
      </c>
      <c r="E72" s="62">
        <f aca="true" t="shared" si="11" ref="E72:J72">SUM(E73:E86)</f>
        <v>1242677868.2</v>
      </c>
      <c r="F72" s="62">
        <f t="shared" si="11"/>
        <v>949855995.3</v>
      </c>
      <c r="G72" s="62">
        <f t="shared" si="11"/>
        <v>1139563474.3</v>
      </c>
      <c r="H72" s="62">
        <f t="shared" si="11"/>
        <v>1178285678.3</v>
      </c>
      <c r="I72" s="62">
        <f t="shared" si="11"/>
        <v>1179148216.3</v>
      </c>
      <c r="J72" s="62">
        <f t="shared" si="11"/>
        <v>1284499498.2</v>
      </c>
    </row>
    <row r="73" spans="1:10" ht="12.75" customHeight="1">
      <c r="A73" s="132" t="s">
        <v>103</v>
      </c>
      <c r="B73" s="130"/>
      <c r="C73" s="17" t="s">
        <v>250</v>
      </c>
      <c r="D73" s="9"/>
      <c r="E73" s="78">
        <f>SUM('19 önkormányzat'!E167)</f>
        <v>30665512</v>
      </c>
      <c r="F73" s="78">
        <f>SUM('19 önkormányzat'!F167)</f>
        <v>27678043</v>
      </c>
      <c r="G73" s="78">
        <f>SUM('19 önkormányzat'!G167)</f>
        <v>27678043</v>
      </c>
      <c r="H73" s="78">
        <f>SUM('19 önkormányzat'!H167)</f>
        <v>29604043</v>
      </c>
      <c r="I73" s="78">
        <f>SUM('19 önkormányzat'!I167)</f>
        <v>29604043</v>
      </c>
      <c r="J73" s="78">
        <f>SUM('19 önkormányzat'!J167)</f>
        <v>29667043</v>
      </c>
    </row>
    <row r="74" spans="1:10" ht="12.75" customHeight="1">
      <c r="A74" s="132" t="s">
        <v>105</v>
      </c>
      <c r="B74" s="130"/>
      <c r="C74" s="17" t="s">
        <v>560</v>
      </c>
      <c r="D74" s="17"/>
      <c r="E74" s="78">
        <f>SUM('19 önkormányzat'!E168)</f>
        <v>5675164</v>
      </c>
      <c r="F74" s="78">
        <f>SUM('19 önkormányzat'!F168)</f>
        <v>4866300</v>
      </c>
      <c r="G74" s="78">
        <f>SUM('19 önkormányzat'!G168)</f>
        <v>4866300</v>
      </c>
      <c r="H74" s="78">
        <f>SUM('19 önkormányzat'!H168)</f>
        <v>5184156</v>
      </c>
      <c r="I74" s="78">
        <f>SUM('19 önkormányzat'!I168)</f>
        <v>5184156</v>
      </c>
      <c r="J74" s="78">
        <f>SUM('19 önkormányzat'!J168)</f>
        <v>5138156</v>
      </c>
    </row>
    <row r="75" spans="1:10" ht="12.75" customHeight="1">
      <c r="A75" s="132" t="s">
        <v>107</v>
      </c>
      <c r="B75" s="133"/>
      <c r="C75" s="17" t="s">
        <v>349</v>
      </c>
      <c r="D75" s="17"/>
      <c r="E75" s="78">
        <f>SUM('19 önkormányzat'!E169)</f>
        <v>164766811.2</v>
      </c>
      <c r="F75" s="78">
        <f>SUM('19 önkormányzat'!F169)</f>
        <v>67169794.3</v>
      </c>
      <c r="G75" s="78">
        <f>SUM('19 önkormányzat'!G169)</f>
        <v>60244034.3</v>
      </c>
      <c r="H75" s="78">
        <f>SUM('19 önkormányzat'!H169)</f>
        <v>63900760.3</v>
      </c>
      <c r="I75" s="78">
        <f>SUM('19 önkormányzat'!I169)</f>
        <v>67062887.3</v>
      </c>
      <c r="J75" s="78">
        <f>SUM('19 önkormányzat'!J169)</f>
        <v>142689133.2</v>
      </c>
    </row>
    <row r="76" spans="1:10" ht="12.75" customHeight="1">
      <c r="A76" s="132" t="s">
        <v>109</v>
      </c>
      <c r="B76" s="133"/>
      <c r="C76" s="17" t="s">
        <v>677</v>
      </c>
      <c r="D76" s="120"/>
      <c r="E76" s="78">
        <f>SUM('19 önkormányzat'!E170)</f>
        <v>4209730</v>
      </c>
      <c r="F76" s="78">
        <f>SUM('19 önkormányzat'!F170)</f>
        <v>3453000</v>
      </c>
      <c r="G76" s="78">
        <f>SUM('19 önkormányzat'!G170)</f>
        <v>3803000</v>
      </c>
      <c r="H76" s="78">
        <f>SUM('19 önkormányzat'!H170)</f>
        <v>3453000</v>
      </c>
      <c r="I76" s="78">
        <f>SUM('19 önkormányzat'!I170)</f>
        <v>3453000</v>
      </c>
      <c r="J76" s="78">
        <f>SUM('19 önkormányzat'!J170)</f>
        <v>4980000</v>
      </c>
    </row>
    <row r="77" spans="1:10" ht="12.75" customHeight="1">
      <c r="A77" s="132" t="s">
        <v>111</v>
      </c>
      <c r="B77" s="135"/>
      <c r="C77" s="17" t="s">
        <v>561</v>
      </c>
      <c r="D77" s="120"/>
      <c r="E77" s="78">
        <f>SUM('19 önkormányzat'!E172)</f>
        <v>44186648</v>
      </c>
      <c r="F77" s="78">
        <f>SUM('19 önkormányzat'!F172)</f>
        <v>44771741</v>
      </c>
      <c r="G77" s="78">
        <f>SUM('19 önkormányzat'!G172)</f>
        <v>42258999</v>
      </c>
      <c r="H77" s="78">
        <f>SUM('19 önkormányzat'!H172)</f>
        <v>46035254</v>
      </c>
      <c r="I77" s="78">
        <f>SUM('19 önkormányzat'!I172)</f>
        <v>49185271</v>
      </c>
      <c r="J77" s="78">
        <f>SUM('19 önkormányzat'!J172)</f>
        <v>50526275</v>
      </c>
    </row>
    <row r="78" spans="1:10" ht="12.75" customHeight="1">
      <c r="A78" s="132" t="s">
        <v>113</v>
      </c>
      <c r="B78" s="135"/>
      <c r="C78" s="17" t="s">
        <v>562</v>
      </c>
      <c r="D78" s="9"/>
      <c r="E78" s="78">
        <f>SUM('19 önkormányzat'!E173)</f>
        <v>203611617</v>
      </c>
      <c r="F78" s="78">
        <f>SUM('19 önkormányzat'!F173)</f>
        <v>2100000</v>
      </c>
      <c r="G78" s="78">
        <f>SUM('19 önkormányzat'!G173)</f>
        <v>93863808</v>
      </c>
      <c r="H78" s="78">
        <f>SUM('19 önkormányzat'!H173)</f>
        <v>272284650</v>
      </c>
      <c r="I78" s="78">
        <f>SUM('19 önkormányzat'!I173)</f>
        <v>272490752</v>
      </c>
      <c r="J78" s="78">
        <f>SUM('19 önkormányzat'!J173)</f>
        <v>329868692</v>
      </c>
    </row>
    <row r="79" spans="1:10" ht="13.5" customHeight="1">
      <c r="A79" s="132" t="s">
        <v>115</v>
      </c>
      <c r="B79" s="135"/>
      <c r="C79" s="17" t="s">
        <v>563</v>
      </c>
      <c r="D79" s="17"/>
      <c r="E79" s="78">
        <f>SUM('19 önkormányzat'!E181)</f>
        <v>300105338</v>
      </c>
      <c r="F79" s="78">
        <f>SUM('19 önkormányzat'!F181)</f>
        <v>329437179</v>
      </c>
      <c r="G79" s="78">
        <f>SUM('19 önkormányzat'!G181)</f>
        <v>327680648</v>
      </c>
      <c r="H79" s="78">
        <f>SUM('19 önkormányzat'!H181)</f>
        <v>327974397</v>
      </c>
      <c r="I79" s="78">
        <f>SUM('19 önkormányzat'!I181)</f>
        <v>328197753</v>
      </c>
      <c r="J79" s="78">
        <f>SUM('19 önkormányzat'!J181)</f>
        <v>332155304</v>
      </c>
    </row>
    <row r="80" spans="1:10" ht="13.5" customHeight="1">
      <c r="A80" s="132" t="s">
        <v>117</v>
      </c>
      <c r="B80" s="135"/>
      <c r="C80" s="17" t="s">
        <v>271</v>
      </c>
      <c r="D80" s="17"/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</row>
    <row r="81" spans="1:10" ht="13.5" customHeight="1">
      <c r="A81" s="132" t="s">
        <v>118</v>
      </c>
      <c r="B81" s="135"/>
      <c r="C81" s="17" t="s">
        <v>678</v>
      </c>
      <c r="D81" s="17"/>
      <c r="E81" s="78"/>
      <c r="F81" s="78"/>
      <c r="G81" s="78">
        <v>354027</v>
      </c>
      <c r="H81" s="78">
        <v>354027</v>
      </c>
      <c r="I81" s="78">
        <v>354027</v>
      </c>
      <c r="J81" s="78">
        <v>354027</v>
      </c>
    </row>
    <row r="82" spans="1:10" ht="13.5" customHeight="1">
      <c r="A82" s="132" t="s">
        <v>120</v>
      </c>
      <c r="B82" s="135"/>
      <c r="C82" s="17" t="s">
        <v>1007</v>
      </c>
      <c r="D82" s="17"/>
      <c r="E82" s="78">
        <f>SUM('19 önkormányzat'!E134)</f>
        <v>2482037</v>
      </c>
      <c r="F82" s="78">
        <f>SUM('19 önkormányzat'!F134)</f>
        <v>0</v>
      </c>
      <c r="G82" s="78">
        <f>SUM('19 önkormányzat'!G134)</f>
        <v>0</v>
      </c>
      <c r="H82" s="78">
        <f>SUM('19 önkormányzat'!H134)</f>
        <v>2017050</v>
      </c>
      <c r="I82" s="78">
        <f>SUM('19 önkormányzat'!I134)</f>
        <v>2354850</v>
      </c>
      <c r="J82" s="78">
        <f>SUM('19 önkormányzat'!J134)</f>
        <v>2354850</v>
      </c>
    </row>
    <row r="83" spans="1:10" ht="29.25" customHeight="1">
      <c r="A83" s="132" t="s">
        <v>122</v>
      </c>
      <c r="B83" s="135"/>
      <c r="C83" s="115" t="s">
        <v>269</v>
      </c>
      <c r="D83" s="17"/>
      <c r="E83" s="78">
        <f>SUM('19 önkormányzat'!E179)</f>
        <v>8209104</v>
      </c>
      <c r="F83" s="78">
        <f>SUM('19 önkormányzat'!F179)</f>
        <v>8251931</v>
      </c>
      <c r="G83" s="78">
        <f>SUM('19 önkormányzat'!G179)</f>
        <v>8432007</v>
      </c>
      <c r="H83" s="78">
        <f>SUM('19 önkormányzat'!H179)</f>
        <v>8432007</v>
      </c>
      <c r="I83" s="78">
        <f>SUM('19 önkormányzat'!I179)</f>
        <v>8835048</v>
      </c>
      <c r="J83" s="78">
        <f>SUM('19 önkormányzat'!J179)</f>
        <v>8830789</v>
      </c>
    </row>
    <row r="84" spans="1:10" ht="29.25" customHeight="1">
      <c r="A84" s="132" t="s">
        <v>124</v>
      </c>
      <c r="B84" s="135"/>
      <c r="C84" s="115" t="s">
        <v>1263</v>
      </c>
      <c r="D84" s="17"/>
      <c r="E84" s="78"/>
      <c r="F84" s="78"/>
      <c r="G84" s="78"/>
      <c r="H84" s="78"/>
      <c r="I84" s="78">
        <f>SUM('19 önkormányzat'!I177)</f>
        <v>1684766</v>
      </c>
      <c r="J84" s="78">
        <f>SUM('19 önkormányzat'!J177)</f>
        <v>1684766</v>
      </c>
    </row>
    <row r="85" spans="1:10" ht="12.75">
      <c r="A85" s="132" t="s">
        <v>126</v>
      </c>
      <c r="B85" s="135"/>
      <c r="C85" s="115" t="s">
        <v>679</v>
      </c>
      <c r="D85" s="17"/>
      <c r="E85" s="78"/>
      <c r="F85" s="78"/>
      <c r="G85" s="78"/>
      <c r="H85" s="78"/>
      <c r="I85" s="78"/>
      <c r="J85" s="78"/>
    </row>
    <row r="86" spans="1:10" ht="12.75" customHeight="1">
      <c r="A86" s="132" t="s">
        <v>128</v>
      </c>
      <c r="B86" s="135"/>
      <c r="C86" s="17" t="s">
        <v>515</v>
      </c>
      <c r="D86" s="17"/>
      <c r="E86" s="78">
        <f>SUM('19 önkormányzat'!E171)</f>
        <v>478765907</v>
      </c>
      <c r="F86" s="78">
        <f>SUM('19 önkormányzat'!F171)</f>
        <v>462128007</v>
      </c>
      <c r="G86" s="78">
        <f>SUM('19 önkormányzat'!G171)</f>
        <v>570382608</v>
      </c>
      <c r="H86" s="78">
        <f>SUM('19 önkormányzat'!H171)</f>
        <v>419046334</v>
      </c>
      <c r="I86" s="78">
        <f>SUM('19 önkormányzat'!I171)</f>
        <v>410741663</v>
      </c>
      <c r="J86" s="78">
        <f>SUM('19 önkormányzat'!J171)</f>
        <v>376250463</v>
      </c>
    </row>
    <row r="87" spans="1:10" s="10" customFormat="1" ht="12.75" customHeight="1">
      <c r="A87" s="255" t="s">
        <v>130</v>
      </c>
      <c r="B87" s="256"/>
      <c r="C87" s="257" t="s">
        <v>539</v>
      </c>
      <c r="D87" s="257"/>
      <c r="E87" s="258">
        <f aca="true" t="shared" si="12" ref="E87:J87">E52+E57+E62+E72-E79+E67</f>
        <v>1281025527.2</v>
      </c>
      <c r="F87" s="258">
        <f t="shared" si="12"/>
        <v>981614227.3</v>
      </c>
      <c r="G87" s="258">
        <f t="shared" si="12"/>
        <v>1166744234.3</v>
      </c>
      <c r="H87" s="258">
        <f t="shared" si="12"/>
        <v>1205803568.3</v>
      </c>
      <c r="I87" s="258">
        <f t="shared" si="12"/>
        <v>1208244020.3</v>
      </c>
      <c r="J87" s="258">
        <f t="shared" si="12"/>
        <v>1329339459.2</v>
      </c>
    </row>
    <row r="88" spans="1:10" ht="12.75" customHeight="1">
      <c r="A88" s="255" t="s">
        <v>131</v>
      </c>
      <c r="B88" s="259"/>
      <c r="C88" s="260" t="s">
        <v>564</v>
      </c>
      <c r="D88" s="261"/>
      <c r="E88" s="262">
        <f aca="true" t="shared" si="13" ref="E88:J88">E87+E79</f>
        <v>1581130865.2</v>
      </c>
      <c r="F88" s="262">
        <f t="shared" si="13"/>
        <v>1311051406.3</v>
      </c>
      <c r="G88" s="262">
        <f t="shared" si="13"/>
        <v>1494424882.3</v>
      </c>
      <c r="H88" s="262">
        <f t="shared" si="13"/>
        <v>1533777965.3</v>
      </c>
      <c r="I88" s="262">
        <f t="shared" si="13"/>
        <v>1536441773.3</v>
      </c>
      <c r="J88" s="262">
        <f t="shared" si="13"/>
        <v>1661494763.2</v>
      </c>
    </row>
    <row r="89" spans="1:10" ht="12.75" customHeight="1">
      <c r="A89" s="132" t="s">
        <v>133</v>
      </c>
      <c r="B89" s="95"/>
      <c r="C89" s="263" t="s">
        <v>565</v>
      </c>
      <c r="D89" s="95"/>
      <c r="E89" s="78"/>
      <c r="F89" s="78"/>
      <c r="G89" s="78"/>
      <c r="H89" s="78"/>
      <c r="I89" s="78"/>
      <c r="J89" s="78"/>
    </row>
    <row r="90" spans="1:10" ht="12.75" customHeight="1">
      <c r="A90" s="132" t="s">
        <v>135</v>
      </c>
      <c r="B90" s="95"/>
      <c r="C90" s="170" t="s">
        <v>566</v>
      </c>
      <c r="D90" s="95"/>
      <c r="E90" s="78">
        <f aca="true" t="shared" si="14" ref="E90:J90">E53+E58+E63+E68+E73</f>
        <v>230357318</v>
      </c>
      <c r="F90" s="78">
        <f t="shared" si="14"/>
        <v>250452857</v>
      </c>
      <c r="G90" s="78">
        <f t="shared" si="14"/>
        <v>256170217</v>
      </c>
      <c r="H90" s="78">
        <f t="shared" si="14"/>
        <v>258346217</v>
      </c>
      <c r="I90" s="78">
        <f t="shared" si="14"/>
        <v>259741198</v>
      </c>
      <c r="J90" s="78">
        <f t="shared" si="14"/>
        <v>263660096</v>
      </c>
    </row>
    <row r="91" spans="1:10" ht="12.75" customHeight="1">
      <c r="A91" s="132" t="s">
        <v>137</v>
      </c>
      <c r="B91" s="95"/>
      <c r="C91" s="170" t="s">
        <v>567</v>
      </c>
      <c r="D91" s="95"/>
      <c r="E91" s="78">
        <f aca="true" t="shared" si="15" ref="E91:J91">E74+E69+E64+E59+E54</f>
        <v>44071818</v>
      </c>
      <c r="F91" s="78">
        <f t="shared" si="15"/>
        <v>44295492</v>
      </c>
      <c r="G91" s="78">
        <f t="shared" si="15"/>
        <v>45016090</v>
      </c>
      <c r="H91" s="78">
        <f t="shared" si="15"/>
        <v>45377695</v>
      </c>
      <c r="I91" s="78">
        <f t="shared" si="15"/>
        <v>45593917</v>
      </c>
      <c r="J91" s="78">
        <f t="shared" si="15"/>
        <v>45816725</v>
      </c>
    </row>
    <row r="92" spans="1:10" ht="12.75" customHeight="1">
      <c r="A92" s="132" t="s">
        <v>139</v>
      </c>
      <c r="B92" s="95"/>
      <c r="C92" s="170" t="s">
        <v>568</v>
      </c>
      <c r="D92" s="95"/>
      <c r="E92" s="78">
        <f aca="true" t="shared" si="16" ref="E92:J92">E55+E60+E65+E70+E75</f>
        <v>263067627.2</v>
      </c>
      <c r="F92" s="78">
        <f t="shared" si="16"/>
        <v>163561199.3</v>
      </c>
      <c r="G92" s="78">
        <f t="shared" si="16"/>
        <v>143863478.3</v>
      </c>
      <c r="H92" s="78">
        <f t="shared" si="16"/>
        <v>147857334.3</v>
      </c>
      <c r="I92" s="78">
        <f t="shared" si="16"/>
        <v>151209528.3</v>
      </c>
      <c r="J92" s="78">
        <f t="shared" si="16"/>
        <v>236589727.2</v>
      </c>
    </row>
    <row r="93" spans="1:10" s="10" customFormat="1" ht="12.75" customHeight="1">
      <c r="A93" s="128" t="s">
        <v>141</v>
      </c>
      <c r="B93" s="94"/>
      <c r="C93" s="264" t="s">
        <v>25</v>
      </c>
      <c r="D93" s="82"/>
      <c r="E93" s="82">
        <f aca="true" t="shared" si="17" ref="E93:J93">SUM(E90:E92)</f>
        <v>537496763.2</v>
      </c>
      <c r="F93" s="82">
        <f t="shared" si="17"/>
        <v>458309548.3</v>
      </c>
      <c r="G93" s="82">
        <f t="shared" si="17"/>
        <v>445049785.3</v>
      </c>
      <c r="H93" s="82">
        <f t="shared" si="17"/>
        <v>451581246.3</v>
      </c>
      <c r="I93" s="82">
        <f t="shared" si="17"/>
        <v>456544643.3</v>
      </c>
      <c r="J93" s="82">
        <f t="shared" si="17"/>
        <v>546066548.2</v>
      </c>
    </row>
    <row r="94" spans="1:10" s="10" customFormat="1" ht="12.75" customHeight="1">
      <c r="A94" s="132" t="s">
        <v>143</v>
      </c>
      <c r="B94" s="94"/>
      <c r="C94" s="170" t="s">
        <v>256</v>
      </c>
      <c r="D94" s="94"/>
      <c r="E94" s="78">
        <f aca="true" t="shared" si="18" ref="E94:J94">E77</f>
        <v>44186648</v>
      </c>
      <c r="F94" s="78">
        <f t="shared" si="18"/>
        <v>44771741</v>
      </c>
      <c r="G94" s="78">
        <f t="shared" si="18"/>
        <v>42258999</v>
      </c>
      <c r="H94" s="78">
        <f t="shared" si="18"/>
        <v>46035254</v>
      </c>
      <c r="I94" s="78">
        <f t="shared" si="18"/>
        <v>49185271</v>
      </c>
      <c r="J94" s="78">
        <f t="shared" si="18"/>
        <v>50526275</v>
      </c>
    </row>
    <row r="95" spans="1:10" s="10" customFormat="1" ht="12.75" customHeight="1">
      <c r="A95" s="132" t="s">
        <v>145</v>
      </c>
      <c r="B95" s="94"/>
      <c r="C95" s="170" t="s">
        <v>295</v>
      </c>
      <c r="D95" s="94"/>
      <c r="E95" s="78">
        <f aca="true" t="shared" si="19" ref="E95:J95">SUM(E76)</f>
        <v>4209730</v>
      </c>
      <c r="F95" s="78">
        <f t="shared" si="19"/>
        <v>3453000</v>
      </c>
      <c r="G95" s="78">
        <f t="shared" si="19"/>
        <v>3803000</v>
      </c>
      <c r="H95" s="78">
        <f t="shared" si="19"/>
        <v>3453000</v>
      </c>
      <c r="I95" s="78">
        <f t="shared" si="19"/>
        <v>3453000</v>
      </c>
      <c r="J95" s="78">
        <f t="shared" si="19"/>
        <v>4980000</v>
      </c>
    </row>
    <row r="96" spans="1:10" s="10" customFormat="1" ht="12.75" customHeight="1">
      <c r="A96" s="132" t="s">
        <v>147</v>
      </c>
      <c r="B96" s="94"/>
      <c r="C96" s="170" t="s">
        <v>297</v>
      </c>
      <c r="D96" s="94"/>
      <c r="E96" s="78">
        <f aca="true" t="shared" si="20" ref="E96:J96">E56+E61+E66+E71+E78</f>
        <v>205675338</v>
      </c>
      <c r="F96" s="78">
        <f t="shared" si="20"/>
        <v>4700000</v>
      </c>
      <c r="G96" s="78">
        <f t="shared" si="20"/>
        <v>96463808</v>
      </c>
      <c r="H96" s="78">
        <f t="shared" si="20"/>
        <v>274884650</v>
      </c>
      <c r="I96" s="78">
        <f t="shared" si="20"/>
        <v>275090752</v>
      </c>
      <c r="J96" s="78">
        <f t="shared" si="20"/>
        <v>338291741</v>
      </c>
    </row>
    <row r="97" spans="1:10" s="10" customFormat="1" ht="12.75" customHeight="1">
      <c r="A97" s="132" t="s">
        <v>149</v>
      </c>
      <c r="B97" s="94"/>
      <c r="C97" s="170" t="s">
        <v>299</v>
      </c>
      <c r="D97" s="94"/>
      <c r="E97" s="78">
        <f aca="true" t="shared" si="21" ref="E97:J97">E79</f>
        <v>300105338</v>
      </c>
      <c r="F97" s="78">
        <f t="shared" si="21"/>
        <v>329437179</v>
      </c>
      <c r="G97" s="78">
        <f t="shared" si="21"/>
        <v>327680648</v>
      </c>
      <c r="H97" s="78">
        <f t="shared" si="21"/>
        <v>327974397</v>
      </c>
      <c r="I97" s="78">
        <f t="shared" si="21"/>
        <v>328197753</v>
      </c>
      <c r="J97" s="78">
        <f t="shared" si="21"/>
        <v>332155304</v>
      </c>
    </row>
    <row r="98" spans="1:10" s="10" customFormat="1" ht="12.75" customHeight="1">
      <c r="A98" s="132" t="s">
        <v>151</v>
      </c>
      <c r="B98" s="94"/>
      <c r="C98" s="170" t="s">
        <v>515</v>
      </c>
      <c r="D98" s="94"/>
      <c r="E98" s="78">
        <f aca="true" t="shared" si="22" ref="E98:J98">E86</f>
        <v>478765907</v>
      </c>
      <c r="F98" s="78">
        <f t="shared" si="22"/>
        <v>462128007</v>
      </c>
      <c r="G98" s="78">
        <f t="shared" si="22"/>
        <v>570382608</v>
      </c>
      <c r="H98" s="78">
        <f t="shared" si="22"/>
        <v>419046334</v>
      </c>
      <c r="I98" s="78">
        <f t="shared" si="22"/>
        <v>410741663</v>
      </c>
      <c r="J98" s="78">
        <f t="shared" si="22"/>
        <v>376250463</v>
      </c>
    </row>
    <row r="99" spans="1:10" s="10" customFormat="1" ht="12.75" customHeight="1">
      <c r="A99" s="132" t="s">
        <v>205</v>
      </c>
      <c r="B99" s="94"/>
      <c r="C99" s="17" t="s">
        <v>678</v>
      </c>
      <c r="D99" s="94"/>
      <c r="E99" s="78">
        <f>SUM(E82)</f>
        <v>2482037</v>
      </c>
      <c r="F99" s="78">
        <f>SUM(F82)</f>
        <v>0</v>
      </c>
      <c r="G99" s="78">
        <f>SUM(G81)</f>
        <v>354027</v>
      </c>
      <c r="H99" s="78">
        <f>SUM(H81)</f>
        <v>354027</v>
      </c>
      <c r="I99" s="78">
        <f>SUM(I81)</f>
        <v>354027</v>
      </c>
      <c r="J99" s="78">
        <f>SUM(J81)</f>
        <v>354027</v>
      </c>
    </row>
    <row r="100" spans="1:10" s="10" customFormat="1" ht="12.75" customHeight="1">
      <c r="A100" s="132" t="s">
        <v>207</v>
      </c>
      <c r="B100" s="94"/>
      <c r="C100" s="17" t="s">
        <v>1007</v>
      </c>
      <c r="D100" s="94"/>
      <c r="E100" s="78"/>
      <c r="F100" s="78"/>
      <c r="G100" s="78"/>
      <c r="H100" s="78">
        <v>2017050</v>
      </c>
      <c r="I100" s="78">
        <v>2354850</v>
      </c>
      <c r="J100" s="78">
        <v>2354850</v>
      </c>
    </row>
    <row r="101" spans="1:10" s="10" customFormat="1" ht="12.75" customHeight="1">
      <c r="A101" s="132" t="s">
        <v>261</v>
      </c>
      <c r="B101" s="94"/>
      <c r="C101" s="115" t="s">
        <v>1263</v>
      </c>
      <c r="D101" s="94"/>
      <c r="E101" s="78"/>
      <c r="F101" s="78"/>
      <c r="G101" s="78"/>
      <c r="H101" s="78"/>
      <c r="I101" s="78">
        <v>1684766</v>
      </c>
      <c r="J101" s="78">
        <v>1684766</v>
      </c>
    </row>
    <row r="102" spans="1:10" s="10" customFormat="1" ht="12.75" customHeight="1">
      <c r="A102" s="132" t="s">
        <v>208</v>
      </c>
      <c r="B102" s="94"/>
      <c r="C102" s="115" t="s">
        <v>679</v>
      </c>
      <c r="D102" s="94"/>
      <c r="E102" s="78"/>
      <c r="F102" s="78"/>
      <c r="G102" s="78"/>
      <c r="H102" s="78"/>
      <c r="I102" s="78"/>
      <c r="J102" s="78"/>
    </row>
    <row r="103" spans="1:10" s="10" customFormat="1" ht="12.75" customHeight="1">
      <c r="A103" s="132" t="s">
        <v>210</v>
      </c>
      <c r="B103" s="94"/>
      <c r="C103" s="170" t="s">
        <v>269</v>
      </c>
      <c r="D103" s="94"/>
      <c r="E103" s="78">
        <f aca="true" t="shared" si="23" ref="E103:J103">E83</f>
        <v>8209104</v>
      </c>
      <c r="F103" s="78">
        <f t="shared" si="23"/>
        <v>8251931</v>
      </c>
      <c r="G103" s="78">
        <f t="shared" si="23"/>
        <v>8432007</v>
      </c>
      <c r="H103" s="78">
        <f t="shared" si="23"/>
        <v>8432007</v>
      </c>
      <c r="I103" s="78">
        <f t="shared" si="23"/>
        <v>8835048</v>
      </c>
      <c r="J103" s="78">
        <f t="shared" si="23"/>
        <v>8830789</v>
      </c>
    </row>
    <row r="104" spans="1:10" s="10" customFormat="1" ht="12.75" customHeight="1">
      <c r="A104" s="132" t="s">
        <v>263</v>
      </c>
      <c r="B104" s="94"/>
      <c r="C104" s="170" t="s">
        <v>271</v>
      </c>
      <c r="D104" s="94"/>
      <c r="E104" s="78">
        <f aca="true" t="shared" si="24" ref="E104:J104">SUM(E80)</f>
        <v>0</v>
      </c>
      <c r="F104" s="78">
        <f t="shared" si="24"/>
        <v>0</v>
      </c>
      <c r="G104" s="78">
        <f t="shared" si="24"/>
        <v>0</v>
      </c>
      <c r="H104" s="78">
        <f t="shared" si="24"/>
        <v>0</v>
      </c>
      <c r="I104" s="78">
        <f t="shared" si="24"/>
        <v>0</v>
      </c>
      <c r="J104" s="78">
        <f t="shared" si="24"/>
        <v>0</v>
      </c>
    </row>
    <row r="105" spans="1:10" s="10" customFormat="1" ht="12.75" customHeight="1">
      <c r="A105" s="132" t="s">
        <v>264</v>
      </c>
      <c r="B105" s="261"/>
      <c r="C105" s="265" t="s">
        <v>539</v>
      </c>
      <c r="D105" s="261"/>
      <c r="E105" s="262">
        <f aca="true" t="shared" si="25" ref="E105:J105">SUM(E93:E104)</f>
        <v>1581130865.2</v>
      </c>
      <c r="F105" s="262">
        <f t="shared" si="25"/>
        <v>1311051406.3</v>
      </c>
      <c r="G105" s="262">
        <f t="shared" si="25"/>
        <v>1494424882.3</v>
      </c>
      <c r="H105" s="262">
        <f t="shared" si="25"/>
        <v>1533777965.3</v>
      </c>
      <c r="I105" s="262">
        <f t="shared" si="25"/>
        <v>1536441773.3</v>
      </c>
      <c r="J105" s="262">
        <f t="shared" si="25"/>
        <v>1661494763.2</v>
      </c>
    </row>
  </sheetData>
  <sheetProtection selectLockedCells="1" selectUnlockedCells="1"/>
  <mergeCells count="47">
    <mergeCell ref="A4:J4"/>
    <mergeCell ref="A3:J3"/>
    <mergeCell ref="A1:J1"/>
    <mergeCell ref="C19:D19"/>
    <mergeCell ref="C36:D36"/>
    <mergeCell ref="A7:B8"/>
    <mergeCell ref="C7:D7"/>
    <mergeCell ref="C8:D8"/>
    <mergeCell ref="C22:D22"/>
    <mergeCell ref="C32:D32"/>
    <mergeCell ref="A50:B51"/>
    <mergeCell ref="A2:D2"/>
    <mergeCell ref="A5:D5"/>
    <mergeCell ref="A6:C6"/>
    <mergeCell ref="C11:D11"/>
    <mergeCell ref="C10:D10"/>
    <mergeCell ref="C13:D13"/>
    <mergeCell ref="C35:D35"/>
    <mergeCell ref="C15:D15"/>
    <mergeCell ref="C34:D34"/>
    <mergeCell ref="C37:D37"/>
    <mergeCell ref="C33:D33"/>
    <mergeCell ref="C20:D20"/>
    <mergeCell ref="C21:D21"/>
    <mergeCell ref="C24:D24"/>
    <mergeCell ref="C25:D25"/>
    <mergeCell ref="C27:D27"/>
    <mergeCell ref="C28:D28"/>
    <mergeCell ref="C23:D23"/>
    <mergeCell ref="C43:D43"/>
    <mergeCell ref="C44:D44"/>
    <mergeCell ref="C45:D45"/>
    <mergeCell ref="C46:D46"/>
    <mergeCell ref="C38:D38"/>
    <mergeCell ref="C39:D39"/>
    <mergeCell ref="C40:D40"/>
    <mergeCell ref="C41:D41"/>
    <mergeCell ref="E2:G2"/>
    <mergeCell ref="C18:D18"/>
    <mergeCell ref="A49:D49"/>
    <mergeCell ref="C48:D48"/>
    <mergeCell ref="C30:D30"/>
    <mergeCell ref="C29:D29"/>
    <mergeCell ref="C14:D14"/>
    <mergeCell ref="C16:D16"/>
    <mergeCell ref="C47:D47"/>
    <mergeCell ref="C42:D42"/>
  </mergeCells>
  <printOptions horizontalCentered="1"/>
  <pageMargins left="0.5118110236220472" right="0.7480314960629921" top="0.1968503937007874" bottom="0.4330708661417323" header="0.5118110236220472" footer="0.15748031496062992"/>
  <pageSetup horizontalDpi="600" verticalDpi="600" orientation="portrait" paperSize="9" scale="56" r:id="rId1"/>
  <headerFooter alignWithMargins="0">
    <oddFooter>&amp;C&amp;P. oldal</oddFooter>
  </headerFooter>
  <rowBreaks count="1" manualBreakCount="1">
    <brk id="71" max="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18" customWidth="1"/>
    <col min="2" max="2" width="42.8515625" style="18" customWidth="1"/>
    <col min="3" max="3" width="12.00390625" style="18" customWidth="1"/>
    <col min="4" max="4" width="11.140625" style="18" customWidth="1"/>
    <col min="5" max="5" width="11.00390625" style="18" customWidth="1"/>
    <col min="6" max="16384" width="9.140625" style="18" customWidth="1"/>
  </cols>
  <sheetData>
    <row r="1" spans="4:5" ht="12.75" customHeight="1">
      <c r="D1" s="1834" t="s">
        <v>72</v>
      </c>
      <c r="E1" s="1834"/>
    </row>
    <row r="2" spans="2:5" ht="12.75" customHeight="1">
      <c r="B2" s="1830" t="s">
        <v>1</v>
      </c>
      <c r="C2" s="1830"/>
      <c r="D2" s="1830"/>
      <c r="E2" s="1830"/>
    </row>
    <row r="3" spans="2:5" ht="12.75" customHeight="1">
      <c r="B3" s="45"/>
      <c r="C3" s="45"/>
      <c r="D3" s="45"/>
      <c r="E3" s="45"/>
    </row>
    <row r="4" spans="2:5" ht="12.75" customHeight="1">
      <c r="B4" s="1835" t="s">
        <v>73</v>
      </c>
      <c r="C4" s="1835"/>
      <c r="D4" s="1835"/>
      <c r="E4" s="1835"/>
    </row>
    <row r="5" spans="2:5" ht="12.75" customHeight="1">
      <c r="B5" s="1835" t="s">
        <v>74</v>
      </c>
      <c r="C5" s="1835"/>
      <c r="D5" s="1835"/>
      <c r="E5" s="1835"/>
    </row>
    <row r="6" spans="4:5" ht="12.75" customHeight="1">
      <c r="D6" s="1834"/>
      <c r="E6" s="1834"/>
    </row>
    <row r="7" spans="4:5" ht="12.75" customHeight="1">
      <c r="D7" s="1836" t="s">
        <v>5</v>
      </c>
      <c r="E7" s="1836"/>
    </row>
    <row r="8" spans="1:5" ht="12.75" customHeight="1">
      <c r="A8" s="1833" t="s">
        <v>24</v>
      </c>
      <c r="B8" s="1833"/>
      <c r="C8" s="46" t="s">
        <v>75</v>
      </c>
      <c r="D8" s="46" t="s">
        <v>76</v>
      </c>
      <c r="E8" s="46" t="s">
        <v>77</v>
      </c>
    </row>
    <row r="9" spans="1:5" ht="12.75" customHeight="1">
      <c r="A9" s="47" t="s">
        <v>38</v>
      </c>
      <c r="B9" s="48" t="s">
        <v>78</v>
      </c>
      <c r="C9" s="49"/>
      <c r="D9" s="49"/>
      <c r="E9" s="49"/>
    </row>
    <row r="10" spans="1:5" ht="12.75" customHeight="1">
      <c r="A10" s="24" t="s">
        <v>40</v>
      </c>
      <c r="B10" s="49" t="s">
        <v>79</v>
      </c>
      <c r="C10" s="50">
        <v>30602</v>
      </c>
      <c r="D10" s="50">
        <f>C10*1.043</f>
        <v>31917.886</v>
      </c>
      <c r="E10" s="50">
        <f>D10*1.043</f>
        <v>33290.35509799999</v>
      </c>
    </row>
    <row r="11" spans="1:5" ht="12.75" customHeight="1">
      <c r="A11" s="47" t="s">
        <v>47</v>
      </c>
      <c r="B11" s="49" t="s">
        <v>80</v>
      </c>
      <c r="C11" s="50"/>
      <c r="D11" s="50"/>
      <c r="E11" s="50"/>
    </row>
    <row r="12" spans="1:5" ht="12.75" customHeight="1">
      <c r="A12" s="24" t="s">
        <v>49</v>
      </c>
      <c r="B12" s="49" t="s">
        <v>81</v>
      </c>
      <c r="C12" s="50"/>
      <c r="D12" s="50"/>
      <c r="E12" s="50"/>
    </row>
    <row r="13" spans="1:5" ht="12.75" customHeight="1">
      <c r="A13" s="47" t="s">
        <v>51</v>
      </c>
      <c r="B13" s="49" t="s">
        <v>82</v>
      </c>
      <c r="C13" s="50"/>
      <c r="D13" s="50"/>
      <c r="E13" s="50"/>
    </row>
    <row r="14" spans="1:5" ht="12.75" customHeight="1">
      <c r="A14" s="24" t="s">
        <v>53</v>
      </c>
      <c r="B14" s="49" t="s">
        <v>83</v>
      </c>
      <c r="C14" s="50"/>
      <c r="D14" s="50"/>
      <c r="E14" s="50"/>
    </row>
    <row r="15" spans="1:5" ht="12.75" customHeight="1">
      <c r="A15" s="47" t="s">
        <v>55</v>
      </c>
      <c r="B15" s="22" t="s">
        <v>84</v>
      </c>
      <c r="C15" s="50"/>
      <c r="D15" s="50"/>
      <c r="E15" s="50"/>
    </row>
    <row r="16" spans="1:5" ht="12.75" customHeight="1">
      <c r="A16" s="24" t="s">
        <v>57</v>
      </c>
      <c r="B16" s="49" t="s">
        <v>85</v>
      </c>
      <c r="C16" s="50">
        <v>27004</v>
      </c>
      <c r="D16" s="50">
        <f>C16*1.043</f>
        <v>28165.172</v>
      </c>
      <c r="E16" s="50">
        <f>D16*1.043</f>
        <v>29376.274395999997</v>
      </c>
    </row>
    <row r="17" spans="1:5" ht="12.75" customHeight="1">
      <c r="A17" s="47" t="s">
        <v>86</v>
      </c>
      <c r="B17" s="49" t="s">
        <v>87</v>
      </c>
      <c r="C17" s="50"/>
      <c r="D17" s="50"/>
      <c r="E17" s="50"/>
    </row>
    <row r="18" spans="1:5" ht="12.75" customHeight="1">
      <c r="A18" s="24" t="s">
        <v>59</v>
      </c>
      <c r="B18" s="49" t="s">
        <v>88</v>
      </c>
      <c r="C18" s="50"/>
      <c r="D18" s="50"/>
      <c r="E18" s="50"/>
    </row>
    <row r="19" spans="1:5" ht="12.75" customHeight="1">
      <c r="A19" s="47" t="s">
        <v>61</v>
      </c>
      <c r="B19" s="49" t="s">
        <v>89</v>
      </c>
      <c r="C19" s="50">
        <v>166778</v>
      </c>
      <c r="D19" s="50">
        <f>C19*1.043</f>
        <v>173949.454</v>
      </c>
      <c r="E19" s="50">
        <f>D19*1.043</f>
        <v>181429.280522</v>
      </c>
    </row>
    <row r="20" spans="1:5" ht="12.75" customHeight="1">
      <c r="A20" s="24" t="s">
        <v>63</v>
      </c>
      <c r="B20" s="22" t="s">
        <v>90</v>
      </c>
      <c r="C20" s="50"/>
      <c r="D20" s="50"/>
      <c r="E20" s="50"/>
    </row>
    <row r="21" spans="1:5" ht="12.75" customHeight="1">
      <c r="A21" s="47" t="s">
        <v>65</v>
      </c>
      <c r="B21" s="49" t="s">
        <v>91</v>
      </c>
      <c r="C21" s="50"/>
      <c r="D21" s="50"/>
      <c r="E21" s="50"/>
    </row>
    <row r="22" spans="1:5" ht="12.75" customHeight="1">
      <c r="A22" s="24" t="s">
        <v>92</v>
      </c>
      <c r="B22" s="49" t="s">
        <v>39</v>
      </c>
      <c r="C22" s="50">
        <v>132230</v>
      </c>
      <c r="D22" s="50">
        <f aca="true" t="shared" si="0" ref="D22:E24">C22*1.043</f>
        <v>137915.88999999998</v>
      </c>
      <c r="E22" s="50">
        <f t="shared" si="0"/>
        <v>143846.27326999998</v>
      </c>
    </row>
    <row r="23" spans="1:5" ht="12.75" customHeight="1">
      <c r="A23" s="47" t="s">
        <v>66</v>
      </c>
      <c r="B23" s="49" t="s">
        <v>93</v>
      </c>
      <c r="C23" s="50">
        <v>6045</v>
      </c>
      <c r="D23" s="50">
        <f t="shared" si="0"/>
        <v>6304.9349999999995</v>
      </c>
      <c r="E23" s="50">
        <f t="shared" si="0"/>
        <v>6576.047204999999</v>
      </c>
    </row>
    <row r="24" spans="1:5" ht="12.75" customHeight="1">
      <c r="A24" s="24" t="s">
        <v>67</v>
      </c>
      <c r="B24" s="49" t="s">
        <v>94</v>
      </c>
      <c r="C24" s="50">
        <v>8000</v>
      </c>
      <c r="D24" s="50">
        <f t="shared" si="0"/>
        <v>8344</v>
      </c>
      <c r="E24" s="50">
        <f t="shared" si="0"/>
        <v>8702.792</v>
      </c>
    </row>
    <row r="25" spans="1:5" ht="12.75" customHeight="1">
      <c r="A25" s="47" t="s">
        <v>68</v>
      </c>
      <c r="B25" s="49" t="s">
        <v>95</v>
      </c>
      <c r="C25" s="50"/>
      <c r="D25" s="50"/>
      <c r="E25" s="50"/>
    </row>
    <row r="26" spans="1:5" ht="12.75" customHeight="1">
      <c r="A26" s="24" t="s">
        <v>70</v>
      </c>
      <c r="B26" s="49" t="s">
        <v>96</v>
      </c>
      <c r="C26" s="50">
        <v>100</v>
      </c>
      <c r="D26" s="50">
        <f>C26*1.043</f>
        <v>104.3</v>
      </c>
      <c r="E26" s="50">
        <f>D26*1.043</f>
        <v>108.7849</v>
      </c>
    </row>
    <row r="27" spans="1:5" ht="12.75" customHeight="1">
      <c r="A27" s="47" t="s">
        <v>97</v>
      </c>
      <c r="B27" s="22" t="s">
        <v>98</v>
      </c>
      <c r="C27" s="50"/>
      <c r="D27" s="50"/>
      <c r="E27" s="50"/>
    </row>
    <row r="28" spans="1:5" ht="12.75" customHeight="1">
      <c r="A28" s="24" t="s">
        <v>99</v>
      </c>
      <c r="B28" s="49" t="s">
        <v>100</v>
      </c>
      <c r="C28" s="50"/>
      <c r="D28" s="50"/>
      <c r="E28" s="50"/>
    </row>
    <row r="29" spans="1:5" ht="12.75" customHeight="1">
      <c r="A29" s="47" t="s">
        <v>101</v>
      </c>
      <c r="B29" s="49" t="s">
        <v>102</v>
      </c>
      <c r="C29" s="50"/>
      <c r="D29" s="50"/>
      <c r="E29" s="50"/>
    </row>
    <row r="30" spans="1:5" ht="12.75" customHeight="1">
      <c r="A30" s="24" t="s">
        <v>103</v>
      </c>
      <c r="B30" s="49" t="s">
        <v>104</v>
      </c>
      <c r="C30" s="50"/>
      <c r="D30" s="50"/>
      <c r="E30" s="50"/>
    </row>
    <row r="31" spans="1:5" ht="12.75" customHeight="1">
      <c r="A31" s="47" t="s">
        <v>105</v>
      </c>
      <c r="B31" s="22" t="s">
        <v>106</v>
      </c>
      <c r="C31" s="50"/>
      <c r="D31" s="50"/>
      <c r="E31" s="50"/>
    </row>
    <row r="32" spans="1:5" ht="12.75" customHeight="1">
      <c r="A32" s="24" t="s">
        <v>107</v>
      </c>
      <c r="B32" s="49" t="s">
        <v>108</v>
      </c>
      <c r="C32" s="50">
        <v>60</v>
      </c>
      <c r="D32" s="50">
        <f>C32*1.043</f>
        <v>62.58</v>
      </c>
      <c r="E32" s="50">
        <f>D32*1.043</f>
        <v>65.27094</v>
      </c>
    </row>
    <row r="33" spans="1:5" ht="12.75" customHeight="1">
      <c r="A33" s="47" t="s">
        <v>109</v>
      </c>
      <c r="B33" s="49" t="s">
        <v>110</v>
      </c>
      <c r="C33" s="50"/>
      <c r="D33" s="50"/>
      <c r="E33" s="50"/>
    </row>
    <row r="34" spans="1:5" ht="12.75" customHeight="1">
      <c r="A34" s="24" t="s">
        <v>111</v>
      </c>
      <c r="B34" s="49" t="s">
        <v>112</v>
      </c>
      <c r="C34" s="50">
        <v>40</v>
      </c>
      <c r="D34" s="50">
        <f>C34*1.043</f>
        <v>41.72</v>
      </c>
      <c r="E34" s="50">
        <f>D34*1.043</f>
        <v>43.51396</v>
      </c>
    </row>
    <row r="35" spans="1:5" ht="12.75" customHeight="1">
      <c r="A35" s="47" t="s">
        <v>113</v>
      </c>
      <c r="B35" s="49" t="s">
        <v>114</v>
      </c>
      <c r="C35" s="50">
        <v>60000</v>
      </c>
      <c r="D35" s="50">
        <f>C54</f>
        <v>52500</v>
      </c>
      <c r="E35" s="50">
        <f>D54</f>
        <v>56359</v>
      </c>
    </row>
    <row r="36" spans="1:5" ht="12.75" customHeight="1">
      <c r="A36" s="24" t="s">
        <v>115</v>
      </c>
      <c r="B36" s="22" t="s">
        <v>116</v>
      </c>
      <c r="C36" s="51">
        <f>SUM(C9:C35)</f>
        <v>430859</v>
      </c>
      <c r="D36" s="51">
        <f>SUM(D9:D35)</f>
        <v>439305.937</v>
      </c>
      <c r="E36" s="51">
        <f>SUM(E9:E35)</f>
        <v>459797.592291</v>
      </c>
    </row>
    <row r="37" spans="1:5" ht="12.75" customHeight="1">
      <c r="A37" s="47" t="s">
        <v>117</v>
      </c>
      <c r="B37" s="49"/>
      <c r="C37" s="50"/>
      <c r="D37" s="50"/>
      <c r="E37" s="50"/>
    </row>
    <row r="38" spans="1:5" ht="12.75" customHeight="1">
      <c r="A38" s="24" t="s">
        <v>118</v>
      </c>
      <c r="B38" s="22" t="s">
        <v>119</v>
      </c>
      <c r="C38" s="50"/>
      <c r="D38" s="50"/>
      <c r="E38" s="50"/>
    </row>
    <row r="39" spans="1:5" ht="12.75" customHeight="1">
      <c r="A39" s="47" t="s">
        <v>120</v>
      </c>
      <c r="B39" s="49" t="s">
        <v>121</v>
      </c>
      <c r="C39" s="50">
        <v>169901</v>
      </c>
      <c r="D39" s="50">
        <f aca="true" t="shared" si="1" ref="D39:E43">C39*1.043</f>
        <v>177206.743</v>
      </c>
      <c r="E39" s="50">
        <f t="shared" si="1"/>
        <v>184826.63294899996</v>
      </c>
    </row>
    <row r="40" spans="1:5" ht="12.75" customHeight="1">
      <c r="A40" s="24" t="s">
        <v>122</v>
      </c>
      <c r="B40" s="49" t="s">
        <v>123</v>
      </c>
      <c r="C40" s="50">
        <v>43754</v>
      </c>
      <c r="D40" s="50">
        <f t="shared" si="1"/>
        <v>45635.422</v>
      </c>
      <c r="E40" s="50">
        <f t="shared" si="1"/>
        <v>47597.745145999994</v>
      </c>
    </row>
    <row r="41" spans="1:5" ht="12.75" customHeight="1">
      <c r="A41" s="47" t="s">
        <v>124</v>
      </c>
      <c r="B41" s="49" t="s">
        <v>125</v>
      </c>
      <c r="C41" s="50">
        <v>134174</v>
      </c>
      <c r="D41" s="50">
        <f t="shared" si="1"/>
        <v>139943.482</v>
      </c>
      <c r="E41" s="50">
        <f t="shared" si="1"/>
        <v>145961.05172599998</v>
      </c>
    </row>
    <row r="42" spans="1:5" ht="12.75" customHeight="1">
      <c r="A42" s="24" t="s">
        <v>126</v>
      </c>
      <c r="B42" s="49" t="s">
        <v>127</v>
      </c>
      <c r="C42" s="50">
        <v>8850</v>
      </c>
      <c r="D42" s="50">
        <f t="shared" si="1"/>
        <v>9230.55</v>
      </c>
      <c r="E42" s="50">
        <f t="shared" si="1"/>
        <v>9627.463649999998</v>
      </c>
    </row>
    <row r="43" spans="1:5" ht="12.75" customHeight="1">
      <c r="A43" s="47" t="s">
        <v>128</v>
      </c>
      <c r="B43" s="49" t="s">
        <v>129</v>
      </c>
      <c r="C43" s="50">
        <v>10480</v>
      </c>
      <c r="D43" s="50">
        <f t="shared" si="1"/>
        <v>10930.64</v>
      </c>
      <c r="E43" s="50">
        <f t="shared" si="1"/>
        <v>11400.657519999999</v>
      </c>
    </row>
    <row r="44" spans="1:5" ht="12.75" customHeight="1">
      <c r="A44" s="24" t="s">
        <v>130</v>
      </c>
      <c r="B44" s="22" t="s">
        <v>15</v>
      </c>
      <c r="C44" s="50"/>
      <c r="D44" s="50"/>
      <c r="E44" s="50"/>
    </row>
    <row r="45" spans="1:5" ht="12.75" customHeight="1">
      <c r="A45" s="47" t="s">
        <v>131</v>
      </c>
      <c r="B45" s="49" t="s">
        <v>132</v>
      </c>
      <c r="C45" s="50">
        <v>1000</v>
      </c>
      <c r="D45" s="50"/>
      <c r="E45" s="50"/>
    </row>
    <row r="46" spans="1:5" ht="12.75" customHeight="1">
      <c r="A46" s="24" t="s">
        <v>133</v>
      </c>
      <c r="B46" s="49" t="s">
        <v>134</v>
      </c>
      <c r="C46" s="50">
        <v>10200</v>
      </c>
      <c r="D46" s="50"/>
      <c r="E46" s="50"/>
    </row>
    <row r="47" spans="1:5" ht="12.75" customHeight="1">
      <c r="A47" s="47" t="s">
        <v>135</v>
      </c>
      <c r="B47" s="49" t="s">
        <v>136</v>
      </c>
      <c r="C47" s="50"/>
      <c r="D47" s="50"/>
      <c r="E47" s="50"/>
    </row>
    <row r="48" spans="1:5" ht="12.75" customHeight="1">
      <c r="A48" s="24" t="s">
        <v>137</v>
      </c>
      <c r="B48" s="49" t="s">
        <v>138</v>
      </c>
      <c r="C48" s="50"/>
      <c r="D48" s="50"/>
      <c r="E48" s="50"/>
    </row>
    <row r="49" spans="1:5" ht="12.75" customHeight="1">
      <c r="A49" s="47" t="s">
        <v>139</v>
      </c>
      <c r="B49" s="49" t="s">
        <v>140</v>
      </c>
      <c r="C49" s="50"/>
      <c r="D49" s="50"/>
      <c r="E49" s="50"/>
    </row>
    <row r="50" spans="1:5" ht="12.75" customHeight="1">
      <c r="A50" s="24" t="s">
        <v>141</v>
      </c>
      <c r="B50" s="49" t="s">
        <v>142</v>
      </c>
      <c r="C50" s="50"/>
      <c r="D50" s="50"/>
      <c r="E50" s="50"/>
    </row>
    <row r="51" spans="1:5" ht="12.75" customHeight="1">
      <c r="A51" s="47" t="s">
        <v>143</v>
      </c>
      <c r="B51" s="49" t="s">
        <v>144</v>
      </c>
      <c r="C51" s="50"/>
      <c r="D51" s="50"/>
      <c r="E51" s="50"/>
    </row>
    <row r="52" spans="1:5" ht="12.75" customHeight="1">
      <c r="A52" s="24" t="s">
        <v>145</v>
      </c>
      <c r="B52" s="49" t="s">
        <v>146</v>
      </c>
      <c r="C52" s="50"/>
      <c r="D52" s="50"/>
      <c r="E52" s="50"/>
    </row>
    <row r="53" spans="1:5" ht="12.75" customHeight="1">
      <c r="A53" s="47" t="s">
        <v>147</v>
      </c>
      <c r="B53" s="49" t="s">
        <v>148</v>
      </c>
      <c r="C53" s="50"/>
      <c r="D53" s="50"/>
      <c r="E53" s="50"/>
    </row>
    <row r="54" spans="1:5" ht="12.75" customHeight="1">
      <c r="A54" s="24" t="s">
        <v>149</v>
      </c>
      <c r="B54" s="22" t="s">
        <v>150</v>
      </c>
      <c r="C54" s="50">
        <v>52500</v>
      </c>
      <c r="D54" s="50">
        <v>56359</v>
      </c>
      <c r="E54" s="50">
        <v>60384</v>
      </c>
    </row>
    <row r="55" spans="1:5" ht="12.75" customHeight="1">
      <c r="A55" s="47" t="s">
        <v>151</v>
      </c>
      <c r="B55" s="22" t="s">
        <v>152</v>
      </c>
      <c r="C55" s="51">
        <f>SUM(C39:C54)</f>
        <v>430859</v>
      </c>
      <c r="D55" s="51">
        <f>SUM(D39:D54)</f>
        <v>439305.837</v>
      </c>
      <c r="E55" s="51">
        <f>SUM(E39:E54)</f>
        <v>459797.55099099997</v>
      </c>
    </row>
    <row r="57" spans="4:5" ht="12.75" customHeight="1">
      <c r="D57" s="21">
        <f>D55-D36</f>
        <v>-0.09999999997671694</v>
      </c>
      <c r="E57" s="21">
        <f>E55-E36</f>
        <v>-0.04130000004079193</v>
      </c>
    </row>
    <row r="59" ht="12.75" customHeight="1">
      <c r="C59" s="18">
        <v>430859</v>
      </c>
    </row>
    <row r="60" ht="12.75" customHeight="1">
      <c r="C60" s="21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5"/>
  <sheetViews>
    <sheetView showGridLines="0" view="pageBreakPreview" zoomScale="110" zoomScaleSheetLayoutView="110" workbookViewId="0" topLeftCell="A1">
      <selection activeCell="D20" sqref="D20"/>
    </sheetView>
  </sheetViews>
  <sheetFormatPr defaultColWidth="11.7109375" defaultRowHeight="12.75" customHeight="1"/>
  <cols>
    <col min="1" max="2" width="3.8515625" style="5" customWidth="1"/>
    <col min="3" max="3" width="60.140625" style="5" customWidth="1"/>
    <col min="4" max="9" width="21.57421875" style="52" customWidth="1"/>
    <col min="10" max="16384" width="11.7109375" style="5" customWidth="1"/>
  </cols>
  <sheetData>
    <row r="1" spans="1:9" ht="12.75" customHeight="1">
      <c r="A1" s="1837" t="s">
        <v>153</v>
      </c>
      <c r="B1" s="1837"/>
      <c r="C1" s="1837"/>
      <c r="D1" s="1837"/>
      <c r="E1" s="1837"/>
      <c r="F1" s="1837"/>
      <c r="G1" s="1837"/>
      <c r="H1" s="1837"/>
      <c r="I1" s="1837"/>
    </row>
    <row r="2" spans="1:9" ht="15.75">
      <c r="A2" s="1814"/>
      <c r="B2" s="1814"/>
      <c r="C2" s="1814"/>
      <c r="D2" s="1854" t="s">
        <v>1295</v>
      </c>
      <c r="E2" s="1854"/>
      <c r="F2" s="1854"/>
      <c r="G2" s="1814"/>
      <c r="H2" s="1814"/>
      <c r="I2" s="1814" t="s">
        <v>153</v>
      </c>
    </row>
    <row r="3" spans="1:9" ht="12.75" customHeight="1">
      <c r="A3" s="1853" t="s">
        <v>1296</v>
      </c>
      <c r="B3" s="1853"/>
      <c r="C3" s="1853"/>
      <c r="D3" s="1853"/>
      <c r="E3" s="1853"/>
      <c r="F3" s="1853"/>
      <c r="G3" s="1853"/>
      <c r="H3" s="1853"/>
      <c r="I3" s="1853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6.25" customHeight="1">
      <c r="A5" s="1838" t="s">
        <v>2</v>
      </c>
      <c r="B5" s="1838"/>
      <c r="C5" s="1838"/>
      <c r="D5" s="1838"/>
      <c r="E5" s="1838"/>
      <c r="F5" s="1838"/>
      <c r="G5" s="1838"/>
      <c r="H5" s="1838"/>
      <c r="I5" s="1838"/>
    </row>
    <row r="6" spans="1:9" ht="12.75" customHeight="1">
      <c r="A6" s="1838" t="s">
        <v>154</v>
      </c>
      <c r="B6" s="1838"/>
      <c r="C6" s="1838"/>
      <c r="D6" s="1838"/>
      <c r="E6" s="1838"/>
      <c r="F6" s="1838"/>
      <c r="G6" s="1838"/>
      <c r="H6" s="1838"/>
      <c r="I6" s="1838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 thickBot="1">
      <c r="A8" s="2"/>
      <c r="B8" s="2"/>
      <c r="C8" s="2"/>
      <c r="D8" s="1323"/>
      <c r="E8" s="1323"/>
      <c r="F8" s="1323"/>
      <c r="G8" s="1323"/>
      <c r="H8" s="1323"/>
      <c r="I8" s="1323" t="s">
        <v>214</v>
      </c>
    </row>
    <row r="9" spans="1:9" ht="46.5" customHeight="1" thickBot="1">
      <c r="A9" s="1841" t="s">
        <v>156</v>
      </c>
      <c r="B9" s="1842"/>
      <c r="C9" s="1307" t="s">
        <v>157</v>
      </c>
      <c r="D9" s="349" t="s">
        <v>1071</v>
      </c>
      <c r="E9" s="349" t="s">
        <v>1072</v>
      </c>
      <c r="F9" s="349" t="s">
        <v>1157</v>
      </c>
      <c r="G9" s="349" t="s">
        <v>1178</v>
      </c>
      <c r="H9" s="349" t="s">
        <v>1250</v>
      </c>
      <c r="I9" s="349" t="s">
        <v>1267</v>
      </c>
    </row>
    <row r="10" spans="1:9" ht="12.75" customHeight="1" thickBot="1">
      <c r="A10" s="1843"/>
      <c r="B10" s="1844"/>
      <c r="C10" s="350" t="s">
        <v>158</v>
      </c>
      <c r="D10" s="351" t="s">
        <v>159</v>
      </c>
      <c r="E10" s="351" t="s">
        <v>160</v>
      </c>
      <c r="F10" s="351" t="s">
        <v>161</v>
      </c>
      <c r="G10" s="351" t="s">
        <v>456</v>
      </c>
      <c r="H10" s="351" t="s">
        <v>476</v>
      </c>
      <c r="I10" s="351" t="s">
        <v>701</v>
      </c>
    </row>
    <row r="11" spans="1:9" s="55" customFormat="1" ht="12.75" customHeight="1">
      <c r="A11" s="1475" t="s">
        <v>38</v>
      </c>
      <c r="B11" s="53"/>
      <c r="C11" s="54" t="s">
        <v>162</v>
      </c>
      <c r="D11" s="226">
        <f>SUM('19 önkormányzat'!E16)</f>
        <v>224127634</v>
      </c>
      <c r="E11" s="689">
        <f>SUM('19 önkormányzat'!F16)</f>
        <v>206298258</v>
      </c>
      <c r="F11" s="689">
        <f>SUM('19 önkormányzat'!G16)</f>
        <v>221554558</v>
      </c>
      <c r="G11" s="689">
        <f>SUM('19 önkormányzat'!H16)</f>
        <v>232211188</v>
      </c>
      <c r="H11" s="689">
        <f>SUM('19 önkormányzat'!I16)</f>
        <v>233658988</v>
      </c>
      <c r="I11" s="689">
        <f>SUM('19 önkormányzat'!J16)</f>
        <v>241598521</v>
      </c>
    </row>
    <row r="12" spans="1:9" s="60" customFormat="1" ht="12.75" customHeight="1">
      <c r="A12" s="1476" t="s">
        <v>40</v>
      </c>
      <c r="B12" s="56"/>
      <c r="C12" s="57" t="s">
        <v>163</v>
      </c>
      <c r="D12" s="226">
        <f>SUM('19 önkormányzat'!E17)+'ÖNK ÖSSZESITŐ'!E31+'17. Hivatal'!E19+'15. Óvoda'!E9+'16. Műv. ház'!E9</f>
        <v>22974278</v>
      </c>
      <c r="E12" s="689">
        <f>SUM('19 önkormányzat'!F17)+'ÖNK ÖSSZESITŐ'!F31+'17. Hivatal'!F19+'15. Óvoda'!F9+'16. Műv. ház'!F9</f>
        <v>250000</v>
      </c>
      <c r="F12" s="689">
        <f>SUM('19 önkormányzat'!G17)+'ÖNK ÖSSZESITŐ'!G31+'17. Hivatal'!G19+'15. Óvoda'!G9+'16. Műv. ház'!G9</f>
        <v>285340</v>
      </c>
      <c r="G12" s="689">
        <f>SUM('19 önkormányzat'!H17)+'ÖNK ÖSSZESITŐ'!H31+'17. Hivatal'!H19+'15. Óvoda'!H9+'16. Műv. ház'!H9</f>
        <v>1547744</v>
      </c>
      <c r="H12" s="689">
        <f>SUM('19 önkormányzat'!I17)+'ÖNK ÖSSZESITŐ'!I31+'17. Hivatal'!I19+'15. Óvoda'!I9+'16. Műv. ház'!I9</f>
        <v>3657288</v>
      </c>
      <c r="I12" s="689">
        <f>SUM('19 önkormányzat'!J17)+'ÖNK ÖSSZESITŐ'!J31+'17. Hivatal'!J19+'15. Óvoda'!J9+'16. Műv. ház'!J9</f>
        <v>4527092</v>
      </c>
    </row>
    <row r="13" spans="1:9" s="64" customFormat="1" ht="12.75" customHeight="1">
      <c r="A13" s="1477" t="s">
        <v>47</v>
      </c>
      <c r="B13" s="61" t="s">
        <v>164</v>
      </c>
      <c r="C13" s="9" t="s">
        <v>165</v>
      </c>
      <c r="D13" s="62">
        <f aca="true" t="shared" si="0" ref="D13:I13">SUM(D11:D12)</f>
        <v>247101912</v>
      </c>
      <c r="E13" s="421">
        <f t="shared" si="0"/>
        <v>206548258</v>
      </c>
      <c r="F13" s="421">
        <f t="shared" si="0"/>
        <v>221839898</v>
      </c>
      <c r="G13" s="421">
        <f t="shared" si="0"/>
        <v>233758932</v>
      </c>
      <c r="H13" s="421">
        <f t="shared" si="0"/>
        <v>237316276</v>
      </c>
      <c r="I13" s="421">
        <f t="shared" si="0"/>
        <v>246125613</v>
      </c>
    </row>
    <row r="14" spans="1:9" s="64" customFormat="1" ht="12.75" customHeight="1">
      <c r="A14" s="1477" t="s">
        <v>49</v>
      </c>
      <c r="B14" s="61" t="s">
        <v>166</v>
      </c>
      <c r="C14" s="9" t="s">
        <v>167</v>
      </c>
      <c r="D14" s="63">
        <f>SUM('ÖNK ÖSSZESITŐ'!E38)</f>
        <v>86558434</v>
      </c>
      <c r="E14" s="1478">
        <f>SUM('ÖNK ÖSSZESITŐ'!F38)</f>
        <v>0</v>
      </c>
      <c r="F14" s="1478">
        <f>SUM('ÖNK ÖSSZESITŐ'!G38)</f>
        <v>204583492</v>
      </c>
      <c r="G14" s="1478">
        <f>SUM('ÖNK ÖSSZESITŐ'!H38)</f>
        <v>225628568</v>
      </c>
      <c r="H14" s="1478">
        <f>SUM('ÖNK ÖSSZESITŐ'!I38)</f>
        <v>225628568</v>
      </c>
      <c r="I14" s="1478">
        <f>SUM('ÖNK ÖSSZESITŐ'!J38)</f>
        <v>243628561</v>
      </c>
    </row>
    <row r="15" spans="1:9" s="60" customFormat="1" ht="12.75" customHeight="1">
      <c r="A15" s="1476" t="s">
        <v>51</v>
      </c>
      <c r="B15" s="56"/>
      <c r="C15" s="57" t="s">
        <v>168</v>
      </c>
      <c r="D15" s="58">
        <f>SUM('19 önkormányzat'!E32)</f>
        <v>7416968</v>
      </c>
      <c r="E15" s="691">
        <f>SUM('19 önkormányzat'!F32)</f>
        <v>7000000</v>
      </c>
      <c r="F15" s="691">
        <f>SUM('19 önkormányzat'!G32)</f>
        <v>7000000</v>
      </c>
      <c r="G15" s="691">
        <f>SUM('19 önkormányzat'!H32)</f>
        <v>7000000</v>
      </c>
      <c r="H15" s="691">
        <f>SUM('19 önkormányzat'!I32)</f>
        <v>7000000</v>
      </c>
      <c r="I15" s="691">
        <f>SUM('19 önkormányzat'!J32)</f>
        <v>8449347</v>
      </c>
    </row>
    <row r="16" spans="1:9" s="60" customFormat="1" ht="23.25" customHeight="1">
      <c r="A16" s="1476" t="s">
        <v>53</v>
      </c>
      <c r="B16" s="56"/>
      <c r="C16" s="57" t="s">
        <v>169</v>
      </c>
      <c r="D16" s="58">
        <f>SUM('19 önkormányzat'!E33)</f>
        <v>178695853</v>
      </c>
      <c r="E16" s="691">
        <f>SUM('19 önkormányzat'!F33)</f>
        <v>170000000</v>
      </c>
      <c r="F16" s="691">
        <f>SUM('19 önkormányzat'!G33)</f>
        <v>149699463</v>
      </c>
      <c r="G16" s="691">
        <f>SUM('19 önkormányzat'!H33)</f>
        <v>149699463</v>
      </c>
      <c r="H16" s="691">
        <f>SUM('19 önkormányzat'!I33)</f>
        <v>149699463</v>
      </c>
      <c r="I16" s="691">
        <f>SUM('19 önkormányzat'!J33)</f>
        <v>147879068</v>
      </c>
    </row>
    <row r="17" spans="1:9" s="60" customFormat="1" ht="12.75" customHeight="1">
      <c r="A17" s="1476" t="s">
        <v>55</v>
      </c>
      <c r="B17" s="56"/>
      <c r="C17" s="57" t="s">
        <v>170</v>
      </c>
      <c r="D17" s="58">
        <f>SUM('19 önkormányzat'!E34)</f>
        <v>10879813</v>
      </c>
      <c r="E17" s="691">
        <f>SUM('19 önkormányzat'!F34)</f>
        <v>10700000</v>
      </c>
      <c r="F17" s="691">
        <f>SUM('19 önkormányzat'!G34)</f>
        <v>0</v>
      </c>
      <c r="G17" s="691">
        <f>SUM('19 önkormányzat'!H34)</f>
        <v>0</v>
      </c>
      <c r="H17" s="691">
        <f>SUM('19 önkormányzat'!I34)</f>
        <v>0</v>
      </c>
      <c r="I17" s="691">
        <f>SUM('19 önkormányzat'!J34)</f>
        <v>0</v>
      </c>
    </row>
    <row r="18" spans="1:9" s="60" customFormat="1" ht="12.75" customHeight="1">
      <c r="A18" s="1476" t="s">
        <v>57</v>
      </c>
      <c r="B18" s="56"/>
      <c r="C18" s="57" t="s">
        <v>171</v>
      </c>
      <c r="D18" s="58">
        <f>SUM('19 önkormányzat'!E35)</f>
        <v>0</v>
      </c>
      <c r="E18" s="691">
        <f>SUM('19 önkormányzat'!F35)</f>
        <v>0</v>
      </c>
      <c r="F18" s="691">
        <f>SUM('19 önkormányzat'!G35)</f>
        <v>0</v>
      </c>
      <c r="G18" s="691">
        <f>SUM('19 önkormányzat'!H35)</f>
        <v>0</v>
      </c>
      <c r="H18" s="691">
        <f>SUM('19 önkormányzat'!I35)</f>
        <v>0</v>
      </c>
      <c r="I18" s="691">
        <f>SUM('19 önkormányzat'!J35)</f>
        <v>0</v>
      </c>
    </row>
    <row r="19" spans="1:9" s="60" customFormat="1" ht="12.75" customHeight="1">
      <c r="A19" s="1476" t="s">
        <v>86</v>
      </c>
      <c r="B19" s="56"/>
      <c r="C19" s="57" t="s">
        <v>172</v>
      </c>
      <c r="D19" s="58">
        <f>SUM('19 önkormányzat'!E36)</f>
        <v>275818</v>
      </c>
      <c r="E19" s="691">
        <f>SUM('19 önkormányzat'!F36)</f>
        <v>250000</v>
      </c>
      <c r="F19" s="691">
        <f>SUM('19 önkormányzat'!G36)</f>
        <v>250000</v>
      </c>
      <c r="G19" s="691">
        <f>SUM('19 önkormányzat'!H36)</f>
        <v>350000</v>
      </c>
      <c r="H19" s="691">
        <f>SUM('19 önkormányzat'!I36)+'17. Hivatal'!I17</f>
        <v>450000</v>
      </c>
      <c r="I19" s="691">
        <f>SUM('19 önkormányzat'!J36)+'17. Hivatal'!J17</f>
        <v>869993</v>
      </c>
    </row>
    <row r="20" spans="1:9" s="64" customFormat="1" ht="12.75" customHeight="1">
      <c r="A20" s="1477" t="s">
        <v>59</v>
      </c>
      <c r="B20" s="61" t="s">
        <v>173</v>
      </c>
      <c r="C20" s="9" t="s">
        <v>174</v>
      </c>
      <c r="D20" s="647">
        <f aca="true" t="shared" si="1" ref="D20:I20">SUM(D15:D19)</f>
        <v>197268452</v>
      </c>
      <c r="E20" s="1299">
        <f t="shared" si="1"/>
        <v>187950000</v>
      </c>
      <c r="F20" s="1299">
        <f t="shared" si="1"/>
        <v>156949463</v>
      </c>
      <c r="G20" s="1299">
        <f t="shared" si="1"/>
        <v>157049463</v>
      </c>
      <c r="H20" s="1299">
        <f t="shared" si="1"/>
        <v>157149463</v>
      </c>
      <c r="I20" s="1299">
        <f t="shared" si="1"/>
        <v>157198408</v>
      </c>
    </row>
    <row r="21" spans="1:9" s="60" customFormat="1" ht="12.75" customHeight="1">
      <c r="A21" s="1476" t="s">
        <v>61</v>
      </c>
      <c r="B21" s="56"/>
      <c r="C21" s="57" t="s">
        <v>175</v>
      </c>
      <c r="D21" s="701">
        <f>SUM('17. Hivatal'!E11+'18. VÜKI'!E13+'19 önkormányzat'!E38)</f>
        <v>4036017</v>
      </c>
      <c r="E21" s="1479">
        <f>SUM('17. Hivatal'!F11+'18. VÜKI'!F13+'19 önkormányzat'!F38)</f>
        <v>3981000</v>
      </c>
      <c r="F21" s="1479">
        <f>SUM('17. Hivatal'!G11+'18. VÜKI'!G13+'19 önkormányzat'!G38)</f>
        <v>2700000</v>
      </c>
      <c r="G21" s="1479">
        <f>SUM('17. Hivatal'!H11+'18. VÜKI'!H13+'19 önkormányzat'!H38)</f>
        <v>3200000</v>
      </c>
      <c r="H21" s="1479">
        <v>4750000</v>
      </c>
      <c r="I21" s="1479">
        <f>SUM('17. Hivatal'!J11+'18. VÜKI'!J13+'19 önkormányzat'!J38)</f>
        <v>5033402</v>
      </c>
    </row>
    <row r="22" spans="1:9" s="60" customFormat="1" ht="12.75" customHeight="1">
      <c r="A22" s="1476" t="s">
        <v>63</v>
      </c>
      <c r="B22" s="56"/>
      <c r="C22" s="57" t="s">
        <v>176</v>
      </c>
      <c r="D22" s="701">
        <f>SUM('17. Hivatal'!E12+'19 önkormányzat'!E39)+'18. VÜKI'!E14</f>
        <v>6708948</v>
      </c>
      <c r="E22" s="1479">
        <f>SUM('17. Hivatal'!F12+'19 önkormányzat'!F39)+'18. VÜKI'!F14</f>
        <v>6695500</v>
      </c>
      <c r="F22" s="1479">
        <f>SUM('17. Hivatal'!G12+'19 önkormányzat'!G39)+'18. VÜKI'!G14</f>
        <v>6695500</v>
      </c>
      <c r="G22" s="1479">
        <f>SUM('17. Hivatal'!H12+'19 önkormányzat'!H39)+'18. VÜKI'!H14</f>
        <v>5516500</v>
      </c>
      <c r="H22" s="1479">
        <f>SUM('17. Hivatal'!I12+'19 önkormányzat'!I39)+'18. VÜKI'!I14</f>
        <v>5416500</v>
      </c>
      <c r="I22" s="1479">
        <f>SUM('17. Hivatal'!J12+'19 önkormányzat'!J39)+'18. VÜKI'!J14</f>
        <v>17435390</v>
      </c>
    </row>
    <row r="23" spans="1:9" s="60" customFormat="1" ht="12.75" customHeight="1">
      <c r="A23" s="1480" t="s">
        <v>65</v>
      </c>
      <c r="B23" s="65"/>
      <c r="C23" s="57" t="s">
        <v>177</v>
      </c>
      <c r="D23" s="701">
        <f>SUM('16. Műv. ház'!E11+'18. VÜKI'!E15+'19 önkormányzat'!E40)</f>
        <v>1645960</v>
      </c>
      <c r="E23" s="1479">
        <f>SUM('16. Műv. ház'!F11+'18. VÜKI'!F15+'19 önkormányzat'!F40)</f>
        <v>1638000</v>
      </c>
      <c r="F23" s="1479">
        <f>SUM('16. Műv. ház'!G11+'18. VÜKI'!G15+'19 önkormányzat'!G40)</f>
        <v>621000</v>
      </c>
      <c r="G23" s="1479">
        <f>SUM('16. Műv. ház'!H11+'18. VÜKI'!H15+'19 önkormányzat'!H40)</f>
        <v>821000</v>
      </c>
      <c r="H23" s="1479">
        <v>421000</v>
      </c>
      <c r="I23" s="1479">
        <f>SUM('16. Műv. ház'!J11+'18. VÜKI'!J15+'19 önkormányzat'!J40)</f>
        <v>1204677</v>
      </c>
    </row>
    <row r="24" spans="1:9" s="60" customFormat="1" ht="12.75" customHeight="1">
      <c r="A24" s="1476" t="s">
        <v>92</v>
      </c>
      <c r="B24" s="56"/>
      <c r="C24" s="57" t="s">
        <v>178</v>
      </c>
      <c r="D24" s="701">
        <f>SUM('15. Óvoda'!E11+'15. Óvoda'!E12+'18. VÜKI'!E16)</f>
        <v>21064715</v>
      </c>
      <c r="E24" s="1479">
        <f>SUM('15. Óvoda'!F11+'15. Óvoda'!F12+'18. VÜKI'!F16)</f>
        <v>21065000</v>
      </c>
      <c r="F24" s="1479">
        <f>SUM('15. Óvoda'!G11+'15. Óvoda'!G12+'18. VÜKI'!G16)</f>
        <v>18211501</v>
      </c>
      <c r="G24" s="1479">
        <f>SUM('15. Óvoda'!H11+'15. Óvoda'!H12+'18. VÜKI'!H16)</f>
        <v>18211501</v>
      </c>
      <c r="H24" s="1479">
        <f>SUM('15. Óvoda'!I11+'15. Óvoda'!I12+'18. VÜKI'!I16)</f>
        <v>18211501</v>
      </c>
      <c r="I24" s="1479">
        <f>SUM('15. Óvoda'!J11+'15. Óvoda'!J12+'18. VÜKI'!J16)</f>
        <v>18692184</v>
      </c>
    </row>
    <row r="25" spans="1:9" s="60" customFormat="1" ht="12.75" customHeight="1">
      <c r="A25" s="1476" t="s">
        <v>66</v>
      </c>
      <c r="B25" s="56"/>
      <c r="C25" s="57" t="s">
        <v>179</v>
      </c>
      <c r="D25" s="701">
        <f>SUM('15. Óvoda'!E13+'17. Hivatal'!E13+'18. VÜKI'!E17+'19 önkormányzat'!E41)</f>
        <v>16196012</v>
      </c>
      <c r="E25" s="1479">
        <f>SUM('15. Óvoda'!F13+'17. Hivatal'!F13+'18. VÜKI'!F17+'19 önkormányzat'!F41)</f>
        <v>16200000</v>
      </c>
      <c r="F25" s="1479">
        <f>SUM('15. Óvoda'!G13+'17. Hivatal'!G13+'18. VÜKI'!G17+'19 önkormányzat'!G41)</f>
        <v>15548625</v>
      </c>
      <c r="G25" s="1479">
        <f>SUM('15. Óvoda'!H13+'17. Hivatal'!H13+'18. VÜKI'!H17+'19 önkormányzat'!H41)</f>
        <v>15148625</v>
      </c>
      <c r="H25" s="1479">
        <f>SUM('15. Óvoda'!I13+'17. Hivatal'!I13+'18. VÜKI'!I17+'19 önkormányzat'!I41)</f>
        <v>12548625</v>
      </c>
      <c r="I25" s="1479">
        <f>SUM('15. Óvoda'!J13+'17. Hivatal'!J13+'18. VÜKI'!J17+'19 önkormányzat'!J41)</f>
        <v>18540726</v>
      </c>
    </row>
    <row r="26" spans="1:9" s="60" customFormat="1" ht="12.75" customHeight="1">
      <c r="A26" s="1481" t="s">
        <v>67</v>
      </c>
      <c r="B26" s="56"/>
      <c r="C26" s="651" t="s">
        <v>695</v>
      </c>
      <c r="D26" s="701">
        <f>SUM('15. Óvoda'!E16+'17. Hivatal'!E16)</f>
        <v>292000</v>
      </c>
      <c r="E26" s="1479">
        <f>SUM('15. Óvoda'!F16+'17. Hivatal'!F16)</f>
        <v>0</v>
      </c>
      <c r="F26" s="1479">
        <f>SUM('15. Óvoda'!G16+'17. Hivatal'!G16)</f>
        <v>0</v>
      </c>
      <c r="G26" s="1479">
        <f>SUM('15. Óvoda'!H16+'17. Hivatal'!H16)</f>
        <v>287000</v>
      </c>
      <c r="H26" s="1479">
        <f>SUM('15. Óvoda'!I16+'17. Hivatal'!I16)</f>
        <v>287000</v>
      </c>
      <c r="I26" s="1479">
        <f>SUM('15. Óvoda'!J16+'17. Hivatal'!J16)</f>
        <v>287000</v>
      </c>
    </row>
    <row r="27" spans="1:9" s="60" customFormat="1" ht="12.75" customHeight="1">
      <c r="A27" s="1476" t="s">
        <v>68</v>
      </c>
      <c r="B27" s="56"/>
      <c r="C27" s="57" t="s">
        <v>180</v>
      </c>
      <c r="D27" s="701">
        <f>SUM('15. Óvoda'!E14+'16. Műv. ház'!E12+'17. Hivatal'!E14+'18. VÜKI'!E19+'19 önkormányzat'!E43)</f>
        <v>56</v>
      </c>
      <c r="E27" s="1479">
        <f>SUM('15. Óvoda'!F14+'16. Műv. ház'!F12+'17. Hivatal'!F14+'18. VÜKI'!F19+'19 önkormányzat'!F43)</f>
        <v>0</v>
      </c>
      <c r="F27" s="1479">
        <f>SUM('15. Óvoda'!G14+'16. Műv. ház'!G12+'17. Hivatal'!G14+'18. VÜKI'!G19+'19 önkormányzat'!G43)</f>
        <v>27</v>
      </c>
      <c r="G27" s="1479">
        <f>SUM('15. Óvoda'!H14+'16. Műv. ház'!H12+'17. Hivatal'!H14+'18. VÜKI'!H19+'19 önkormányzat'!H43)</f>
        <v>102</v>
      </c>
      <c r="H27" s="1479">
        <f>SUM('15. Óvoda'!I14+'16. Műv. ház'!I12+'17. Hivatal'!I14+'18. VÜKI'!I19+'19 önkormányzat'!I43)</f>
        <v>103</v>
      </c>
      <c r="I27" s="1479">
        <f>SUM('15. Óvoda'!J14+'16. Műv. ház'!J12+'17. Hivatal'!J14+'18. VÜKI'!J19+'19 önkormányzat'!J43)</f>
        <v>121</v>
      </c>
    </row>
    <row r="28" spans="1:9" s="60" customFormat="1" ht="12.75" customHeight="1">
      <c r="A28" s="1476" t="s">
        <v>70</v>
      </c>
      <c r="B28" s="56"/>
      <c r="C28" s="57" t="s">
        <v>961</v>
      </c>
      <c r="D28" s="702">
        <v>113750</v>
      </c>
      <c r="E28" s="1482">
        <v>0</v>
      </c>
      <c r="F28" s="1482">
        <v>0</v>
      </c>
      <c r="G28" s="1482">
        <v>0</v>
      </c>
      <c r="H28" s="1482">
        <v>0</v>
      </c>
      <c r="I28" s="1482">
        <v>0</v>
      </c>
    </row>
    <row r="29" spans="1:9" s="60" customFormat="1" ht="12.75" customHeight="1">
      <c r="A29" s="1476" t="s">
        <v>97</v>
      </c>
      <c r="B29" s="56"/>
      <c r="C29" s="57" t="s">
        <v>181</v>
      </c>
      <c r="D29" s="701">
        <f>SUM('15. Óvoda'!E15+'16. Műv. ház'!E13+'17. Hivatal'!E15+'18. VÜKI'!E18+'19 önkormányzat'!E45)</f>
        <v>3407774</v>
      </c>
      <c r="E29" s="1479">
        <f>SUM('15. Óvoda'!F15+'16. Műv. ház'!F13+'17. Hivatal'!F15+'18. VÜKI'!F18+'19 önkormányzat'!F45)</f>
        <v>2000000</v>
      </c>
      <c r="F29" s="1479">
        <f>SUM('15. Óvoda'!G15+'16. Műv. ház'!G13+'17. Hivatal'!G15+'18. VÜKI'!G18+'19 önkormányzat'!G45)</f>
        <v>1000061</v>
      </c>
      <c r="G29" s="1479">
        <f>SUM('15. Óvoda'!H15+'16. Műv. ház'!H13+'17. Hivatal'!H15+'18. VÜKI'!H18+'19 önkormányzat'!H45)</f>
        <v>100190</v>
      </c>
      <c r="H29" s="1479">
        <f>SUM('15. Óvoda'!I15+'16. Műv. ház'!I13+'17. Hivatal'!I15+'18. VÜKI'!I18+'19 önkormányzat'!I45)</f>
        <v>290256</v>
      </c>
      <c r="I29" s="1479">
        <f>SUM('15. Óvoda'!J15+'16. Műv. ház'!J13+'17. Hivatal'!J15+'18. VÜKI'!J18+'19 önkormányzat'!J45)</f>
        <v>335139</v>
      </c>
    </row>
    <row r="30" spans="1:9" s="64" customFormat="1" ht="12.75" customHeight="1">
      <c r="A30" s="1477" t="s">
        <v>99</v>
      </c>
      <c r="B30" s="9" t="s">
        <v>182</v>
      </c>
      <c r="C30" s="9" t="s">
        <v>78</v>
      </c>
      <c r="D30" s="647">
        <f aca="true" t="shared" si="2" ref="D30:I30">SUM(D21:D29)</f>
        <v>53465232</v>
      </c>
      <c r="E30" s="1299">
        <f t="shared" si="2"/>
        <v>51579500</v>
      </c>
      <c r="F30" s="1299">
        <f t="shared" si="2"/>
        <v>44776714</v>
      </c>
      <c r="G30" s="1299">
        <f t="shared" si="2"/>
        <v>43284918</v>
      </c>
      <c r="H30" s="1299">
        <f t="shared" si="2"/>
        <v>41924985</v>
      </c>
      <c r="I30" s="1299">
        <f t="shared" si="2"/>
        <v>61528639</v>
      </c>
    </row>
    <row r="31" spans="1:9" s="64" customFormat="1" ht="12.75" customHeight="1">
      <c r="A31" s="1477" t="s">
        <v>101</v>
      </c>
      <c r="B31" s="9" t="s">
        <v>183</v>
      </c>
      <c r="C31" s="9" t="s">
        <v>13</v>
      </c>
      <c r="D31" s="647">
        <f>SUM('ÖNK ÖSSZESITŐ'!E41)</f>
        <v>31616633</v>
      </c>
      <c r="E31" s="1299">
        <f>SUM('ÖNK ÖSSZESITŐ'!F41)</f>
        <v>14000000</v>
      </c>
      <c r="F31" s="1299">
        <f>SUM('ÖNK ÖSSZESITŐ'!G41)</f>
        <v>16968160</v>
      </c>
      <c r="G31" s="1299">
        <f>SUM('ÖNK ÖSSZESITŐ'!H41)</f>
        <v>22893160</v>
      </c>
      <c r="H31" s="1299">
        <f>SUM('ÖNK ÖSSZESITŐ'!I41)</f>
        <v>22893160</v>
      </c>
      <c r="I31" s="1299">
        <f>SUM('ÖNK ÖSSZESITŐ'!J41)</f>
        <v>31357376</v>
      </c>
    </row>
    <row r="32" spans="1:9" s="64" customFormat="1" ht="12.75" customHeight="1">
      <c r="A32" s="1477" t="s">
        <v>103</v>
      </c>
      <c r="B32" s="9" t="s">
        <v>184</v>
      </c>
      <c r="C32" s="9" t="s">
        <v>185</v>
      </c>
      <c r="D32" s="647">
        <f>SUM('15. Óvoda'!E17+'19 önkormányzat'!E62)</f>
        <v>1615295</v>
      </c>
      <c r="E32" s="1299">
        <f>SUM('15. Óvoda'!F17+'19 önkormányzat'!F62)</f>
        <v>78000</v>
      </c>
      <c r="F32" s="1299">
        <f>SUM('15. Óvoda'!G17+'19 önkormányzat'!G62)</f>
        <v>78000</v>
      </c>
      <c r="G32" s="1299">
        <f>SUM('15. Óvoda'!H17+'19 önkormányzat'!H62)</f>
        <v>1640020</v>
      </c>
      <c r="H32" s="1299">
        <f>SUM('15. Óvoda'!I17+'19 önkormányzat'!I62)</f>
        <v>1740020</v>
      </c>
      <c r="I32" s="1299">
        <f>SUM('15. Óvoda'!J17+'19 önkormányzat'!J62)</f>
        <v>1944318</v>
      </c>
    </row>
    <row r="33" spans="1:9" s="64" customFormat="1" ht="12.75" customHeight="1" thickBot="1">
      <c r="A33" s="1477" t="s">
        <v>105</v>
      </c>
      <c r="B33" s="9" t="s">
        <v>186</v>
      </c>
      <c r="C33" s="9" t="s">
        <v>187</v>
      </c>
      <c r="D33" s="647">
        <f>SUM('15. Óvoda'!E18)</f>
        <v>435505</v>
      </c>
      <c r="E33" s="1299">
        <f>SUM('15. Óvoda'!F18)</f>
        <v>0</v>
      </c>
      <c r="F33" s="1299">
        <f>SUM('15. Óvoda'!G18)</f>
        <v>0</v>
      </c>
      <c r="G33" s="1299">
        <f>SUM('15. Óvoda'!H18)</f>
        <v>0</v>
      </c>
      <c r="H33" s="1299">
        <f>SUM('15. Óvoda'!I18)</f>
        <v>0</v>
      </c>
      <c r="I33" s="1299">
        <f>SUM('15. Óvoda'!J18)</f>
        <v>0</v>
      </c>
    </row>
    <row r="34" spans="1:9" s="66" customFormat="1" ht="19.5" customHeight="1" thickBot="1">
      <c r="A34" s="1483" t="s">
        <v>107</v>
      </c>
      <c r="B34" s="566"/>
      <c r="C34" s="567" t="s">
        <v>188</v>
      </c>
      <c r="D34" s="568">
        <f aca="true" t="shared" si="3" ref="D34:I34">SUM(D13+D14+D20+D30+D31+D32+D33)</f>
        <v>618061463</v>
      </c>
      <c r="E34" s="1484">
        <f t="shared" si="3"/>
        <v>460155758</v>
      </c>
      <c r="F34" s="1484">
        <f t="shared" si="3"/>
        <v>645195727</v>
      </c>
      <c r="G34" s="1484">
        <f t="shared" si="3"/>
        <v>684255061</v>
      </c>
      <c r="H34" s="1484">
        <f t="shared" si="3"/>
        <v>686652472</v>
      </c>
      <c r="I34" s="1484">
        <f t="shared" si="3"/>
        <v>741782915</v>
      </c>
    </row>
    <row r="35" spans="1:9" ht="12.75" customHeight="1">
      <c r="A35" s="569" t="s">
        <v>109</v>
      </c>
      <c r="B35" s="570"/>
      <c r="C35" s="571"/>
      <c r="D35" s="648"/>
      <c r="E35" s="1485"/>
      <c r="F35" s="1485"/>
      <c r="G35" s="1485"/>
      <c r="H35" s="1485"/>
      <c r="I35" s="1485"/>
    </row>
    <row r="36" spans="1:9" ht="12.75" customHeight="1">
      <c r="A36" s="450" t="s">
        <v>111</v>
      </c>
      <c r="B36" s="388" t="s">
        <v>189</v>
      </c>
      <c r="C36" s="389" t="s">
        <v>190</v>
      </c>
      <c r="D36" s="493">
        <f>SUM('ÖNK ÖSSZESITŐ'!F44)</f>
        <v>0</v>
      </c>
      <c r="E36" s="1486">
        <f>SUM('ÖNK ÖSSZESITŐ'!G44)</f>
        <v>0</v>
      </c>
      <c r="F36" s="1486">
        <f>SUM('ÖNK ÖSSZESITŐ'!H44)</f>
        <v>0</v>
      </c>
      <c r="G36" s="1486">
        <f>SUM('ÖNK ÖSSZESITŐ'!I44)</f>
        <v>0</v>
      </c>
      <c r="H36" s="1486">
        <f>SUM('ÖNK ÖSSZESITŐ'!J44)</f>
        <v>0</v>
      </c>
      <c r="I36" s="1486">
        <f>SUM('ÖNK ÖSSZESITŐ'!K44)</f>
        <v>0</v>
      </c>
    </row>
    <row r="37" spans="1:9" s="64" customFormat="1" ht="12.75" customHeight="1">
      <c r="A37" s="572" t="s">
        <v>113</v>
      </c>
      <c r="B37" s="388" t="s">
        <v>191</v>
      </c>
      <c r="C37" s="389" t="s">
        <v>192</v>
      </c>
      <c r="D37" s="493">
        <f>SUM('ÖNK ÖSSZESITŐ'!E15+'ÖNK ÖSSZESITŐ'!E21+'ÖNK ÖSSZESITŐ'!E28+'ÖNK ÖSSZESITŐ'!E34+'ÖNK ÖSSZESITŐ'!E45)</f>
        <v>653538092</v>
      </c>
      <c r="E37" s="1486">
        <f>SUM('ÖNK ÖSSZESITŐ'!F15+'ÖNK ÖSSZESITŐ'!F21+'ÖNK ÖSSZESITŐ'!F28+'ÖNK ÖSSZESITŐ'!F34+'ÖNK ÖSSZESITŐ'!F45)</f>
        <v>513206538</v>
      </c>
      <c r="F37" s="1486">
        <f>SUM('ÖNK ÖSSZESITŐ'!G15+'ÖNK ÖSSZESITŐ'!G21+'ÖNK ÖSSZESITŐ'!G28+'ÖNK ÖSSZESITŐ'!G34+'ÖNK ÖSSZESITŐ'!G45)</f>
        <v>513206538</v>
      </c>
      <c r="G37" s="1486">
        <f>SUM('ÖNK ÖSSZESITŐ'!H15+'ÖNK ÖSSZESITŐ'!H21+'ÖNK ÖSSZESITŐ'!H28+'ÖNK ÖSSZESITŐ'!H34+'ÖNK ÖSSZESITŐ'!H45)</f>
        <v>513206538</v>
      </c>
      <c r="H37" s="1486">
        <f>SUM('ÖNK ÖSSZESITŐ'!I15+'ÖNK ÖSSZESITŐ'!I21+'ÖNK ÖSSZESITŐ'!I28+'ÖNK ÖSSZESITŐ'!I34+'ÖNK ÖSSZESITŐ'!I45)</f>
        <v>513206538</v>
      </c>
      <c r="I37" s="1486">
        <f>SUM('ÖNK ÖSSZESITŐ'!J15+'ÖNK ÖSSZESITŐ'!J21+'ÖNK ÖSSZESITŐ'!J28+'ÖNK ÖSSZESITŐ'!J34+'ÖNK ÖSSZESITŐ'!J45)</f>
        <v>576163508</v>
      </c>
    </row>
    <row r="38" spans="1:9" s="60" customFormat="1" ht="12.75" customHeight="1">
      <c r="A38" s="573" t="s">
        <v>115</v>
      </c>
      <c r="B38" s="494"/>
      <c r="C38" s="306" t="s">
        <v>193</v>
      </c>
      <c r="D38" s="1357">
        <v>513195008</v>
      </c>
      <c r="E38" s="1487">
        <v>424550538</v>
      </c>
      <c r="F38" s="1487">
        <v>424550538</v>
      </c>
      <c r="G38" s="1487">
        <v>418120393</v>
      </c>
      <c r="H38" s="1487">
        <f>SUM('2. melléklet'!H29)</f>
        <v>405019793</v>
      </c>
      <c r="I38" s="1487">
        <f>SUM('2. melléklet'!I29)</f>
        <v>377256236</v>
      </c>
    </row>
    <row r="39" spans="1:9" s="60" customFormat="1" ht="12.75" customHeight="1">
      <c r="A39" s="574" t="s">
        <v>117</v>
      </c>
      <c r="B39" s="494"/>
      <c r="C39" s="306" t="s">
        <v>194</v>
      </c>
      <c r="D39" s="1358">
        <v>140343084</v>
      </c>
      <c r="E39" s="551">
        <f>SUM('2. melléklet'!E30)</f>
        <v>88656000</v>
      </c>
      <c r="F39" s="551">
        <f>SUM('2. melléklet'!F30)</f>
        <v>95327243</v>
      </c>
      <c r="G39" s="551">
        <f>SUM('2. melléklet'!G30)</f>
        <v>95086145</v>
      </c>
      <c r="H39" s="551">
        <f>SUM('2. melléklet'!H30)</f>
        <v>108186874</v>
      </c>
      <c r="I39" s="551">
        <f>SUM('2. melléklet'!I30)</f>
        <v>198907272</v>
      </c>
    </row>
    <row r="40" spans="1:9" s="60" customFormat="1" ht="12.75" customHeight="1">
      <c r="A40" s="575" t="s">
        <v>118</v>
      </c>
      <c r="B40" s="388" t="s">
        <v>195</v>
      </c>
      <c r="C40" s="389" t="s">
        <v>196</v>
      </c>
      <c r="D40" s="429">
        <f>SUM('ÖNK ÖSSZESITŐ'!E46)</f>
        <v>9425972</v>
      </c>
      <c r="E40" s="1488">
        <f>SUM('ÖNK ÖSSZESITŐ'!F46)</f>
        <v>8251931</v>
      </c>
      <c r="F40" s="1488">
        <f>SUM('ÖNK ÖSSZESITŐ'!G46)</f>
        <v>8341969</v>
      </c>
      <c r="G40" s="1488">
        <f>SUM('ÖNK ÖSSZESITŐ'!H46)</f>
        <v>8341969</v>
      </c>
      <c r="H40" s="1488">
        <f>SUM('ÖNK ÖSSZESITŐ'!I46)</f>
        <v>8385010</v>
      </c>
      <c r="I40" s="1488">
        <f>SUM('ÖNK ÖSSZESITŐ'!J46)</f>
        <v>11393036</v>
      </c>
    </row>
    <row r="41" spans="1:9" s="64" customFormat="1" ht="28.5" customHeight="1" thickBot="1">
      <c r="A41" s="576" t="s">
        <v>120</v>
      </c>
      <c r="B41" s="577"/>
      <c r="C41" s="578" t="s">
        <v>197</v>
      </c>
      <c r="D41" s="579">
        <f aca="true" t="shared" si="4" ref="D41:I41">SUM(D36+D37+D40)</f>
        <v>662964064</v>
      </c>
      <c r="E41" s="1489">
        <f t="shared" si="4"/>
        <v>521458469</v>
      </c>
      <c r="F41" s="1489">
        <f t="shared" si="4"/>
        <v>521548507</v>
      </c>
      <c r="G41" s="1489">
        <f t="shared" si="4"/>
        <v>521548507</v>
      </c>
      <c r="H41" s="1489">
        <f t="shared" si="4"/>
        <v>521591548</v>
      </c>
      <c r="I41" s="1489">
        <f t="shared" si="4"/>
        <v>587556544</v>
      </c>
    </row>
    <row r="42" spans="1:9" s="73" customFormat="1" ht="21.75" customHeight="1" thickBot="1">
      <c r="A42" s="563" t="s">
        <v>122</v>
      </c>
      <c r="B42" s="564"/>
      <c r="C42" s="564" t="s">
        <v>198</v>
      </c>
      <c r="D42" s="565">
        <f aca="true" t="shared" si="5" ref="D42:I42">D34+D41</f>
        <v>1281025527</v>
      </c>
      <c r="E42" s="1490">
        <f t="shared" si="5"/>
        <v>981614227</v>
      </c>
      <c r="F42" s="1490">
        <f t="shared" si="5"/>
        <v>1166744234</v>
      </c>
      <c r="G42" s="1490">
        <f t="shared" si="5"/>
        <v>1205803568</v>
      </c>
      <c r="H42" s="1490">
        <f t="shared" si="5"/>
        <v>1208244020</v>
      </c>
      <c r="I42" s="1490">
        <f t="shared" si="5"/>
        <v>1329339459</v>
      </c>
    </row>
    <row r="43" spans="1:3" ht="12.75" customHeight="1">
      <c r="A43" s="74"/>
      <c r="C43" s="75"/>
    </row>
    <row r="44" spans="1:3" ht="12.75" customHeight="1">
      <c r="A44" s="74"/>
      <c r="C44" s="75"/>
    </row>
    <row r="45" spans="1:3" ht="1.5" customHeight="1" thickBot="1">
      <c r="A45" s="74"/>
      <c r="C45" s="75"/>
    </row>
    <row r="46" spans="1:9" ht="53.25" customHeight="1" thickBot="1">
      <c r="A46" s="1845" t="s">
        <v>156</v>
      </c>
      <c r="B46" s="1846"/>
      <c r="C46" s="1307" t="s">
        <v>119</v>
      </c>
      <c r="D46" s="1491" t="s">
        <v>1071</v>
      </c>
      <c r="E46" s="349" t="s">
        <v>1072</v>
      </c>
      <c r="F46" s="349" t="s">
        <v>1157</v>
      </c>
      <c r="G46" s="349" t="s">
        <v>1178</v>
      </c>
      <c r="H46" s="349" t="s">
        <v>1250</v>
      </c>
      <c r="I46" s="349" t="s">
        <v>1267</v>
      </c>
    </row>
    <row r="47" spans="1:9" ht="12.75" customHeight="1">
      <c r="A47" s="1847"/>
      <c r="B47" s="1848"/>
      <c r="C47" s="76" t="s">
        <v>158</v>
      </c>
      <c r="D47" s="649" t="s">
        <v>159</v>
      </c>
      <c r="E47" s="1492" t="s">
        <v>160</v>
      </c>
      <c r="F47" s="1492" t="s">
        <v>161</v>
      </c>
      <c r="G47" s="1492" t="s">
        <v>456</v>
      </c>
      <c r="H47" s="1492" t="s">
        <v>476</v>
      </c>
      <c r="I47" s="1492" t="s">
        <v>701</v>
      </c>
    </row>
    <row r="48" spans="1:9" s="64" customFormat="1" ht="12.75" customHeight="1">
      <c r="A48" s="1477" t="s">
        <v>124</v>
      </c>
      <c r="B48" s="61" t="s">
        <v>164</v>
      </c>
      <c r="C48" s="9" t="s">
        <v>121</v>
      </c>
      <c r="D48" s="62">
        <f>SUM('ÖNK ÖSSZESITŐ'!E90)</f>
        <v>230357318</v>
      </c>
      <c r="E48" s="421">
        <f>SUM('ÖNK ÖSSZESITŐ'!F90)</f>
        <v>250452857</v>
      </c>
      <c r="F48" s="421">
        <f>SUM('ÖNK ÖSSZESITŐ'!G90)</f>
        <v>256170217</v>
      </c>
      <c r="G48" s="421">
        <f>SUM('ÖNK ÖSSZESITŐ'!H90)</f>
        <v>258346217</v>
      </c>
      <c r="H48" s="421">
        <f>SUM('ÖNK ÖSSZESITŐ'!I90)</f>
        <v>259741198</v>
      </c>
      <c r="I48" s="421">
        <f>SUM('ÖNK ÖSSZESITŐ'!J90)</f>
        <v>263660096</v>
      </c>
    </row>
    <row r="49" spans="1:9" s="64" customFormat="1" ht="12.75" customHeight="1">
      <c r="A49" s="1477" t="s">
        <v>126</v>
      </c>
      <c r="B49" s="61" t="s">
        <v>166</v>
      </c>
      <c r="C49" s="9" t="s">
        <v>199</v>
      </c>
      <c r="D49" s="647">
        <f>SUM('ÖNK ÖSSZESITŐ'!E91)</f>
        <v>44071818</v>
      </c>
      <c r="E49" s="1299">
        <f>SUM('ÖNK ÖSSZESITŐ'!F91)</f>
        <v>44295492</v>
      </c>
      <c r="F49" s="1299">
        <f>SUM('ÖNK ÖSSZESITŐ'!G91)</f>
        <v>45016090</v>
      </c>
      <c r="G49" s="1299">
        <f>SUM('ÖNK ÖSSZESITŐ'!H91)</f>
        <v>45377695</v>
      </c>
      <c r="H49" s="1299">
        <f>SUM('ÖNK ÖSSZESITŐ'!I91)</f>
        <v>45593917</v>
      </c>
      <c r="I49" s="1299">
        <f>SUM('ÖNK ÖSSZESITŐ'!J91)</f>
        <v>45816725</v>
      </c>
    </row>
    <row r="50" spans="1:9" ht="12.75" customHeight="1">
      <c r="A50" s="635" t="s">
        <v>128</v>
      </c>
      <c r="B50" s="61" t="s">
        <v>200</v>
      </c>
      <c r="C50" s="77" t="s">
        <v>125</v>
      </c>
      <c r="D50" s="647">
        <f>SUM('ÖNK ÖSSZESITŐ'!E92)</f>
        <v>263067627.2</v>
      </c>
      <c r="E50" s="1299">
        <f>SUM('ÖNK ÖSSZESITŐ'!F92)</f>
        <v>163561199.3</v>
      </c>
      <c r="F50" s="1299">
        <f>SUM('ÖNK ÖSSZESITŐ'!G92)</f>
        <v>143863478.3</v>
      </c>
      <c r="G50" s="1299">
        <f>SUM('ÖNK ÖSSZESITŐ'!H92)</f>
        <v>147857334.3</v>
      </c>
      <c r="H50" s="1299">
        <f>SUM('ÖNK ÖSSZESITŐ'!I92)</f>
        <v>151209528.3</v>
      </c>
      <c r="I50" s="1299">
        <f>SUM('ÖNK ÖSSZESITŐ'!J92)</f>
        <v>236589727.2</v>
      </c>
    </row>
    <row r="51" spans="1:9" s="64" customFormat="1" ht="12.75" customHeight="1">
      <c r="A51" s="1477" t="s">
        <v>130</v>
      </c>
      <c r="B51" s="61" t="s">
        <v>182</v>
      </c>
      <c r="C51" s="9" t="s">
        <v>201</v>
      </c>
      <c r="D51" s="647">
        <f>SUM('ÖNK ÖSSZESITŐ'!E95)</f>
        <v>4209730</v>
      </c>
      <c r="E51" s="1299">
        <f>SUM('ÖNK ÖSSZESITŐ'!F95)</f>
        <v>3453000</v>
      </c>
      <c r="F51" s="1299">
        <f>SUM('ÖNK ÖSSZESITŐ'!G95)</f>
        <v>3803000</v>
      </c>
      <c r="G51" s="1299">
        <f>SUM('ÖNK ÖSSZESITŐ'!H95)</f>
        <v>3453000</v>
      </c>
      <c r="H51" s="1299">
        <f>SUM('ÖNK ÖSSZESITŐ'!I95)</f>
        <v>3453000</v>
      </c>
      <c r="I51" s="1299">
        <f>SUM('ÖNK ÖSSZESITŐ'!J95)</f>
        <v>4980000</v>
      </c>
    </row>
    <row r="52" spans="1:9" s="64" customFormat="1" ht="12.75" customHeight="1">
      <c r="A52" s="1477" t="s">
        <v>131</v>
      </c>
      <c r="B52" s="61" t="s">
        <v>183</v>
      </c>
      <c r="C52" s="9" t="s">
        <v>805</v>
      </c>
      <c r="D52" s="647">
        <v>2482037</v>
      </c>
      <c r="E52" s="1299">
        <v>0</v>
      </c>
      <c r="F52" s="1299">
        <v>354027</v>
      </c>
      <c r="G52" s="1299">
        <v>354027</v>
      </c>
      <c r="H52" s="1299">
        <v>354027</v>
      </c>
      <c r="I52" s="1299">
        <v>354027</v>
      </c>
    </row>
    <row r="53" spans="1:9" s="64" customFormat="1" ht="12.75" customHeight="1">
      <c r="A53" s="1477" t="s">
        <v>133</v>
      </c>
      <c r="B53" s="61" t="s">
        <v>184</v>
      </c>
      <c r="C53" s="9" t="s">
        <v>1223</v>
      </c>
      <c r="D53" s="647"/>
      <c r="E53" s="1299"/>
      <c r="F53" s="1299"/>
      <c r="G53" s="1299">
        <v>2017050</v>
      </c>
      <c r="H53" s="1299">
        <v>2354850</v>
      </c>
      <c r="I53" s="1299">
        <v>2354850</v>
      </c>
    </row>
    <row r="54" spans="1:9" s="64" customFormat="1" ht="12.75" customHeight="1">
      <c r="A54" s="1477" t="s">
        <v>135</v>
      </c>
      <c r="B54" s="61" t="s">
        <v>186</v>
      </c>
      <c r="C54" s="9" t="s">
        <v>150</v>
      </c>
      <c r="D54" s="914">
        <f>SUM('ÖNK ÖSSZESITŐ'!E98)</f>
        <v>478765907</v>
      </c>
      <c r="E54" s="1493">
        <f>SUM('ÖNK ÖSSZESITŐ'!F98)</f>
        <v>462128007</v>
      </c>
      <c r="F54" s="1493">
        <f>SUM('ÖNK ÖSSZESITŐ'!G98)</f>
        <v>570382608</v>
      </c>
      <c r="G54" s="1493">
        <f>SUM('ÖNK ÖSSZESITŐ'!H98)</f>
        <v>419046334</v>
      </c>
      <c r="H54" s="1493">
        <f>SUM('ÖNK ÖSSZESITŐ'!I98)</f>
        <v>410741663</v>
      </c>
      <c r="I54" s="1493">
        <f>SUM('ÖNK ÖSSZESITŐ'!J98)</f>
        <v>376250463</v>
      </c>
    </row>
    <row r="55" spans="1:9" ht="12.75" customHeight="1">
      <c r="A55" s="635" t="s">
        <v>137</v>
      </c>
      <c r="B55" s="79"/>
      <c r="C55" s="57" t="s">
        <v>193</v>
      </c>
      <c r="D55" s="914">
        <v>433850538</v>
      </c>
      <c r="E55" s="1493">
        <f>SUM('21. céltartalék'!D28)</f>
        <v>433850538</v>
      </c>
      <c r="F55" s="1493">
        <f>SUM('21. céltartalék'!E28)</f>
        <v>542967139</v>
      </c>
      <c r="G55" s="1493">
        <f>SUM('21. céltartalék'!F28)</f>
        <v>391757471</v>
      </c>
      <c r="H55" s="1493">
        <f>SUM('21. céltartalék'!G28)</f>
        <v>376766003</v>
      </c>
      <c r="I55" s="1493">
        <f>SUM('21. céltartalék'!H28)</f>
        <v>312265666</v>
      </c>
    </row>
    <row r="56" spans="1:9" ht="12.75" customHeight="1">
      <c r="A56" s="635" t="s">
        <v>139</v>
      </c>
      <c r="B56" s="79"/>
      <c r="C56" s="67" t="s">
        <v>194</v>
      </c>
      <c r="D56" s="914">
        <f>SUM('21. céltartalék'!C43+'21. céltartalék'!C51)</f>
        <v>44915369</v>
      </c>
      <c r="E56" s="1493">
        <f>SUM('21. céltartalék'!D43+'21. céltartalék'!D51)</f>
        <v>28277469</v>
      </c>
      <c r="F56" s="1493">
        <f>SUM('21. céltartalék'!E43+'21. céltartalék'!E51)</f>
        <v>27415469</v>
      </c>
      <c r="G56" s="1493">
        <f>SUM('21. céltartalék'!F43+'21. céltartalék'!F51)</f>
        <v>27288863</v>
      </c>
      <c r="H56" s="1493">
        <f>SUM('21. céltartalék'!G43+'21. céltartalék'!G51)</f>
        <v>33975660</v>
      </c>
      <c r="I56" s="1493">
        <f>SUM('21. céltartalék'!H43+'21. céltartalék'!H51)</f>
        <v>63984797</v>
      </c>
    </row>
    <row r="57" spans="1:9" s="64" customFormat="1" ht="12.75" customHeight="1">
      <c r="A57" s="1494" t="s">
        <v>141</v>
      </c>
      <c r="B57" s="70" t="s">
        <v>189</v>
      </c>
      <c r="C57" s="70" t="s">
        <v>202</v>
      </c>
      <c r="D57" s="915">
        <f>SUM('ÖNK ÖSSZESITŐ'!E94)</f>
        <v>44186648</v>
      </c>
      <c r="E57" s="1495">
        <f>SUM('ÖNK ÖSSZESITŐ'!F94)</f>
        <v>44771741</v>
      </c>
      <c r="F57" s="1495">
        <f>SUM('ÖNK ÖSSZESITŐ'!G94)</f>
        <v>42258999</v>
      </c>
      <c r="G57" s="1495">
        <f>SUM('ÖNK ÖSSZESITŐ'!H94)</f>
        <v>46035254</v>
      </c>
      <c r="H57" s="1495">
        <f>SUM('ÖNK ÖSSZESITŐ'!I94)</f>
        <v>49185271</v>
      </c>
      <c r="I57" s="1495">
        <f>SUM('ÖNK ÖSSZESITŐ'!J94)</f>
        <v>50526275</v>
      </c>
    </row>
    <row r="58" spans="1:9" s="64" customFormat="1" ht="12.75" customHeight="1">
      <c r="A58" s="1496" t="s">
        <v>143</v>
      </c>
      <c r="B58" s="9" t="s">
        <v>191</v>
      </c>
      <c r="C58" s="9" t="s">
        <v>132</v>
      </c>
      <c r="D58" s="914">
        <v>196200181</v>
      </c>
      <c r="E58" s="1493">
        <f>SUM('6,7,8 Melléklet'!D20)</f>
        <v>4250000</v>
      </c>
      <c r="F58" s="1493">
        <f>SUM('6,7,8 Melléklet'!E20)</f>
        <v>96060917</v>
      </c>
      <c r="G58" s="1493">
        <f>SUM('6,7,8 Melléklet'!F20)</f>
        <v>251407095</v>
      </c>
      <c r="H58" s="1493">
        <f>SUM('6,7,8 Melléklet'!G20)</f>
        <v>251648197</v>
      </c>
      <c r="I58" s="1493">
        <f>SUM('6,7,8 Melléklet'!H20)</f>
        <v>322688176</v>
      </c>
    </row>
    <row r="59" spans="1:9" s="55" customFormat="1" ht="12.75" customHeight="1">
      <c r="A59" s="1477" t="s">
        <v>145</v>
      </c>
      <c r="B59" s="61" t="s">
        <v>195</v>
      </c>
      <c r="C59" s="9" t="s">
        <v>134</v>
      </c>
      <c r="D59" s="914">
        <v>9475157</v>
      </c>
      <c r="E59" s="1493">
        <f>SUM('6,7,8 Melléklet'!D13)</f>
        <v>400000</v>
      </c>
      <c r="F59" s="1493">
        <f>SUM('6,7,8 Melléklet'!E13)</f>
        <v>400000</v>
      </c>
      <c r="G59" s="1493">
        <f>SUM('6,7,8 Melléklet'!F13)</f>
        <v>23442555</v>
      </c>
      <c r="H59" s="1493">
        <f>SUM('6,7,8 Melléklet'!G13)</f>
        <v>23442555</v>
      </c>
      <c r="I59" s="1493">
        <f>SUM('6,7,8 Melléklet'!H13)</f>
        <v>15603565</v>
      </c>
    </row>
    <row r="60" spans="1:9" s="64" customFormat="1" ht="12" customHeight="1" thickBot="1">
      <c r="A60" s="1494" t="s">
        <v>147</v>
      </c>
      <c r="B60" s="69" t="s">
        <v>230</v>
      </c>
      <c r="C60" s="70" t="s">
        <v>203</v>
      </c>
      <c r="D60" s="82">
        <v>0</v>
      </c>
      <c r="E60" s="1497">
        <v>0</v>
      </c>
      <c r="F60" s="1497">
        <v>0</v>
      </c>
      <c r="G60" s="1497">
        <v>0</v>
      </c>
      <c r="H60" s="1497">
        <f>SUM('ÖNK ÖSSZESITŐ'!I84)</f>
        <v>1684766</v>
      </c>
      <c r="I60" s="1497">
        <f>SUM('ÖNK ÖSSZESITŐ'!J84)</f>
        <v>1684766</v>
      </c>
    </row>
    <row r="61" spans="1:9" s="83" customFormat="1" ht="27" customHeight="1" thickBot="1">
      <c r="A61" s="1849" t="s">
        <v>149</v>
      </c>
      <c r="B61" s="1850"/>
      <c r="C61" s="580" t="s">
        <v>204</v>
      </c>
      <c r="D61" s="581">
        <f>SUM(D48+D51+D57+D58)+D59+D60+D49+D50+D54+D52</f>
        <v>1272816423.2</v>
      </c>
      <c r="E61" s="1498">
        <f>SUM(E48+E51+E57+E58)+E59+E60+E49+E50+E54+E52</f>
        <v>973312296.3</v>
      </c>
      <c r="F61" s="1498">
        <f>SUM(F48+F51+F57+F58)+F59+F60+F49+F50+F54+F52</f>
        <v>1158309336.3</v>
      </c>
      <c r="G61" s="1498">
        <f>SUM(G48+G51+G57+G58)+G59+G60+G49+G50+G54+G52+G53</f>
        <v>1197336561.3</v>
      </c>
      <c r="H61" s="1498">
        <f>SUM(H48+H51+H57+H58)+H59+H60+H49+H50+H54+H52+H53</f>
        <v>1199408972.3</v>
      </c>
      <c r="I61" s="1498">
        <f>SUM(I48+I51+I57+I58)+I59+I60+I49+I50+I54+I52+I53</f>
        <v>1320508670.2</v>
      </c>
    </row>
    <row r="62" spans="1:9" s="64" customFormat="1" ht="25.5" customHeight="1">
      <c r="A62" s="584" t="s">
        <v>151</v>
      </c>
      <c r="B62" s="585" t="s">
        <v>230</v>
      </c>
      <c r="C62" s="586" t="s">
        <v>206</v>
      </c>
      <c r="D62" s="650">
        <v>0</v>
      </c>
      <c r="E62" s="1499">
        <v>0</v>
      </c>
      <c r="F62" s="1499">
        <v>0</v>
      </c>
      <c r="G62" s="1499">
        <v>0</v>
      </c>
      <c r="H62" s="1499">
        <v>0</v>
      </c>
      <c r="I62" s="1499">
        <v>0</v>
      </c>
    </row>
    <row r="63" spans="1:9" s="64" customFormat="1" ht="12.75" customHeight="1">
      <c r="A63" s="450" t="s">
        <v>205</v>
      </c>
      <c r="B63" s="389" t="s">
        <v>514</v>
      </c>
      <c r="C63" s="389" t="s">
        <v>196</v>
      </c>
      <c r="D63" s="406">
        <v>8209104</v>
      </c>
      <c r="E63" s="412">
        <f>SUM('ÖNK ÖSSZESITŐ'!F103)</f>
        <v>8251931</v>
      </c>
      <c r="F63" s="412">
        <f>SUM('ÖNK ÖSSZESITŐ'!G103)</f>
        <v>8432007</v>
      </c>
      <c r="G63" s="412">
        <f>SUM('ÖNK ÖSSZESITŐ'!H103)</f>
        <v>8432007</v>
      </c>
      <c r="H63" s="412">
        <f>SUM('ÖNK ÖSSZESITŐ'!I103)</f>
        <v>8835048</v>
      </c>
      <c r="I63" s="412">
        <f>SUM('ÖNK ÖSSZESITŐ'!J103)</f>
        <v>8830789</v>
      </c>
    </row>
    <row r="64" spans="1:9" s="85" customFormat="1" ht="22.5" customHeight="1">
      <c r="A64" s="1851" t="s">
        <v>207</v>
      </c>
      <c r="B64" s="1852"/>
      <c r="C64" s="582" t="s">
        <v>209</v>
      </c>
      <c r="D64" s="583">
        <f aca="true" t="shared" si="6" ref="D64:I64">SUM(D62:D63)</f>
        <v>8209104</v>
      </c>
      <c r="E64" s="1500">
        <f t="shared" si="6"/>
        <v>8251931</v>
      </c>
      <c r="F64" s="1500">
        <f t="shared" si="6"/>
        <v>8432007</v>
      </c>
      <c r="G64" s="1500">
        <f t="shared" si="6"/>
        <v>8432007</v>
      </c>
      <c r="H64" s="1500">
        <f t="shared" si="6"/>
        <v>8835048</v>
      </c>
      <c r="I64" s="1500">
        <f t="shared" si="6"/>
        <v>8830789</v>
      </c>
    </row>
    <row r="65" spans="1:9" s="86" customFormat="1" ht="22.5" customHeight="1" thickBot="1">
      <c r="A65" s="1839" t="s">
        <v>261</v>
      </c>
      <c r="B65" s="1840"/>
      <c r="C65" s="587" t="s">
        <v>211</v>
      </c>
      <c r="D65" s="588">
        <f aca="true" t="shared" si="7" ref="D65:I65">SUM(D61+D64)</f>
        <v>1281025527.2</v>
      </c>
      <c r="E65" s="1501">
        <f t="shared" si="7"/>
        <v>981564227.3</v>
      </c>
      <c r="F65" s="1501">
        <f t="shared" si="7"/>
        <v>1166741343.3</v>
      </c>
      <c r="G65" s="1501">
        <f t="shared" si="7"/>
        <v>1205768568.3</v>
      </c>
      <c r="H65" s="1501">
        <f t="shared" si="7"/>
        <v>1208244020.3</v>
      </c>
      <c r="I65" s="1501">
        <f t="shared" si="7"/>
        <v>1329339459.2</v>
      </c>
    </row>
    <row r="67" ht="4.5" customHeight="1"/>
    <row r="65527" ht="12.75" customHeight="1"/>
    <row r="65528" ht="12.75" customHeight="1"/>
    <row r="65529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I1"/>
    <mergeCell ref="A5:I5"/>
    <mergeCell ref="A6:I6"/>
    <mergeCell ref="A65:B65"/>
    <mergeCell ref="A9:B10"/>
    <mergeCell ref="A46:B47"/>
    <mergeCell ref="A61:B61"/>
    <mergeCell ref="A64:B64"/>
    <mergeCell ref="A3:I3"/>
    <mergeCell ref="D2:F2"/>
  </mergeCells>
  <printOptions horizontalCentered="1"/>
  <pageMargins left="0.25" right="0.25" top="0.75" bottom="0.75" header="0.3" footer="0.3"/>
  <pageSetup firstPageNumber="1" useFirstPageNumber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view="pageBreakPreview" zoomScaleSheetLayoutView="100" zoomScalePageLayoutView="0" workbookViewId="0" topLeftCell="A1">
      <selection activeCell="E21" sqref="E21"/>
    </sheetView>
  </sheetViews>
  <sheetFormatPr defaultColWidth="11.7109375" defaultRowHeight="12.75" customHeight="1"/>
  <cols>
    <col min="1" max="1" width="3.8515625" style="5" customWidth="1"/>
    <col min="2" max="2" width="4.57421875" style="74" customWidth="1"/>
    <col min="3" max="3" width="39.57421875" style="5" customWidth="1"/>
    <col min="4" max="9" width="18.7109375" style="5" customWidth="1"/>
    <col min="10" max="16384" width="11.7109375" style="5" customWidth="1"/>
  </cols>
  <sheetData>
    <row r="1" spans="1:9" ht="12.75" customHeight="1">
      <c r="A1" s="1859" t="s">
        <v>212</v>
      </c>
      <c r="B1" s="1859"/>
      <c r="C1" s="1859"/>
      <c r="D1" s="1859"/>
      <c r="E1" s="1859"/>
      <c r="F1" s="1859"/>
      <c r="G1" s="1859"/>
      <c r="H1" s="1859"/>
      <c r="I1" s="1859"/>
    </row>
    <row r="2" spans="1:9" ht="12.75" customHeight="1">
      <c r="A2" s="837"/>
      <c r="B2" s="837"/>
      <c r="C2" s="837"/>
      <c r="D2" s="1857" t="s">
        <v>1295</v>
      </c>
      <c r="E2" s="1857"/>
      <c r="F2" s="1857"/>
      <c r="G2" s="837"/>
      <c r="H2" s="837"/>
      <c r="I2" s="837"/>
    </row>
    <row r="3" spans="1:9" ht="19.5" customHeight="1">
      <c r="A3" s="1853" t="s">
        <v>1296</v>
      </c>
      <c r="B3" s="1853"/>
      <c r="C3" s="1853"/>
      <c r="D3" s="1853"/>
      <c r="E3" s="1853"/>
      <c r="F3" s="1853"/>
      <c r="G3" s="1853"/>
      <c r="H3" s="1853"/>
      <c r="I3" s="1853"/>
    </row>
    <row r="4" spans="1:9" ht="15">
      <c r="A4" s="1862"/>
      <c r="B4" s="1862"/>
      <c r="C4" s="1862"/>
      <c r="I4" s="129" t="s">
        <v>1297</v>
      </c>
    </row>
    <row r="5" spans="1:9" ht="38.25" customHeight="1">
      <c r="A5" s="1858" t="s">
        <v>1145</v>
      </c>
      <c r="B5" s="1858"/>
      <c r="C5" s="1858"/>
      <c r="D5" s="1858"/>
      <c r="E5" s="1858"/>
      <c r="F5" s="1858"/>
      <c r="G5" s="1858"/>
      <c r="H5" s="1858"/>
      <c r="I5" s="1858"/>
    </row>
    <row r="6" spans="1:9" ht="19.5" customHeight="1">
      <c r="A6" s="640"/>
      <c r="B6" s="640"/>
      <c r="C6" s="640"/>
      <c r="D6" s="640"/>
      <c r="E6" s="640"/>
      <c r="F6" s="640"/>
      <c r="G6" s="640"/>
      <c r="H6" s="640"/>
      <c r="I6" s="640"/>
    </row>
    <row r="7" spans="1:9" ht="21.75" customHeight="1" thickBot="1">
      <c r="A7" s="5"/>
      <c r="B7" s="89" t="s">
        <v>213</v>
      </c>
      <c r="D7" s="838"/>
      <c r="E7" s="838"/>
      <c r="F7" s="838"/>
      <c r="G7" s="838"/>
      <c r="H7" s="838"/>
      <c r="I7" s="838" t="s">
        <v>214</v>
      </c>
    </row>
    <row r="8" spans="1:9" ht="12.75" customHeight="1">
      <c r="A8" s="1863" t="s">
        <v>156</v>
      </c>
      <c r="B8" s="1855"/>
      <c r="C8" s="1866" t="s">
        <v>215</v>
      </c>
      <c r="D8" s="1855" t="s">
        <v>1071</v>
      </c>
      <c r="E8" s="1855" t="s">
        <v>1072</v>
      </c>
      <c r="F8" s="1855" t="s">
        <v>1157</v>
      </c>
      <c r="G8" s="1855" t="s">
        <v>1178</v>
      </c>
      <c r="H8" s="1855" t="s">
        <v>1250</v>
      </c>
      <c r="I8" s="1855" t="s">
        <v>1267</v>
      </c>
    </row>
    <row r="9" spans="1:9" s="91" customFormat="1" ht="33" customHeight="1">
      <c r="A9" s="1864"/>
      <c r="B9" s="1865"/>
      <c r="C9" s="1867"/>
      <c r="D9" s="1856"/>
      <c r="E9" s="1856"/>
      <c r="F9" s="1856"/>
      <c r="G9" s="1856"/>
      <c r="H9" s="1856"/>
      <c r="I9" s="1856"/>
    </row>
    <row r="10" spans="1:9" ht="12.75" customHeight="1" thickBot="1">
      <c r="A10" s="1860" t="s">
        <v>158</v>
      </c>
      <c r="B10" s="1861"/>
      <c r="C10" s="284" t="s">
        <v>159</v>
      </c>
      <c r="D10" s="285" t="s">
        <v>160</v>
      </c>
      <c r="E10" s="285" t="s">
        <v>161</v>
      </c>
      <c r="F10" s="285" t="s">
        <v>456</v>
      </c>
      <c r="G10" s="285" t="s">
        <v>476</v>
      </c>
      <c r="H10" s="285" t="s">
        <v>701</v>
      </c>
      <c r="I10" s="285" t="s">
        <v>782</v>
      </c>
    </row>
    <row r="11" spans="1:9" ht="31.5" customHeight="1">
      <c r="A11" s="488" t="s">
        <v>38</v>
      </c>
      <c r="B11" s="106"/>
      <c r="C11" s="282" t="s">
        <v>165</v>
      </c>
      <c r="D11" s="280">
        <f>SUM('1. melléklet'!D13)</f>
        <v>247101912</v>
      </c>
      <c r="E11" s="280">
        <f>SUM('1. melléklet'!E13)</f>
        <v>206548258</v>
      </c>
      <c r="F11" s="280">
        <f>SUM('1. melléklet'!F13)</f>
        <v>221839898</v>
      </c>
      <c r="G11" s="280">
        <f>SUM('1. melléklet'!G13)</f>
        <v>233758932</v>
      </c>
      <c r="H11" s="280">
        <f>SUM('1. melléklet'!H13)</f>
        <v>237316276</v>
      </c>
      <c r="I11" s="280">
        <f>SUM('1. melléklet'!I13)</f>
        <v>246125613</v>
      </c>
    </row>
    <row r="12" spans="1:9" ht="21" customHeight="1">
      <c r="A12" s="635" t="s">
        <v>40</v>
      </c>
      <c r="B12" s="92"/>
      <c r="C12" s="93" t="s">
        <v>174</v>
      </c>
      <c r="D12" s="59">
        <f>SUM('1. melléklet'!D20)</f>
        <v>197268452</v>
      </c>
      <c r="E12" s="59">
        <f>SUM('1. melléklet'!E20)</f>
        <v>187950000</v>
      </c>
      <c r="F12" s="59">
        <f>SUM('1. melléklet'!F20)</f>
        <v>156949463</v>
      </c>
      <c r="G12" s="59">
        <f>SUM('1. melléklet'!G20)</f>
        <v>157049463</v>
      </c>
      <c r="H12" s="59">
        <f>SUM('1. melléklet'!H20)</f>
        <v>157149463</v>
      </c>
      <c r="I12" s="59">
        <f>SUM('1. melléklet'!I20)</f>
        <v>157198408</v>
      </c>
    </row>
    <row r="13" spans="1:9" ht="12.75" customHeight="1">
      <c r="A13" s="635" t="s">
        <v>47</v>
      </c>
      <c r="B13" s="92"/>
      <c r="C13" s="93" t="s">
        <v>9</v>
      </c>
      <c r="D13" s="59">
        <f>SUM('1. melléklet'!D30)</f>
        <v>53465232</v>
      </c>
      <c r="E13" s="59">
        <f>SUM('1. melléklet'!E30)</f>
        <v>51579500</v>
      </c>
      <c r="F13" s="59">
        <f>SUM('1. melléklet'!F30)</f>
        <v>44776714</v>
      </c>
      <c r="G13" s="59">
        <f>SUM('1. melléklet'!G30)</f>
        <v>43284918</v>
      </c>
      <c r="H13" s="59">
        <f>SUM('1. melléklet'!H30)</f>
        <v>41924985</v>
      </c>
      <c r="I13" s="59">
        <f>SUM('1. melléklet'!I30)</f>
        <v>61528639</v>
      </c>
    </row>
    <row r="14" spans="1:9" ht="12.75" customHeight="1" thickBot="1">
      <c r="A14" s="636" t="s">
        <v>49</v>
      </c>
      <c r="B14" s="273"/>
      <c r="C14" s="274" t="s">
        <v>185</v>
      </c>
      <c r="D14" s="103">
        <f>SUM('1. melléklet'!D32)</f>
        <v>1615295</v>
      </c>
      <c r="E14" s="103">
        <f>SUM('1. melléklet'!E32)</f>
        <v>78000</v>
      </c>
      <c r="F14" s="103">
        <f>SUM('1. melléklet'!F32)</f>
        <v>78000</v>
      </c>
      <c r="G14" s="103">
        <f>SUM('1. melléklet'!G32)</f>
        <v>1640020</v>
      </c>
      <c r="H14" s="103">
        <f>SUM('1. melléklet'!H32)</f>
        <v>1740020</v>
      </c>
      <c r="I14" s="103">
        <f>SUM('1. melléklet'!I32)</f>
        <v>1944318</v>
      </c>
    </row>
    <row r="15" spans="1:9" ht="12.75" customHeight="1" thickBot="1">
      <c r="A15" s="275" t="s">
        <v>51</v>
      </c>
      <c r="B15" s="276" t="s">
        <v>164</v>
      </c>
      <c r="C15" s="277" t="s">
        <v>216</v>
      </c>
      <c r="D15" s="278">
        <f aca="true" t="shared" si="0" ref="D15:I15">SUM(D11:D14)</f>
        <v>499450891</v>
      </c>
      <c r="E15" s="278">
        <f t="shared" si="0"/>
        <v>446155758</v>
      </c>
      <c r="F15" s="278">
        <f t="shared" si="0"/>
        <v>423644075</v>
      </c>
      <c r="G15" s="278">
        <f t="shared" si="0"/>
        <v>435733333</v>
      </c>
      <c r="H15" s="278">
        <f t="shared" si="0"/>
        <v>438130744</v>
      </c>
      <c r="I15" s="278">
        <f t="shared" si="0"/>
        <v>466796978</v>
      </c>
    </row>
    <row r="16" spans="1:9" ht="12.75" customHeight="1">
      <c r="A16" s="488" t="s">
        <v>53</v>
      </c>
      <c r="B16" s="106"/>
      <c r="C16" s="227" t="s">
        <v>121</v>
      </c>
      <c r="D16" s="1324">
        <f>SUM('1. melléklet'!D48)</f>
        <v>230357318</v>
      </c>
      <c r="E16" s="1324">
        <f>SUM('1. melléklet'!E48)</f>
        <v>250452857</v>
      </c>
      <c r="F16" s="1324">
        <f>SUM('1. melléklet'!F48)</f>
        <v>256170217</v>
      </c>
      <c r="G16" s="1324">
        <f>SUM('1. melléklet'!G48)</f>
        <v>258346217</v>
      </c>
      <c r="H16" s="1324">
        <f>SUM('1. melléklet'!H48)</f>
        <v>259741198</v>
      </c>
      <c r="I16" s="1324">
        <f>SUM('1. melléklet'!I48)</f>
        <v>263660096</v>
      </c>
    </row>
    <row r="17" spans="1:9" ht="28.5" customHeight="1">
      <c r="A17" s="635" t="s">
        <v>55</v>
      </c>
      <c r="B17" s="92"/>
      <c r="C17" s="96" t="s">
        <v>199</v>
      </c>
      <c r="D17" s="1324">
        <f>SUM('1. melléklet'!D49)</f>
        <v>44071818</v>
      </c>
      <c r="E17" s="1324">
        <f>SUM('1. melléklet'!E49)</f>
        <v>44295492</v>
      </c>
      <c r="F17" s="1324">
        <f>SUM('1. melléklet'!F49)</f>
        <v>45016090</v>
      </c>
      <c r="G17" s="1324">
        <f>SUM('1. melléklet'!G49)</f>
        <v>45377695</v>
      </c>
      <c r="H17" s="1324">
        <f>SUM('1. melléklet'!H49)</f>
        <v>45593917</v>
      </c>
      <c r="I17" s="1324">
        <f>SUM('1. melléklet'!I49)</f>
        <v>45816725</v>
      </c>
    </row>
    <row r="18" spans="1:9" ht="12.75" customHeight="1">
      <c r="A18" s="635" t="s">
        <v>57</v>
      </c>
      <c r="B18" s="92"/>
      <c r="C18" s="95" t="s">
        <v>125</v>
      </c>
      <c r="D18" s="1324">
        <f>SUM('1. melléklet'!D50)</f>
        <v>263067627.2</v>
      </c>
      <c r="E18" s="1324">
        <f>SUM('1. melléklet'!E50)</f>
        <v>163561199.3</v>
      </c>
      <c r="F18" s="1324">
        <f>SUM('1. melléklet'!F50)</f>
        <v>143863478.3</v>
      </c>
      <c r="G18" s="1324">
        <f>SUM('1. melléklet'!G50)</f>
        <v>147857334.3</v>
      </c>
      <c r="H18" s="1324">
        <f>SUM('1. melléklet'!H50)</f>
        <v>151209528.3</v>
      </c>
      <c r="I18" s="1324">
        <f>SUM('1. melléklet'!I50)</f>
        <v>236589727.2</v>
      </c>
    </row>
    <row r="19" spans="1:9" ht="12.75" customHeight="1">
      <c r="A19" s="635" t="s">
        <v>86</v>
      </c>
      <c r="B19" s="92"/>
      <c r="C19" s="96" t="s">
        <v>201</v>
      </c>
      <c r="D19" s="59">
        <f>SUM('1. melléklet'!D51)</f>
        <v>4209730</v>
      </c>
      <c r="E19" s="59">
        <f>SUM('1. melléklet'!E51)</f>
        <v>3453000</v>
      </c>
      <c r="F19" s="59">
        <f>SUM('1. melléklet'!F51)</f>
        <v>3803000</v>
      </c>
      <c r="G19" s="59">
        <f>SUM('1. melléklet'!G51)</f>
        <v>3453000</v>
      </c>
      <c r="H19" s="59">
        <f>SUM('1. melléklet'!H51)</f>
        <v>3453000</v>
      </c>
      <c r="I19" s="59">
        <f>SUM('1. melléklet'!I51)</f>
        <v>4980000</v>
      </c>
    </row>
    <row r="20" spans="1:9" ht="12.75" customHeight="1">
      <c r="A20" s="635" t="s">
        <v>59</v>
      </c>
      <c r="B20" s="92"/>
      <c r="C20" s="96" t="s">
        <v>1224</v>
      </c>
      <c r="D20" s="59"/>
      <c r="E20" s="59"/>
      <c r="F20" s="59"/>
      <c r="G20" s="59">
        <v>2017050</v>
      </c>
      <c r="H20" s="59">
        <f>SUM('1. melléklet'!H53)</f>
        <v>2354850</v>
      </c>
      <c r="I20" s="59">
        <f>SUM('1. melléklet'!I53)</f>
        <v>2354850</v>
      </c>
    </row>
    <row r="21" spans="1:9" ht="12.75" customHeight="1">
      <c r="A21" s="635" t="s">
        <v>61</v>
      </c>
      <c r="B21" s="92"/>
      <c r="C21" s="96" t="s">
        <v>805</v>
      </c>
      <c r="D21" s="59">
        <v>2482037</v>
      </c>
      <c r="E21" s="59">
        <v>0</v>
      </c>
      <c r="F21" s="59">
        <v>354027</v>
      </c>
      <c r="G21" s="59">
        <v>354027</v>
      </c>
      <c r="H21" s="59">
        <v>354027</v>
      </c>
      <c r="I21" s="59">
        <v>354027</v>
      </c>
    </row>
    <row r="22" spans="1:9" ht="12.75" customHeight="1">
      <c r="A22" s="635" t="s">
        <v>63</v>
      </c>
      <c r="B22" s="92"/>
      <c r="C22" s="97" t="s">
        <v>217</v>
      </c>
      <c r="D22" s="59">
        <f>SUM('1. melléklet'!D56)</f>
        <v>44915369</v>
      </c>
      <c r="E22" s="59">
        <f>SUM('1. melléklet'!E56)</f>
        <v>28277469</v>
      </c>
      <c r="F22" s="59">
        <f>SUM('1. melléklet'!F56)</f>
        <v>27415469</v>
      </c>
      <c r="G22" s="59">
        <f>SUM('1. melléklet'!G56)</f>
        <v>27288863</v>
      </c>
      <c r="H22" s="59">
        <f>SUM('1. melléklet'!H56)</f>
        <v>33975660</v>
      </c>
      <c r="I22" s="59">
        <f>SUM('1. melléklet'!I56)</f>
        <v>63984797</v>
      </c>
    </row>
    <row r="23" spans="1:9" ht="12.75" customHeight="1" thickBot="1">
      <c r="A23" s="636" t="s">
        <v>65</v>
      </c>
      <c r="B23" s="273"/>
      <c r="C23" s="102" t="s">
        <v>202</v>
      </c>
      <c r="D23" s="279">
        <f>SUM('1. melléklet'!D57)</f>
        <v>44186648</v>
      </c>
      <c r="E23" s="279">
        <f>SUM('1. melléklet'!E57)</f>
        <v>44771741</v>
      </c>
      <c r="F23" s="279">
        <f>SUM('1. melléklet'!F57)</f>
        <v>42258999</v>
      </c>
      <c r="G23" s="279">
        <f>SUM('1. melléklet'!G57)</f>
        <v>46035254</v>
      </c>
      <c r="H23" s="279">
        <f>SUM('1. melléklet'!H57)</f>
        <v>49185271</v>
      </c>
      <c r="I23" s="279">
        <f>SUM('1. melléklet'!I57)</f>
        <v>50526275</v>
      </c>
    </row>
    <row r="24" spans="1:9" ht="12.75" customHeight="1" thickBot="1">
      <c r="A24" s="275" t="s">
        <v>92</v>
      </c>
      <c r="B24" s="276" t="s">
        <v>166</v>
      </c>
      <c r="C24" s="277" t="s">
        <v>218</v>
      </c>
      <c r="D24" s="281">
        <f aca="true" t="shared" si="1" ref="D24:I24">SUM(D16:D23)</f>
        <v>633290547.2</v>
      </c>
      <c r="E24" s="281">
        <f t="shared" si="1"/>
        <v>534811758.3</v>
      </c>
      <c r="F24" s="281">
        <f t="shared" si="1"/>
        <v>518881280.3</v>
      </c>
      <c r="G24" s="281">
        <f t="shared" si="1"/>
        <v>530729440.3</v>
      </c>
      <c r="H24" s="281">
        <f t="shared" si="1"/>
        <v>545867451.3</v>
      </c>
      <c r="I24" s="281">
        <f t="shared" si="1"/>
        <v>668266497.2</v>
      </c>
    </row>
    <row r="25" spans="1:9" ht="12.75" customHeight="1">
      <c r="A25" s="488" t="s">
        <v>66</v>
      </c>
      <c r="B25" s="106"/>
      <c r="C25" s="104" t="s">
        <v>219</v>
      </c>
      <c r="D25" s="280">
        <f aca="true" t="shared" si="2" ref="D25:I25">SUM(D26:D27)</f>
        <v>0</v>
      </c>
      <c r="E25" s="280">
        <f t="shared" si="2"/>
        <v>0</v>
      </c>
      <c r="F25" s="280">
        <f t="shared" si="2"/>
        <v>0</v>
      </c>
      <c r="G25" s="280">
        <f t="shared" si="2"/>
        <v>0</v>
      </c>
      <c r="H25" s="280">
        <f t="shared" si="2"/>
        <v>0</v>
      </c>
      <c r="I25" s="280">
        <f t="shared" si="2"/>
        <v>0</v>
      </c>
    </row>
    <row r="26" spans="1:9" s="272" customFormat="1" ht="27" customHeight="1">
      <c r="A26" s="637" t="s">
        <v>67</v>
      </c>
      <c r="B26" s="270"/>
      <c r="C26" s="267" t="s">
        <v>579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</row>
    <row r="27" spans="1:9" s="272" customFormat="1" ht="30" customHeight="1">
      <c r="A27" s="637" t="s">
        <v>68</v>
      </c>
      <c r="B27" s="270"/>
      <c r="C27" s="267" t="s">
        <v>580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</row>
    <row r="28" spans="1:9" ht="12.75" customHeight="1">
      <c r="A28" s="635" t="s">
        <v>70</v>
      </c>
      <c r="B28" s="92"/>
      <c r="C28" s="96" t="s">
        <v>220</v>
      </c>
      <c r="D28" s="59">
        <f>SUM(D30+D29)</f>
        <v>653538092</v>
      </c>
      <c r="E28" s="59">
        <f>SUM(E30+E29)</f>
        <v>513206538</v>
      </c>
      <c r="F28" s="59">
        <f>SUM(F30+F29)</f>
        <v>513206538</v>
      </c>
      <c r="G28" s="59">
        <f>SUM(G30+G29)</f>
        <v>513206538</v>
      </c>
      <c r="H28" s="59">
        <f>SUM(H30+H29)</f>
        <v>513206667</v>
      </c>
      <c r="I28" s="59">
        <v>576163508</v>
      </c>
    </row>
    <row r="29" spans="1:9" s="90" customFormat="1" ht="12.75" customHeight="1">
      <c r="A29" s="638" t="s">
        <v>97</v>
      </c>
      <c r="B29" s="98"/>
      <c r="C29" s="99" t="s">
        <v>193</v>
      </c>
      <c r="D29" s="100">
        <v>513195008</v>
      </c>
      <c r="E29" s="1502">
        <v>424550538</v>
      </c>
      <c r="F29" s="1502">
        <v>417879295</v>
      </c>
      <c r="G29" s="1502">
        <v>418120393</v>
      </c>
      <c r="H29" s="1502">
        <v>405019793</v>
      </c>
      <c r="I29" s="1502">
        <v>377256236</v>
      </c>
    </row>
    <row r="30" spans="1:9" s="90" customFormat="1" ht="12.75" customHeight="1">
      <c r="A30" s="638" t="s">
        <v>99</v>
      </c>
      <c r="B30" s="98"/>
      <c r="C30" s="101" t="s">
        <v>194</v>
      </c>
      <c r="D30" s="100">
        <v>140343084</v>
      </c>
      <c r="E30" s="1502">
        <v>88656000</v>
      </c>
      <c r="F30" s="1502">
        <v>95327243</v>
      </c>
      <c r="G30" s="1502">
        <v>95086145</v>
      </c>
      <c r="H30" s="1502">
        <v>108186874</v>
      </c>
      <c r="I30" s="1502">
        <v>198907272</v>
      </c>
    </row>
    <row r="31" spans="1:9" ht="12.75" customHeight="1" thickBot="1">
      <c r="A31" s="636" t="s">
        <v>101</v>
      </c>
      <c r="B31" s="273"/>
      <c r="C31" s="102" t="s">
        <v>221</v>
      </c>
      <c r="D31" s="279">
        <f>SUM('1. melléklet'!D40)</f>
        <v>9425972</v>
      </c>
      <c r="E31" s="279">
        <f>SUM('1. melléklet'!E40)</f>
        <v>8251931</v>
      </c>
      <c r="F31" s="279">
        <f>SUM('1. melléklet'!F40)</f>
        <v>8341969</v>
      </c>
      <c r="G31" s="279">
        <f>SUM('1. melléklet'!G40)</f>
        <v>8341969</v>
      </c>
      <c r="H31" s="279">
        <f>SUM('1. melléklet'!H40)</f>
        <v>8385010</v>
      </c>
      <c r="I31" s="279">
        <f>SUM('1. melléklet'!I40)</f>
        <v>11393036</v>
      </c>
    </row>
    <row r="32" spans="1:9" ht="12.75" customHeight="1" thickBot="1">
      <c r="A32" s="275" t="s">
        <v>103</v>
      </c>
      <c r="B32" s="276" t="s">
        <v>173</v>
      </c>
      <c r="C32" s="277" t="s">
        <v>222</v>
      </c>
      <c r="D32" s="281">
        <f aca="true" t="shared" si="3" ref="D32:I32">SUM(D25+D28+D31)</f>
        <v>662964064</v>
      </c>
      <c r="E32" s="281">
        <f t="shared" si="3"/>
        <v>521458469</v>
      </c>
      <c r="F32" s="281">
        <f t="shared" si="3"/>
        <v>521548507</v>
      </c>
      <c r="G32" s="281">
        <f t="shared" si="3"/>
        <v>521548507</v>
      </c>
      <c r="H32" s="281">
        <f t="shared" si="3"/>
        <v>521591677</v>
      </c>
      <c r="I32" s="281">
        <f t="shared" si="3"/>
        <v>587556544</v>
      </c>
    </row>
    <row r="33" spans="1:9" ht="27.75" customHeight="1">
      <c r="A33" s="488" t="s">
        <v>105</v>
      </c>
      <c r="B33" s="106"/>
      <c r="C33" s="282" t="s">
        <v>581</v>
      </c>
      <c r="D33" s="280">
        <f aca="true" t="shared" si="4" ref="D33:I33">SUM(D34:D35)</f>
        <v>0</v>
      </c>
      <c r="E33" s="280">
        <f t="shared" si="4"/>
        <v>0</v>
      </c>
      <c r="F33" s="280">
        <f t="shared" si="4"/>
        <v>0</v>
      </c>
      <c r="G33" s="280">
        <f t="shared" si="4"/>
        <v>0</v>
      </c>
      <c r="H33" s="280">
        <f t="shared" si="4"/>
        <v>0</v>
      </c>
      <c r="I33" s="280">
        <f t="shared" si="4"/>
        <v>0</v>
      </c>
    </row>
    <row r="34" spans="1:9" s="269" customFormat="1" ht="27.75" customHeight="1">
      <c r="A34" s="639" t="s">
        <v>107</v>
      </c>
      <c r="B34" s="266"/>
      <c r="C34" s="267" t="s">
        <v>582</v>
      </c>
      <c r="D34" s="268">
        <v>0</v>
      </c>
      <c r="E34" s="268">
        <v>0</v>
      </c>
      <c r="F34" s="268">
        <v>0</v>
      </c>
      <c r="G34" s="268">
        <v>0</v>
      </c>
      <c r="H34" s="268">
        <v>0</v>
      </c>
      <c r="I34" s="268">
        <v>0</v>
      </c>
    </row>
    <row r="35" spans="1:9" s="269" customFormat="1" ht="27.75" customHeight="1">
      <c r="A35" s="639" t="s">
        <v>109</v>
      </c>
      <c r="B35" s="266"/>
      <c r="C35" s="267" t="s">
        <v>583</v>
      </c>
      <c r="D35" s="268">
        <v>0</v>
      </c>
      <c r="E35" s="268">
        <v>0</v>
      </c>
      <c r="F35" s="268">
        <v>0</v>
      </c>
      <c r="G35" s="268">
        <v>0</v>
      </c>
      <c r="H35" s="268">
        <v>0</v>
      </c>
      <c r="I35" s="268">
        <v>0</v>
      </c>
    </row>
    <row r="36" spans="1:9" ht="30.75" customHeight="1" thickBot="1">
      <c r="A36" s="636" t="s">
        <v>111</v>
      </c>
      <c r="B36" s="273"/>
      <c r="C36" s="102" t="s">
        <v>584</v>
      </c>
      <c r="D36" s="103">
        <f>SUM('1. melléklet'!D63)</f>
        <v>8209104</v>
      </c>
      <c r="E36" s="103">
        <f>SUM('1. melléklet'!E63)</f>
        <v>8251931</v>
      </c>
      <c r="F36" s="103">
        <f>SUM('1. melléklet'!F63)</f>
        <v>8432007</v>
      </c>
      <c r="G36" s="103">
        <f>SUM('1. melléklet'!G63)</f>
        <v>8432007</v>
      </c>
      <c r="H36" s="103">
        <f>SUM('1. melléklet'!H63)</f>
        <v>8835048</v>
      </c>
      <c r="I36" s="103">
        <f>SUM('1. melléklet'!I63)</f>
        <v>8830789</v>
      </c>
    </row>
    <row r="37" spans="1:9" ht="12.75" customHeight="1" thickBot="1">
      <c r="A37" s="275" t="s">
        <v>113</v>
      </c>
      <c r="B37" s="276" t="s">
        <v>182</v>
      </c>
      <c r="C37" s="283" t="s">
        <v>209</v>
      </c>
      <c r="D37" s="281">
        <f aca="true" t="shared" si="5" ref="D37:I37">SUM(D33:D36)</f>
        <v>8209104</v>
      </c>
      <c r="E37" s="281">
        <f t="shared" si="5"/>
        <v>8251931</v>
      </c>
      <c r="F37" s="281">
        <f t="shared" si="5"/>
        <v>8432007</v>
      </c>
      <c r="G37" s="281">
        <f t="shared" si="5"/>
        <v>8432007</v>
      </c>
      <c r="H37" s="281">
        <f t="shared" si="5"/>
        <v>8835048</v>
      </c>
      <c r="I37" s="281">
        <f t="shared" si="5"/>
        <v>8830789</v>
      </c>
    </row>
    <row r="38" spans="1:9" ht="29.25" customHeight="1">
      <c r="A38" s="488" t="s">
        <v>115</v>
      </c>
      <c r="B38" s="106"/>
      <c r="C38" s="104" t="s">
        <v>167</v>
      </c>
      <c r="D38" s="105">
        <f>SUM('1. melléklet'!D14)</f>
        <v>86558434</v>
      </c>
      <c r="E38" s="105">
        <f>SUM('1. melléklet'!E14)</f>
        <v>0</v>
      </c>
      <c r="F38" s="105">
        <f>SUM('1. melléklet'!F14)</f>
        <v>204583492</v>
      </c>
      <c r="G38" s="105">
        <f>SUM('1. melléklet'!G14)</f>
        <v>225628568</v>
      </c>
      <c r="H38" s="105">
        <f>SUM('1. melléklet'!H14)</f>
        <v>225628568</v>
      </c>
      <c r="I38" s="105">
        <f>SUM('1. melléklet'!I14)</f>
        <v>243628561</v>
      </c>
    </row>
    <row r="39" spans="1:9" ht="12.75" customHeight="1">
      <c r="A39" s="635" t="s">
        <v>117</v>
      </c>
      <c r="B39" s="92"/>
      <c r="C39" s="95" t="s">
        <v>224</v>
      </c>
      <c r="D39" s="80">
        <f>SUM('1. melléklet'!D31)</f>
        <v>31616633</v>
      </c>
      <c r="E39" s="80">
        <f>SUM('1. melléklet'!E31)</f>
        <v>14000000</v>
      </c>
      <c r="F39" s="80">
        <f>SUM('1. melléklet'!F31)</f>
        <v>16968160</v>
      </c>
      <c r="G39" s="80">
        <f>SUM('1. melléklet'!G31)</f>
        <v>22893160</v>
      </c>
      <c r="H39" s="80">
        <f>SUM('1. melléklet'!H31)</f>
        <v>22893160</v>
      </c>
      <c r="I39" s="80">
        <f>SUM('1. melléklet'!I31)</f>
        <v>31357376</v>
      </c>
    </row>
    <row r="40" spans="1:9" ht="12.75" customHeight="1">
      <c r="A40" s="636" t="s">
        <v>118</v>
      </c>
      <c r="B40" s="273"/>
      <c r="C40" s="224" t="s">
        <v>225</v>
      </c>
      <c r="D40" s="279">
        <f>SUM('1. melléklet'!D33)</f>
        <v>435505</v>
      </c>
      <c r="E40" s="279">
        <f>SUM('1. melléklet'!E33)</f>
        <v>0</v>
      </c>
      <c r="F40" s="279">
        <f>SUM('1. melléklet'!F33)</f>
        <v>0</v>
      </c>
      <c r="G40" s="279">
        <f>SUM('1. melléklet'!G33)</f>
        <v>0</v>
      </c>
      <c r="H40" s="279">
        <f>SUM('1. melléklet'!H33)</f>
        <v>0</v>
      </c>
      <c r="I40" s="279">
        <f>SUM('1. melléklet'!I33)</f>
        <v>0</v>
      </c>
    </row>
    <row r="41" spans="1:9" ht="12.75" customHeight="1">
      <c r="A41" s="451" t="s">
        <v>120</v>
      </c>
      <c r="B41" s="388"/>
      <c r="C41" s="390" t="s">
        <v>682</v>
      </c>
      <c r="D41" s="596"/>
      <c r="E41" s="596"/>
      <c r="F41" s="596"/>
      <c r="G41" s="596"/>
      <c r="H41" s="596"/>
      <c r="I41" s="596"/>
    </row>
    <row r="42" spans="1:9" ht="12.75" customHeight="1">
      <c r="A42" s="287" t="s">
        <v>122</v>
      </c>
      <c r="B42" s="388"/>
      <c r="C42" s="390" t="s">
        <v>698</v>
      </c>
      <c r="D42" s="596"/>
      <c r="E42" s="596"/>
      <c r="F42" s="596"/>
      <c r="G42" s="596"/>
      <c r="H42" s="596"/>
      <c r="I42" s="596"/>
    </row>
    <row r="43" spans="1:9" ht="12.75" customHeight="1" thickBot="1">
      <c r="A43" s="592" t="s">
        <v>124</v>
      </c>
      <c r="B43" s="593" t="s">
        <v>183</v>
      </c>
      <c r="C43" s="594" t="s">
        <v>226</v>
      </c>
      <c r="D43" s="595">
        <f aca="true" t="shared" si="6" ref="D43:I43">SUM(D38:D42)</f>
        <v>118610572</v>
      </c>
      <c r="E43" s="595">
        <f t="shared" si="6"/>
        <v>14000000</v>
      </c>
      <c r="F43" s="595">
        <f t="shared" si="6"/>
        <v>221551652</v>
      </c>
      <c r="G43" s="595">
        <f t="shared" si="6"/>
        <v>248521728</v>
      </c>
      <c r="H43" s="595">
        <f t="shared" si="6"/>
        <v>248521728</v>
      </c>
      <c r="I43" s="595">
        <f t="shared" si="6"/>
        <v>274985937</v>
      </c>
    </row>
    <row r="44" spans="1:9" ht="12.75" customHeight="1">
      <c r="A44" s="488" t="s">
        <v>126</v>
      </c>
      <c r="B44" s="106"/>
      <c r="C44" s="104" t="s">
        <v>132</v>
      </c>
      <c r="D44" s="105">
        <f>SUM('1. melléklet'!D58)</f>
        <v>196200181</v>
      </c>
      <c r="E44" s="105">
        <f>SUM('1. melléklet'!E58)</f>
        <v>4250000</v>
      </c>
      <c r="F44" s="105">
        <f>SUM('1. melléklet'!F58)</f>
        <v>96060917</v>
      </c>
      <c r="G44" s="105">
        <f>SUM('1. melléklet'!G58)</f>
        <v>251407095</v>
      </c>
      <c r="H44" s="105">
        <f>SUM('1. melléklet'!H58)</f>
        <v>251648197</v>
      </c>
      <c r="I44" s="105">
        <f>SUM('1. melléklet'!I58)</f>
        <v>322688176</v>
      </c>
    </row>
    <row r="45" spans="1:9" ht="12.75" customHeight="1">
      <c r="A45" s="635" t="s">
        <v>128</v>
      </c>
      <c r="B45" s="92"/>
      <c r="C45" s="95" t="s">
        <v>134</v>
      </c>
      <c r="D45" s="105">
        <f>SUM('1. melléklet'!D59)</f>
        <v>9475157</v>
      </c>
      <c r="E45" s="105">
        <f>SUM('1. melléklet'!E59)</f>
        <v>400000</v>
      </c>
      <c r="F45" s="105">
        <f>SUM('1. melléklet'!F59)</f>
        <v>400000</v>
      </c>
      <c r="G45" s="105">
        <f>SUM('1. melléklet'!G59)</f>
        <v>23442555</v>
      </c>
      <c r="H45" s="105">
        <f>SUM('1. melléklet'!H59)</f>
        <v>23442555</v>
      </c>
      <c r="I45" s="105">
        <f>SUM('1. melléklet'!I59)</f>
        <v>15603565</v>
      </c>
    </row>
    <row r="46" spans="1:9" ht="12.75" customHeight="1">
      <c r="A46" s="636" t="s">
        <v>130</v>
      </c>
      <c r="B46" s="273"/>
      <c r="C46" s="224" t="s">
        <v>681</v>
      </c>
      <c r="D46" s="591">
        <f>SUM('1. melléklet'!D55)</f>
        <v>433850538</v>
      </c>
      <c r="E46" s="591">
        <f>SUM('1. melléklet'!E55)</f>
        <v>433850538</v>
      </c>
      <c r="F46" s="591">
        <f>SUM('1. melléklet'!F55)</f>
        <v>542967139</v>
      </c>
      <c r="G46" s="591">
        <f>SUM('1. melléklet'!G55)</f>
        <v>391757471</v>
      </c>
      <c r="H46" s="591">
        <f>SUM('1. melléklet'!H55)</f>
        <v>376766003</v>
      </c>
      <c r="I46" s="591">
        <f>SUM('1. melléklet'!I55)</f>
        <v>312265666</v>
      </c>
    </row>
    <row r="47" spans="1:9" ht="12.75" customHeight="1" thickBot="1">
      <c r="A47" s="636" t="s">
        <v>131</v>
      </c>
      <c r="B47" s="273"/>
      <c r="C47" s="224" t="s">
        <v>203</v>
      </c>
      <c r="D47" s="279">
        <f>SUM('1. melléklet'!D60)</f>
        <v>0</v>
      </c>
      <c r="E47" s="279">
        <f>SUM('1. melléklet'!E60)</f>
        <v>0</v>
      </c>
      <c r="F47" s="279">
        <f>SUM('1. melléklet'!F60)</f>
        <v>0</v>
      </c>
      <c r="G47" s="279">
        <f>SUM('1. melléklet'!G60)</f>
        <v>0</v>
      </c>
      <c r="H47" s="279">
        <f>SUM('1. melléklet'!H60)</f>
        <v>1684766</v>
      </c>
      <c r="I47" s="279">
        <f>SUM('1. melléklet'!I60)</f>
        <v>1684766</v>
      </c>
    </row>
    <row r="48" spans="1:9" ht="12.75" customHeight="1" thickBot="1">
      <c r="A48" s="275" t="s">
        <v>133</v>
      </c>
      <c r="B48" s="276" t="s">
        <v>184</v>
      </c>
      <c r="C48" s="277" t="s">
        <v>227</v>
      </c>
      <c r="D48" s="281">
        <f aca="true" t="shared" si="7" ref="D48:I48">SUM(D44:D47)</f>
        <v>639525876</v>
      </c>
      <c r="E48" s="281">
        <f t="shared" si="7"/>
        <v>438500538</v>
      </c>
      <c r="F48" s="281">
        <f t="shared" si="7"/>
        <v>639428056</v>
      </c>
      <c r="G48" s="281">
        <f t="shared" si="7"/>
        <v>666607121</v>
      </c>
      <c r="H48" s="281">
        <f t="shared" si="7"/>
        <v>653541521</v>
      </c>
      <c r="I48" s="281">
        <f t="shared" si="7"/>
        <v>652242173</v>
      </c>
    </row>
    <row r="50" spans="1:9" ht="12.75" customHeight="1">
      <c r="A50" s="107"/>
      <c r="B50" s="107"/>
      <c r="C50" s="107" t="s">
        <v>228</v>
      </c>
      <c r="D50" s="108">
        <f aca="true" t="shared" si="8" ref="D50:I50">SUM(D15+D32+D43)</f>
        <v>1281025527</v>
      </c>
      <c r="E50" s="108">
        <f t="shared" si="8"/>
        <v>981614227</v>
      </c>
      <c r="F50" s="108">
        <f t="shared" si="8"/>
        <v>1166744234</v>
      </c>
      <c r="G50" s="108">
        <f t="shared" si="8"/>
        <v>1205803568</v>
      </c>
      <c r="H50" s="108">
        <f t="shared" si="8"/>
        <v>1208244149</v>
      </c>
      <c r="I50" s="108">
        <f t="shared" si="8"/>
        <v>1329339459</v>
      </c>
    </row>
    <row r="51" spans="1:9" ht="12.75" customHeight="1">
      <c r="A51" s="107"/>
      <c r="B51" s="107"/>
      <c r="C51" s="107" t="s">
        <v>211</v>
      </c>
      <c r="D51" s="108">
        <f aca="true" t="shared" si="9" ref="D51:I51">SUM(D24+D37+D48)</f>
        <v>1281025527.2</v>
      </c>
      <c r="E51" s="108">
        <f t="shared" si="9"/>
        <v>981564227.3</v>
      </c>
      <c r="F51" s="108">
        <f t="shared" si="9"/>
        <v>1166741343.3</v>
      </c>
      <c r="G51" s="108">
        <f t="shared" si="9"/>
        <v>1205768568.3</v>
      </c>
      <c r="H51" s="108">
        <f t="shared" si="9"/>
        <v>1208244020.3</v>
      </c>
      <c r="I51" s="108">
        <f t="shared" si="9"/>
        <v>1329339459.2</v>
      </c>
    </row>
  </sheetData>
  <sheetProtection selectLockedCells="1" selectUnlockedCells="1"/>
  <mergeCells count="14">
    <mergeCell ref="A1:I1"/>
    <mergeCell ref="A10:B10"/>
    <mergeCell ref="A4:C4"/>
    <mergeCell ref="A8:B9"/>
    <mergeCell ref="C8:C9"/>
    <mergeCell ref="F8:F9"/>
    <mergeCell ref="G8:G9"/>
    <mergeCell ref="E8:E9"/>
    <mergeCell ref="D8:D9"/>
    <mergeCell ref="H8:H9"/>
    <mergeCell ref="D2:F2"/>
    <mergeCell ref="I8:I9"/>
    <mergeCell ref="A5:I5"/>
    <mergeCell ref="A3:I3"/>
  </mergeCells>
  <printOptions horizontalCentered="1"/>
  <pageMargins left="0.7874015748031497" right="0.7874015748031497" top="1.062992125984252" bottom="1.062992125984252" header="0.5118110236220472" footer="0.5118110236220472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57"/>
  <sheetViews>
    <sheetView view="pageBreakPreview" zoomScaleSheetLayoutView="100" zoomScalePageLayoutView="0" workbookViewId="0" topLeftCell="A1">
      <selection activeCell="H3" sqref="H3"/>
    </sheetView>
  </sheetViews>
  <sheetFormatPr defaultColWidth="11.7109375" defaultRowHeight="12.75"/>
  <cols>
    <col min="1" max="2" width="3.8515625" style="5" customWidth="1"/>
    <col min="3" max="3" width="44.00390625" style="5" customWidth="1"/>
    <col min="4" max="9" width="16.8515625" style="87" customWidth="1"/>
    <col min="10" max="16384" width="11.7109375" style="5" customWidth="1"/>
  </cols>
  <sheetData>
    <row r="1" spans="1:8" s="88" customFormat="1" ht="18" customHeight="1">
      <c r="A1" s="1859" t="s">
        <v>229</v>
      </c>
      <c r="B1" s="1859"/>
      <c r="C1" s="1859"/>
      <c r="D1" s="1859"/>
      <c r="E1" s="1859"/>
      <c r="F1" s="1859"/>
      <c r="G1" s="1859"/>
      <c r="H1" s="1859"/>
    </row>
    <row r="2" spans="1:9" ht="19.5" customHeight="1">
      <c r="A2" s="1875" t="s">
        <v>1295</v>
      </c>
      <c r="B2" s="1875"/>
      <c r="C2" s="1875"/>
      <c r="D2" s="1875"/>
      <c r="E2" s="1875"/>
      <c r="F2" s="1875"/>
      <c r="G2" s="1875"/>
      <c r="H2" s="1875"/>
      <c r="I2" s="1875"/>
    </row>
    <row r="3" spans="1:9" ht="15" customHeight="1">
      <c r="A3" s="1872"/>
      <c r="B3" s="1872"/>
      <c r="C3" s="1872"/>
      <c r="D3" s="1876" t="s">
        <v>1296</v>
      </c>
      <c r="E3" s="1877"/>
      <c r="F3" s="1877"/>
      <c r="G3" s="5"/>
      <c r="H3" s="5" t="s">
        <v>1298</v>
      </c>
      <c r="I3" s="5"/>
    </row>
    <row r="4" spans="1:9" ht="6.75" customHeight="1">
      <c r="A4" s="1873"/>
      <c r="B4" s="1873"/>
      <c r="C4" s="1873"/>
      <c r="D4" s="5"/>
      <c r="E4" s="5"/>
      <c r="F4" s="5"/>
      <c r="G4" s="5"/>
      <c r="H4" s="5"/>
      <c r="I4" s="5"/>
    </row>
    <row r="5" spans="1:9" ht="12.75" customHeight="1">
      <c r="A5" s="1874" t="s">
        <v>1146</v>
      </c>
      <c r="B5" s="1874"/>
      <c r="C5" s="1874"/>
      <c r="D5" s="1874"/>
      <c r="E5" s="1874"/>
      <c r="F5" s="1874"/>
      <c r="G5" s="1874"/>
      <c r="H5" s="1874"/>
      <c r="I5" s="1874"/>
    </row>
    <row r="6" spans="1:9" ht="12.75" customHeight="1">
      <c r="A6" s="1874"/>
      <c r="B6" s="1874"/>
      <c r="C6" s="1874"/>
      <c r="D6" s="1874"/>
      <c r="E6" s="1874"/>
      <c r="F6" s="1874"/>
      <c r="G6" s="1874"/>
      <c r="H6" s="1874"/>
      <c r="I6" s="1874"/>
    </row>
    <row r="7" spans="2:9" ht="12.75" customHeight="1">
      <c r="B7" s="74"/>
      <c r="D7" s="5"/>
      <c r="E7" s="5"/>
      <c r="F7" s="5"/>
      <c r="G7" s="5"/>
      <c r="H7" s="5"/>
      <c r="I7" s="5"/>
    </row>
    <row r="8" spans="2:9" ht="30" customHeight="1" thickBot="1">
      <c r="B8" s="74"/>
      <c r="D8" s="839"/>
      <c r="E8" s="839"/>
      <c r="F8" s="839"/>
      <c r="G8" s="839"/>
      <c r="H8" s="839"/>
      <c r="I8" s="839" t="s">
        <v>214</v>
      </c>
    </row>
    <row r="9" spans="1:9" ht="63.75" customHeight="1">
      <c r="A9" s="1868" t="s">
        <v>156</v>
      </c>
      <c r="B9" s="1869"/>
      <c r="C9" s="299" t="s">
        <v>157</v>
      </c>
      <c r="D9" s="300" t="s">
        <v>1071</v>
      </c>
      <c r="E9" s="300" t="s">
        <v>1072</v>
      </c>
      <c r="F9" s="300" t="s">
        <v>1157</v>
      </c>
      <c r="G9" s="300" t="s">
        <v>1178</v>
      </c>
      <c r="H9" s="300" t="s">
        <v>1250</v>
      </c>
      <c r="I9" s="300" t="s">
        <v>1267</v>
      </c>
    </row>
    <row r="10" spans="1:9" ht="12.75" customHeight="1" thickBot="1">
      <c r="A10" s="1870"/>
      <c r="B10" s="1871"/>
      <c r="C10" s="301" t="s">
        <v>158</v>
      </c>
      <c r="D10" s="302" t="s">
        <v>159</v>
      </c>
      <c r="E10" s="302" t="s">
        <v>160</v>
      </c>
      <c r="F10" s="302" t="s">
        <v>161</v>
      </c>
      <c r="G10" s="302" t="s">
        <v>456</v>
      </c>
      <c r="H10" s="302" t="s">
        <v>476</v>
      </c>
      <c r="I10" s="302" t="s">
        <v>701</v>
      </c>
    </row>
    <row r="11" spans="1:9" ht="27" customHeight="1">
      <c r="A11" s="287" t="s">
        <v>38</v>
      </c>
      <c r="B11" s="613"/>
      <c r="C11" s="295" t="s">
        <v>569</v>
      </c>
      <c r="D11" s="120">
        <f>SUM('19 önkormányzat'!E9)</f>
        <v>64654837</v>
      </c>
      <c r="E11" s="120">
        <f>SUM('19 önkormányzat'!F9)</f>
        <v>61975191</v>
      </c>
      <c r="F11" s="120">
        <f>SUM('19 önkormányzat'!G9)</f>
        <v>75331491</v>
      </c>
      <c r="G11" s="120">
        <f>SUM('19 önkormányzat'!H9)</f>
        <v>75719241</v>
      </c>
      <c r="H11" s="120">
        <f>SUM('19 önkormányzat'!I9)</f>
        <v>75719241</v>
      </c>
      <c r="I11" s="120">
        <f>SUM('19 önkormányzat'!J9)</f>
        <v>75919433</v>
      </c>
    </row>
    <row r="12" spans="1:9" ht="28.5" customHeight="1">
      <c r="A12" s="287" t="s">
        <v>40</v>
      </c>
      <c r="B12" s="614"/>
      <c r="C12" s="289" t="s">
        <v>570</v>
      </c>
      <c r="D12" s="120">
        <f>SUM('19 önkormányzat'!E10)</f>
        <v>71348150</v>
      </c>
      <c r="E12" s="120">
        <f>SUM('19 önkormányzat'!F10)</f>
        <v>71578420</v>
      </c>
      <c r="F12" s="120">
        <f>SUM('19 önkormányzat'!G10)</f>
        <v>71578420</v>
      </c>
      <c r="G12" s="120">
        <f>SUM('19 önkormányzat'!H10)</f>
        <v>76658570</v>
      </c>
      <c r="H12" s="120">
        <f>SUM('19 önkormányzat'!I10)</f>
        <v>76658570</v>
      </c>
      <c r="I12" s="120">
        <f>SUM('19 önkormányzat'!J10)</f>
        <v>79063350</v>
      </c>
    </row>
    <row r="13" spans="1:9" ht="25.5" customHeight="1">
      <c r="A13" s="287" t="s">
        <v>47</v>
      </c>
      <c r="B13" s="614"/>
      <c r="C13" s="289" t="s">
        <v>1208</v>
      </c>
      <c r="D13" s="120">
        <f>SUM('19 önkormányzat'!E12)</f>
        <v>73996115</v>
      </c>
      <c r="E13" s="120">
        <f>SUM('19 önkormányzat'!F12)</f>
        <v>68387414</v>
      </c>
      <c r="F13" s="120">
        <f>SUM('19 önkormányzat'!G12)</f>
        <v>70287414</v>
      </c>
      <c r="G13" s="120">
        <v>41769100</v>
      </c>
      <c r="H13" s="120">
        <v>41769100</v>
      </c>
      <c r="I13" s="120">
        <v>50678791</v>
      </c>
    </row>
    <row r="14" spans="1:9" ht="25.5" customHeight="1">
      <c r="A14" s="287" t="s">
        <v>49</v>
      </c>
      <c r="B14" s="614"/>
      <c r="C14" s="289" t="s">
        <v>1226</v>
      </c>
      <c r="D14" s="120"/>
      <c r="E14" s="120"/>
      <c r="F14" s="120"/>
      <c r="G14" s="120">
        <v>32209354</v>
      </c>
      <c r="H14" s="120">
        <v>32209354</v>
      </c>
      <c r="I14" s="120">
        <v>27930365</v>
      </c>
    </row>
    <row r="15" spans="1:9" ht="26.25" customHeight="1">
      <c r="A15" s="287" t="s">
        <v>51</v>
      </c>
      <c r="B15" s="614"/>
      <c r="C15" s="289" t="s">
        <v>571</v>
      </c>
      <c r="D15" s="120">
        <f>SUM('19 önkormányzat'!E13)</f>
        <v>5050082</v>
      </c>
      <c r="E15" s="120">
        <f>SUM('19 önkormányzat'!F13)</f>
        <v>4357233</v>
      </c>
      <c r="F15" s="120">
        <f>SUM('19 önkormányzat'!G13)</f>
        <v>4357233</v>
      </c>
      <c r="G15" s="120">
        <f>SUM('19 önkormányzat'!H13)</f>
        <v>5854923</v>
      </c>
      <c r="H15" s="120">
        <f>SUM('19 önkormányzat'!I13)</f>
        <v>5854923</v>
      </c>
      <c r="I15" s="120">
        <f>SUM('19 önkormányzat'!J13)</f>
        <v>6558782</v>
      </c>
    </row>
    <row r="16" spans="1:9" ht="30" customHeight="1">
      <c r="A16" s="287" t="s">
        <v>53</v>
      </c>
      <c r="B16" s="614"/>
      <c r="C16" s="289" t="s">
        <v>572</v>
      </c>
      <c r="D16" s="120">
        <f>SUM('19 önkormányzat'!E14)</f>
        <v>9078450</v>
      </c>
      <c r="E16" s="120">
        <f>SUM('19 önkormányzat'!F14)</f>
        <v>0</v>
      </c>
      <c r="F16" s="120">
        <f>SUM('19 önkormányzat'!G14)</f>
        <v>0</v>
      </c>
      <c r="G16" s="120">
        <f>SUM('19 önkormányzat'!H14)</f>
        <v>0</v>
      </c>
      <c r="H16" s="120">
        <f>SUM('19 önkormányzat'!I14)</f>
        <v>1447800</v>
      </c>
      <c r="I16" s="120">
        <f>SUM('19 önkormányzat'!J14)</f>
        <v>1447800</v>
      </c>
    </row>
    <row r="17" spans="1:9" ht="12.75" customHeight="1">
      <c r="A17" s="287" t="s">
        <v>55</v>
      </c>
      <c r="B17" s="614"/>
      <c r="C17" s="289" t="s">
        <v>573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</row>
    <row r="18" spans="1:9" s="64" customFormat="1" ht="12.75" customHeight="1">
      <c r="A18" s="388" t="s">
        <v>57</v>
      </c>
      <c r="B18" s="615"/>
      <c r="C18" s="112" t="s">
        <v>162</v>
      </c>
      <c r="D18" s="9">
        <f aca="true" t="shared" si="0" ref="D18:I18">SUM(D11:D17)</f>
        <v>224127634</v>
      </c>
      <c r="E18" s="9">
        <f t="shared" si="0"/>
        <v>206298258</v>
      </c>
      <c r="F18" s="9">
        <f t="shared" si="0"/>
        <v>221554558</v>
      </c>
      <c r="G18" s="9">
        <f t="shared" si="0"/>
        <v>232211188</v>
      </c>
      <c r="H18" s="9">
        <f t="shared" si="0"/>
        <v>233658988</v>
      </c>
      <c r="I18" s="9">
        <f t="shared" si="0"/>
        <v>241598521</v>
      </c>
    </row>
    <row r="19" spans="1:9" s="293" customFormat="1" ht="27" customHeight="1" thickBot="1">
      <c r="A19" s="362" t="s">
        <v>86</v>
      </c>
      <c r="B19" s="616"/>
      <c r="C19" s="291" t="s">
        <v>163</v>
      </c>
      <c r="D19" s="292">
        <f>SUM('1. melléklet'!D12)</f>
        <v>22974278</v>
      </c>
      <c r="E19" s="292">
        <f>SUM('1. melléklet'!E12)</f>
        <v>250000</v>
      </c>
      <c r="F19" s="292">
        <f>SUM('1. melléklet'!F12)</f>
        <v>285340</v>
      </c>
      <c r="G19" s="292">
        <f>SUM('1. melléklet'!G12)</f>
        <v>1547744</v>
      </c>
      <c r="H19" s="292">
        <f>SUM('1. melléklet'!H12)</f>
        <v>3657288</v>
      </c>
      <c r="I19" s="292">
        <f>SUM('1. melléklet'!I12)</f>
        <v>4527092</v>
      </c>
    </row>
    <row r="20" spans="1:9" ht="25.5" customHeight="1" thickBot="1">
      <c r="A20" s="824" t="s">
        <v>59</v>
      </c>
      <c r="B20" s="617" t="s">
        <v>164</v>
      </c>
      <c r="C20" s="298" t="s">
        <v>165</v>
      </c>
      <c r="D20" s="825">
        <f>SUM(D18+D19)</f>
        <v>247101912</v>
      </c>
      <c r="E20" s="825">
        <f>SUM(E18+E19)</f>
        <v>206548258</v>
      </c>
      <c r="F20" s="825">
        <f>SUM(F18+F19)</f>
        <v>221839898</v>
      </c>
      <c r="G20" s="825">
        <f>SUM(G18:G19)</f>
        <v>233758932</v>
      </c>
      <c r="H20" s="825">
        <f>SUM(H18:H19)</f>
        <v>237316276</v>
      </c>
      <c r="I20" s="825">
        <f>SUM(I18:I19)</f>
        <v>246125613</v>
      </c>
    </row>
    <row r="21" spans="1:9" ht="25.5" customHeight="1" thickBot="1">
      <c r="A21" s="826" t="s">
        <v>61</v>
      </c>
      <c r="B21" s="826"/>
      <c r="C21" s="827" t="s">
        <v>806</v>
      </c>
      <c r="D21" s="828"/>
      <c r="E21" s="828"/>
      <c r="F21" s="828"/>
      <c r="G21" s="828">
        <v>225628568</v>
      </c>
      <c r="H21" s="828">
        <v>225628568</v>
      </c>
      <c r="I21" s="828">
        <v>243628561</v>
      </c>
    </row>
    <row r="22" spans="1:9" s="64" customFormat="1" ht="29.25" customHeight="1" thickBot="1">
      <c r="A22" s="829" t="s">
        <v>63</v>
      </c>
      <c r="B22" s="618" t="s">
        <v>166</v>
      </c>
      <c r="C22" s="303" t="s">
        <v>167</v>
      </c>
      <c r="D22" s="830">
        <f>SUM('2. melléklet'!D38)</f>
        <v>86558434</v>
      </c>
      <c r="E22" s="830">
        <f>SUM('2. melléklet'!E38)</f>
        <v>0</v>
      </c>
      <c r="F22" s="830">
        <f>SUM('2. melléklet'!F38)</f>
        <v>204583492</v>
      </c>
      <c r="G22" s="830">
        <f>SUM('2. melléklet'!G38)</f>
        <v>225628568</v>
      </c>
      <c r="H22" s="830">
        <f>SUM('2. melléklet'!H38)</f>
        <v>225628568</v>
      </c>
      <c r="I22" s="830">
        <f>SUM('2. melléklet'!I38)</f>
        <v>243628561</v>
      </c>
    </row>
    <row r="23" spans="1:9" ht="12.75" customHeight="1">
      <c r="A23" s="652" t="s">
        <v>65</v>
      </c>
      <c r="B23" s="613"/>
      <c r="C23" s="286" t="s">
        <v>586</v>
      </c>
      <c r="D23" s="120">
        <f>SUM('1. melléklet'!D15)</f>
        <v>7416968</v>
      </c>
      <c r="E23" s="120">
        <f>SUM('1. melléklet'!E15)</f>
        <v>7000000</v>
      </c>
      <c r="F23" s="120">
        <f>SUM('1. melléklet'!F15)</f>
        <v>7000000</v>
      </c>
      <c r="G23" s="120">
        <f>SUM('1. melléklet'!G15)</f>
        <v>7000000</v>
      </c>
      <c r="H23" s="120">
        <f>SUM('1. melléklet'!H15)</f>
        <v>7000000</v>
      </c>
      <c r="I23" s="120">
        <f>SUM('1. melléklet'!I15)</f>
        <v>8449347</v>
      </c>
    </row>
    <row r="24" spans="1:9" ht="12.75" customHeight="1">
      <c r="A24" s="287" t="s">
        <v>92</v>
      </c>
      <c r="B24" s="614"/>
      <c r="C24" s="110" t="s">
        <v>587</v>
      </c>
      <c r="D24" s="120">
        <f>SUM('1. melléklet'!D16)</f>
        <v>178695853</v>
      </c>
      <c r="E24" s="120">
        <f>SUM('1. melléklet'!E16)</f>
        <v>170000000</v>
      </c>
      <c r="F24" s="120">
        <f>SUM('1. melléklet'!F16)</f>
        <v>149699463</v>
      </c>
      <c r="G24" s="120">
        <f>SUM('1. melléklet'!G16)</f>
        <v>149699463</v>
      </c>
      <c r="H24" s="120">
        <f>SUM('1. melléklet'!H16)</f>
        <v>149699463</v>
      </c>
      <c r="I24" s="120">
        <f>SUM('1. melléklet'!I16)</f>
        <v>147879068</v>
      </c>
    </row>
    <row r="25" spans="1:9" ht="12.75" customHeight="1">
      <c r="A25" s="287" t="s">
        <v>66</v>
      </c>
      <c r="B25" s="614"/>
      <c r="C25" s="110" t="s">
        <v>588</v>
      </c>
      <c r="D25" s="120">
        <f>SUM('1. melléklet'!D17)</f>
        <v>10879813</v>
      </c>
      <c r="E25" s="120">
        <f>SUM('1. melléklet'!E17)</f>
        <v>10700000</v>
      </c>
      <c r="F25" s="120">
        <f>SUM('1. melléklet'!F17)</f>
        <v>0</v>
      </c>
      <c r="G25" s="120">
        <f>SUM('1. melléklet'!G17)</f>
        <v>0</v>
      </c>
      <c r="H25" s="120">
        <f>SUM('1. melléklet'!H17)</f>
        <v>0</v>
      </c>
      <c r="I25" s="120">
        <f>SUM('1. melléklet'!I17)</f>
        <v>0</v>
      </c>
    </row>
    <row r="26" spans="1:9" ht="12.75" customHeight="1">
      <c r="A26" s="287" t="s">
        <v>67</v>
      </c>
      <c r="B26" s="614"/>
      <c r="C26" s="289" t="s">
        <v>589</v>
      </c>
      <c r="D26" s="120">
        <f>SUM('1. melléklet'!D18)</f>
        <v>0</v>
      </c>
      <c r="E26" s="120">
        <f>SUM('1. melléklet'!E18)</f>
        <v>0</v>
      </c>
      <c r="F26" s="120">
        <f>SUM('1. melléklet'!F18)</f>
        <v>0</v>
      </c>
      <c r="G26" s="120">
        <f>SUM('1. melléklet'!G18)</f>
        <v>0</v>
      </c>
      <c r="H26" s="120">
        <f>SUM('1. melléklet'!H18)</f>
        <v>0</v>
      </c>
      <c r="I26" s="120">
        <f>SUM('1. melléklet'!I18)</f>
        <v>0</v>
      </c>
    </row>
    <row r="27" spans="1:9" ht="12.75" customHeight="1" thickBot="1">
      <c r="A27" s="287" t="s">
        <v>68</v>
      </c>
      <c r="B27" s="619"/>
      <c r="C27" s="294" t="s">
        <v>590</v>
      </c>
      <c r="D27" s="120">
        <f>SUM('1. melléklet'!D19)</f>
        <v>275818</v>
      </c>
      <c r="E27" s="120">
        <f>SUM('1. melléklet'!E19)</f>
        <v>250000</v>
      </c>
      <c r="F27" s="120">
        <f>SUM('1. melléklet'!F19)</f>
        <v>250000</v>
      </c>
      <c r="G27" s="120">
        <f>SUM('1. melléklet'!G19)</f>
        <v>350000</v>
      </c>
      <c r="H27" s="120">
        <f>SUM('1. melléklet'!H19)</f>
        <v>450000</v>
      </c>
      <c r="I27" s="120">
        <f>SUM('1. melléklet'!I19)</f>
        <v>869993</v>
      </c>
    </row>
    <row r="28" spans="1:9" ht="24.75" customHeight="1" thickBot="1">
      <c r="A28" s="633" t="s">
        <v>70</v>
      </c>
      <c r="B28" s="620" t="s">
        <v>173</v>
      </c>
      <c r="C28" s="296" t="s">
        <v>174</v>
      </c>
      <c r="D28" s="297">
        <f aca="true" t="shared" si="1" ref="D28:I28">SUM(D23:D27)</f>
        <v>197268452</v>
      </c>
      <c r="E28" s="297">
        <f t="shared" si="1"/>
        <v>187950000</v>
      </c>
      <c r="F28" s="297">
        <f t="shared" si="1"/>
        <v>156949463</v>
      </c>
      <c r="G28" s="297">
        <f t="shared" si="1"/>
        <v>157049463</v>
      </c>
      <c r="H28" s="297">
        <f t="shared" si="1"/>
        <v>157149463</v>
      </c>
      <c r="I28" s="297">
        <f t="shared" si="1"/>
        <v>157198408</v>
      </c>
    </row>
    <row r="29" spans="1:9" ht="12.75" customHeight="1">
      <c r="A29" s="287" t="s">
        <v>97</v>
      </c>
      <c r="B29" s="621"/>
      <c r="C29" s="288" t="s">
        <v>574</v>
      </c>
      <c r="D29" s="288">
        <f>SUM('1. melléklet'!D21)</f>
        <v>4036017</v>
      </c>
      <c r="E29" s="288">
        <f>SUM('1. melléklet'!E21)</f>
        <v>3981000</v>
      </c>
      <c r="F29" s="288">
        <f>SUM('1. melléklet'!F21)</f>
        <v>2700000</v>
      </c>
      <c r="G29" s="288">
        <f>SUM('1. melléklet'!G21)</f>
        <v>3200000</v>
      </c>
      <c r="H29" s="288">
        <f>SUM('1. melléklet'!H21)</f>
        <v>4750000</v>
      </c>
      <c r="I29" s="288">
        <f>SUM('1. melléklet'!I21)</f>
        <v>5033402</v>
      </c>
    </row>
    <row r="30" spans="1:9" ht="12.75" customHeight="1">
      <c r="A30" s="287" t="s">
        <v>99</v>
      </c>
      <c r="B30" s="621"/>
      <c r="C30" s="288" t="s">
        <v>176</v>
      </c>
      <c r="D30" s="288">
        <f>SUM('1. melléklet'!D22)</f>
        <v>6708948</v>
      </c>
      <c r="E30" s="288">
        <f>SUM('1. melléklet'!E22)</f>
        <v>6695500</v>
      </c>
      <c r="F30" s="288">
        <f>SUM('1. melléklet'!F22)</f>
        <v>6695500</v>
      </c>
      <c r="G30" s="288">
        <f>SUM('1. melléklet'!G22)</f>
        <v>5516500</v>
      </c>
      <c r="H30" s="288">
        <f>SUM('1. melléklet'!H22)</f>
        <v>5416500</v>
      </c>
      <c r="I30" s="288">
        <f>SUM('1. melléklet'!I22)</f>
        <v>17435390</v>
      </c>
    </row>
    <row r="31" spans="1:9" ht="12.75" customHeight="1">
      <c r="A31" s="287" t="s">
        <v>101</v>
      </c>
      <c r="B31" s="621"/>
      <c r="C31" s="288" t="s">
        <v>177</v>
      </c>
      <c r="D31" s="288">
        <f>SUM('1. melléklet'!D23)</f>
        <v>1645960</v>
      </c>
      <c r="E31" s="288">
        <f>SUM('1. melléklet'!E23)</f>
        <v>1638000</v>
      </c>
      <c r="F31" s="288">
        <f>SUM('1. melléklet'!F23)</f>
        <v>621000</v>
      </c>
      <c r="G31" s="288">
        <f>SUM('1. melléklet'!G23)</f>
        <v>821000</v>
      </c>
      <c r="H31" s="288">
        <f>SUM('1. melléklet'!H23)</f>
        <v>421000</v>
      </c>
      <c r="I31" s="288">
        <f>SUM('1. melléklet'!I23)</f>
        <v>1204677</v>
      </c>
    </row>
    <row r="32" spans="1:9" ht="12.75" customHeight="1">
      <c r="A32" s="287" t="s">
        <v>103</v>
      </c>
      <c r="B32" s="621"/>
      <c r="C32" s="288" t="s">
        <v>673</v>
      </c>
      <c r="D32" s="288">
        <f>SUM('1. melléklet'!D24)</f>
        <v>21064715</v>
      </c>
      <c r="E32" s="288">
        <f>SUM('1. melléklet'!E24)</f>
        <v>21065000</v>
      </c>
      <c r="F32" s="288">
        <f>SUM('1. melléklet'!F24)</f>
        <v>18211501</v>
      </c>
      <c r="G32" s="288">
        <f>SUM('1. melléklet'!G24)</f>
        <v>18211501</v>
      </c>
      <c r="H32" s="288">
        <f>SUM('1. melléklet'!H24)</f>
        <v>18211501</v>
      </c>
      <c r="I32" s="288">
        <f>SUM('1. melléklet'!I24)</f>
        <v>18692184</v>
      </c>
    </row>
    <row r="33" spans="1:9" ht="12.75" customHeight="1">
      <c r="A33" s="287" t="s">
        <v>105</v>
      </c>
      <c r="B33" s="621"/>
      <c r="C33" s="288" t="s">
        <v>179</v>
      </c>
      <c r="D33" s="288">
        <f>SUM('1. melléklet'!D25)</f>
        <v>16196012</v>
      </c>
      <c r="E33" s="288">
        <f>SUM('1. melléklet'!E25)</f>
        <v>16200000</v>
      </c>
      <c r="F33" s="288">
        <f>SUM('1. melléklet'!F25)</f>
        <v>15548625</v>
      </c>
      <c r="G33" s="288">
        <f>SUM('1. melléklet'!G25)</f>
        <v>15148625</v>
      </c>
      <c r="H33" s="288">
        <f>SUM('1. melléklet'!H25)</f>
        <v>12548625</v>
      </c>
      <c r="I33" s="288">
        <f>SUM('1. melléklet'!I25)</f>
        <v>18540726</v>
      </c>
    </row>
    <row r="34" spans="1:9" ht="12.75" customHeight="1">
      <c r="A34" s="287" t="s">
        <v>107</v>
      </c>
      <c r="B34" s="287"/>
      <c r="C34" s="288" t="s">
        <v>696</v>
      </c>
      <c r="D34" s="288">
        <f>SUM('1. melléklet'!D26)</f>
        <v>292000</v>
      </c>
      <c r="E34" s="288">
        <f>SUM('1. melléklet'!E26)</f>
        <v>0</v>
      </c>
      <c r="F34" s="288">
        <f>SUM('1. melléklet'!F26)</f>
        <v>0</v>
      </c>
      <c r="G34" s="288">
        <f>SUM('1. melléklet'!G26)</f>
        <v>287000</v>
      </c>
      <c r="H34" s="288">
        <f>SUM('1. melléklet'!H26)</f>
        <v>287000</v>
      </c>
      <c r="I34" s="288">
        <f>SUM('1. melléklet'!I26)</f>
        <v>287000</v>
      </c>
    </row>
    <row r="35" spans="1:9" ht="12.75" customHeight="1">
      <c r="A35" s="652" t="s">
        <v>109</v>
      </c>
      <c r="B35" s="613"/>
      <c r="C35" s="286" t="s">
        <v>585</v>
      </c>
      <c r="D35" s="288">
        <f>SUM('1. melléklet'!D27)</f>
        <v>56</v>
      </c>
      <c r="E35" s="288">
        <f>SUM('1. melléklet'!E27)</f>
        <v>0</v>
      </c>
      <c r="F35" s="288">
        <f>SUM('1. melléklet'!F27)</f>
        <v>27</v>
      </c>
      <c r="G35" s="288">
        <f>SUM('1. melléklet'!G27)</f>
        <v>102</v>
      </c>
      <c r="H35" s="288">
        <f>SUM('1. melléklet'!H27)</f>
        <v>103</v>
      </c>
      <c r="I35" s="288">
        <f>SUM('1. melléklet'!I27)</f>
        <v>121</v>
      </c>
    </row>
    <row r="36" spans="1:9" ht="12.75" customHeight="1">
      <c r="A36" s="652" t="s">
        <v>111</v>
      </c>
      <c r="B36" s="831"/>
      <c r="C36" s="832" t="s">
        <v>804</v>
      </c>
      <c r="D36" s="288">
        <f>SUM('1. melléklet'!D28)</f>
        <v>113750</v>
      </c>
      <c r="E36" s="288">
        <f>SUM('1. melléklet'!E28)</f>
        <v>0</v>
      </c>
      <c r="F36" s="288">
        <f>SUM('1. melléklet'!F28)</f>
        <v>0</v>
      </c>
      <c r="G36" s="288">
        <f>SUM('1. melléklet'!G28)</f>
        <v>0</v>
      </c>
      <c r="H36" s="288">
        <f>SUM('1. melléklet'!H28)</f>
        <v>0</v>
      </c>
      <c r="I36" s="288">
        <f>SUM('1. melléklet'!I28)</f>
        <v>0</v>
      </c>
    </row>
    <row r="37" spans="1:9" ht="12.75" customHeight="1" thickBot="1">
      <c r="A37" s="287" t="s">
        <v>113</v>
      </c>
      <c r="B37" s="619"/>
      <c r="C37" s="294" t="s">
        <v>181</v>
      </c>
      <c r="D37" s="288">
        <f>SUM('1. melléklet'!D29)</f>
        <v>3407774</v>
      </c>
      <c r="E37" s="288">
        <f>SUM('1. melléklet'!E29)</f>
        <v>2000000</v>
      </c>
      <c r="F37" s="288">
        <f>SUM('1. melléklet'!F29)</f>
        <v>1000061</v>
      </c>
      <c r="G37" s="288">
        <f>SUM('1. melléklet'!G29)</f>
        <v>100190</v>
      </c>
      <c r="H37" s="288">
        <f>SUM('1. melléklet'!H29)</f>
        <v>290256</v>
      </c>
      <c r="I37" s="288">
        <f>SUM('1. melléklet'!I29)</f>
        <v>335139</v>
      </c>
    </row>
    <row r="38" spans="1:9" s="64" customFormat="1" ht="19.5" customHeight="1">
      <c r="A38" s="634" t="s">
        <v>115</v>
      </c>
      <c r="B38" s="622" t="s">
        <v>182</v>
      </c>
      <c r="C38" s="304" t="s">
        <v>216</v>
      </c>
      <c r="D38" s="305">
        <f aca="true" t="shared" si="2" ref="D38:I38">SUM(D29:D37)</f>
        <v>53465232</v>
      </c>
      <c r="E38" s="305">
        <f t="shared" si="2"/>
        <v>51579500</v>
      </c>
      <c r="F38" s="305">
        <f t="shared" si="2"/>
        <v>44776714</v>
      </c>
      <c r="G38" s="305">
        <f t="shared" si="2"/>
        <v>43284918</v>
      </c>
      <c r="H38" s="305">
        <f t="shared" si="2"/>
        <v>41924985</v>
      </c>
      <c r="I38" s="305">
        <f t="shared" si="2"/>
        <v>61528639</v>
      </c>
    </row>
    <row r="39" spans="1:9" ht="12.75" customHeight="1">
      <c r="A39" s="288" t="s">
        <v>117</v>
      </c>
      <c r="B39" s="623"/>
      <c r="C39" s="288" t="s">
        <v>575</v>
      </c>
      <c r="D39" s="288">
        <f>SUM('1. melléklet'!D31)</f>
        <v>31616633</v>
      </c>
      <c r="E39" s="288">
        <f>SUM('1. melléklet'!E31)</f>
        <v>14000000</v>
      </c>
      <c r="F39" s="288">
        <f>SUM('1. melléklet'!F31)</f>
        <v>16968160</v>
      </c>
      <c r="G39" s="288">
        <f>SUM('1. melléklet'!G31)</f>
        <v>22893160</v>
      </c>
      <c r="H39" s="288">
        <f>SUM('1. melléklet'!H31)</f>
        <v>22893160</v>
      </c>
      <c r="I39" s="288">
        <f>SUM('1. melléklet'!I31)</f>
        <v>31357376</v>
      </c>
    </row>
    <row r="40" spans="1:9" ht="12.75" customHeight="1" thickBot="1">
      <c r="A40" s="288" t="s">
        <v>118</v>
      </c>
      <c r="B40" s="624"/>
      <c r="C40" s="309" t="s">
        <v>594</v>
      </c>
      <c r="D40" s="310"/>
      <c r="E40" s="310"/>
      <c r="F40" s="310"/>
      <c r="G40" s="310"/>
      <c r="H40" s="310"/>
      <c r="I40" s="310"/>
    </row>
    <row r="41" spans="1:9" s="64" customFormat="1" ht="21.75" customHeight="1" thickBot="1">
      <c r="A41" s="612" t="s">
        <v>120</v>
      </c>
      <c r="B41" s="625" t="s">
        <v>183</v>
      </c>
      <c r="C41" s="312" t="s">
        <v>13</v>
      </c>
      <c r="D41" s="312">
        <f aca="true" t="shared" si="3" ref="D41:I41">SUM(D39:D40)</f>
        <v>31616633</v>
      </c>
      <c r="E41" s="312">
        <f t="shared" si="3"/>
        <v>14000000</v>
      </c>
      <c r="F41" s="312">
        <f t="shared" si="3"/>
        <v>16968160</v>
      </c>
      <c r="G41" s="312">
        <f t="shared" si="3"/>
        <v>22893160</v>
      </c>
      <c r="H41" s="312">
        <f t="shared" si="3"/>
        <v>22893160</v>
      </c>
      <c r="I41" s="312">
        <f t="shared" si="3"/>
        <v>31357376</v>
      </c>
    </row>
    <row r="42" spans="1:9" ht="12.75" customHeight="1">
      <c r="A42" s="288" t="s">
        <v>122</v>
      </c>
      <c r="B42" s="626"/>
      <c r="C42" s="1090" t="s">
        <v>576</v>
      </c>
      <c r="D42" s="311">
        <v>549855</v>
      </c>
      <c r="E42" s="311">
        <v>78000</v>
      </c>
      <c r="F42" s="311">
        <v>78000</v>
      </c>
      <c r="G42" s="311">
        <v>150000</v>
      </c>
      <c r="H42" s="311">
        <v>150000</v>
      </c>
      <c r="I42" s="311">
        <v>275798</v>
      </c>
    </row>
    <row r="43" spans="1:9" s="290" customFormat="1" ht="12.75" customHeight="1">
      <c r="A43" s="308" t="s">
        <v>124</v>
      </c>
      <c r="B43" s="627"/>
      <c r="C43" s="308" t="s">
        <v>595</v>
      </c>
      <c r="D43" s="308">
        <v>210000</v>
      </c>
      <c r="E43" s="308"/>
      <c r="F43" s="308"/>
      <c r="G43" s="308"/>
      <c r="H43" s="308"/>
      <c r="I43" s="308"/>
    </row>
    <row r="44" spans="1:9" s="290" customFormat="1" ht="12.75" customHeight="1">
      <c r="A44" s="308" t="s">
        <v>126</v>
      </c>
      <c r="B44" s="627"/>
      <c r="C44" s="308" t="s">
        <v>596</v>
      </c>
      <c r="D44" s="308">
        <v>78000</v>
      </c>
      <c r="E44" s="308">
        <v>78000</v>
      </c>
      <c r="F44" s="308">
        <v>78000</v>
      </c>
      <c r="G44" s="308">
        <v>150000</v>
      </c>
      <c r="H44" s="308">
        <v>150000</v>
      </c>
      <c r="I44" s="308">
        <v>275798</v>
      </c>
    </row>
    <row r="45" spans="1:9" ht="12.75" customHeight="1">
      <c r="A45" s="288" t="s">
        <v>128</v>
      </c>
      <c r="B45" s="623"/>
      <c r="C45" s="288" t="s">
        <v>577</v>
      </c>
      <c r="D45" s="288">
        <v>1065440</v>
      </c>
      <c r="E45" s="288">
        <v>0</v>
      </c>
      <c r="F45" s="288">
        <v>0</v>
      </c>
      <c r="G45" s="288">
        <v>1490020</v>
      </c>
      <c r="H45" s="288">
        <v>1490020</v>
      </c>
      <c r="I45" s="288">
        <v>1668520</v>
      </c>
    </row>
    <row r="46" spans="1:9" s="290" customFormat="1" ht="12.75" customHeight="1" thickBot="1">
      <c r="A46" s="308" t="s">
        <v>130</v>
      </c>
      <c r="B46" s="628"/>
      <c r="C46" s="313" t="s">
        <v>597</v>
      </c>
      <c r="D46" s="313"/>
      <c r="E46" s="313"/>
      <c r="F46" s="313"/>
      <c r="G46" s="313">
        <v>1490020</v>
      </c>
      <c r="H46" s="313">
        <v>1490020</v>
      </c>
      <c r="I46" s="313">
        <v>1668520</v>
      </c>
    </row>
    <row r="47" spans="1:9" s="64" customFormat="1" ht="19.5" customHeight="1" thickBot="1">
      <c r="A47" s="612" t="s">
        <v>131</v>
      </c>
      <c r="B47" s="625" t="s">
        <v>184</v>
      </c>
      <c r="C47" s="312" t="s">
        <v>185</v>
      </c>
      <c r="D47" s="312">
        <f aca="true" t="shared" si="4" ref="D47:I47">SUM(D42+D45)</f>
        <v>1615295</v>
      </c>
      <c r="E47" s="312">
        <f t="shared" si="4"/>
        <v>78000</v>
      </c>
      <c r="F47" s="312">
        <f t="shared" si="4"/>
        <v>78000</v>
      </c>
      <c r="G47" s="312">
        <f t="shared" si="4"/>
        <v>1640020</v>
      </c>
      <c r="H47" s="312">
        <f t="shared" si="4"/>
        <v>1640020</v>
      </c>
      <c r="I47" s="312">
        <f t="shared" si="4"/>
        <v>1944318</v>
      </c>
    </row>
    <row r="48" spans="1:9" ht="12.75" customHeight="1">
      <c r="A48" s="288" t="s">
        <v>133</v>
      </c>
      <c r="B48" s="626"/>
      <c r="C48" s="311" t="s">
        <v>578</v>
      </c>
      <c r="D48" s="311">
        <v>435505</v>
      </c>
      <c r="E48" s="311">
        <v>0</v>
      </c>
      <c r="F48" s="311">
        <v>0</v>
      </c>
      <c r="G48" s="311">
        <v>0</v>
      </c>
      <c r="H48" s="311">
        <v>0</v>
      </c>
      <c r="I48" s="311">
        <v>0</v>
      </c>
    </row>
    <row r="49" spans="1:9" ht="14.25" customHeight="1" thickBot="1">
      <c r="A49" s="288" t="s">
        <v>135</v>
      </c>
      <c r="B49" s="624"/>
      <c r="C49" s="309" t="s">
        <v>598</v>
      </c>
      <c r="D49" s="310"/>
      <c r="E49" s="310"/>
      <c r="F49" s="310"/>
      <c r="G49" s="310"/>
      <c r="H49" s="310"/>
      <c r="I49" s="310"/>
    </row>
    <row r="50" spans="1:9" s="64" customFormat="1" ht="20.25" customHeight="1" thickBot="1">
      <c r="A50" s="612" t="s">
        <v>137</v>
      </c>
      <c r="B50" s="625" t="s">
        <v>184</v>
      </c>
      <c r="C50" s="312" t="s">
        <v>225</v>
      </c>
      <c r="D50" s="312">
        <v>435505</v>
      </c>
      <c r="E50" s="312">
        <v>0</v>
      </c>
      <c r="F50" s="312">
        <v>0</v>
      </c>
      <c r="G50" s="312">
        <v>0</v>
      </c>
      <c r="H50" s="312">
        <v>0</v>
      </c>
      <c r="I50" s="312">
        <v>0</v>
      </c>
    </row>
    <row r="51" spans="1:9" s="60" customFormat="1" ht="25.5">
      <c r="A51" s="306" t="s">
        <v>139</v>
      </c>
      <c r="B51" s="629"/>
      <c r="C51" s="315" t="s">
        <v>601</v>
      </c>
      <c r="D51" s="316"/>
      <c r="E51" s="316"/>
      <c r="F51" s="316"/>
      <c r="G51" s="316"/>
      <c r="H51" s="316"/>
      <c r="I51" s="316"/>
    </row>
    <row r="52" spans="1:9" s="60" customFormat="1" ht="25.5">
      <c r="A52" s="306" t="s">
        <v>141</v>
      </c>
      <c r="B52" s="630"/>
      <c r="C52" s="317" t="s">
        <v>599</v>
      </c>
      <c r="D52" s="307"/>
      <c r="E52" s="307"/>
      <c r="F52" s="307"/>
      <c r="G52" s="307"/>
      <c r="H52" s="307"/>
      <c r="I52" s="307"/>
    </row>
    <row r="53" spans="1:9" ht="17.25" customHeight="1">
      <c r="A53" s="288" t="s">
        <v>143</v>
      </c>
      <c r="B53" s="623"/>
      <c r="C53" s="288" t="s">
        <v>600</v>
      </c>
      <c r="D53" s="288">
        <f aca="true" t="shared" si="5" ref="D53:I53">SUM(D51+D52)</f>
        <v>0</v>
      </c>
      <c r="E53" s="288">
        <f t="shared" si="5"/>
        <v>0</v>
      </c>
      <c r="F53" s="288">
        <f t="shared" si="5"/>
        <v>0</v>
      </c>
      <c r="G53" s="288">
        <f t="shared" si="5"/>
        <v>0</v>
      </c>
      <c r="H53" s="288">
        <f t="shared" si="5"/>
        <v>0</v>
      </c>
      <c r="I53" s="288">
        <f t="shared" si="5"/>
        <v>0</v>
      </c>
    </row>
    <row r="54" spans="1:9" ht="12.75">
      <c r="A54" s="288" t="s">
        <v>145</v>
      </c>
      <c r="B54" s="623"/>
      <c r="C54" s="288" t="s">
        <v>220</v>
      </c>
      <c r="D54" s="288">
        <f>SUM('1. melléklet'!D37)</f>
        <v>653538092</v>
      </c>
      <c r="E54" s="288">
        <f>SUM('1. melléklet'!E37)</f>
        <v>513206538</v>
      </c>
      <c r="F54" s="288">
        <f>SUM('1. melléklet'!F37)</f>
        <v>513206538</v>
      </c>
      <c r="G54" s="288">
        <f>SUM('1. melléklet'!G37)</f>
        <v>513206538</v>
      </c>
      <c r="H54" s="288">
        <f>SUM('1. melléklet'!H37)</f>
        <v>513206538</v>
      </c>
      <c r="I54" s="288">
        <f>SUM('1. melléklet'!I37)</f>
        <v>576163508</v>
      </c>
    </row>
    <row r="55" spans="1:9" ht="12.75">
      <c r="A55" s="288" t="s">
        <v>147</v>
      </c>
      <c r="B55" s="624"/>
      <c r="C55" s="309" t="s">
        <v>223</v>
      </c>
      <c r="D55" s="309">
        <f>SUM('1. melléklet'!D40)</f>
        <v>9425972</v>
      </c>
      <c r="E55" s="309">
        <f>SUM('1. melléklet'!E40)</f>
        <v>8251931</v>
      </c>
      <c r="F55" s="309">
        <f>SUM('1. melléklet'!F40)</f>
        <v>8341969</v>
      </c>
      <c r="G55" s="309">
        <f>SUM('1. melléklet'!G40)</f>
        <v>8341969</v>
      </c>
      <c r="H55" s="309">
        <f>SUM('1. melléklet'!H40)</f>
        <v>8385010</v>
      </c>
      <c r="I55" s="309">
        <f>SUM('1. melléklet'!I40)</f>
        <v>11393036</v>
      </c>
    </row>
    <row r="56" spans="1:9" s="64" customFormat="1" ht="21" customHeight="1">
      <c r="A56" s="612" t="s">
        <v>149</v>
      </c>
      <c r="B56" s="631" t="s">
        <v>186</v>
      </c>
      <c r="C56" s="612" t="s">
        <v>602</v>
      </c>
      <c r="D56" s="612">
        <f aca="true" t="shared" si="6" ref="D56:I56">SUM(D53+D54+D55)</f>
        <v>662964064</v>
      </c>
      <c r="E56" s="612">
        <f t="shared" si="6"/>
        <v>521458469</v>
      </c>
      <c r="F56" s="612">
        <f t="shared" si="6"/>
        <v>521548507</v>
      </c>
      <c r="G56" s="612">
        <f t="shared" si="6"/>
        <v>521548507</v>
      </c>
      <c r="H56" s="612">
        <f t="shared" si="6"/>
        <v>521591548</v>
      </c>
      <c r="I56" s="612">
        <f t="shared" si="6"/>
        <v>587556544</v>
      </c>
    </row>
    <row r="57" spans="1:9" s="314" customFormat="1" ht="15.75">
      <c r="A57" s="611" t="s">
        <v>151</v>
      </c>
      <c r="B57" s="632"/>
      <c r="C57" s="611" t="s">
        <v>198</v>
      </c>
      <c r="D57" s="611">
        <f aca="true" t="shared" si="7" ref="D57:I57">SUM(D20+D22+D28+D38+D41+D47+D50+D56)</f>
        <v>1281025527</v>
      </c>
      <c r="E57" s="611">
        <f t="shared" si="7"/>
        <v>981614227</v>
      </c>
      <c r="F57" s="611">
        <f t="shared" si="7"/>
        <v>1166744234</v>
      </c>
      <c r="G57" s="611">
        <f t="shared" si="7"/>
        <v>1205803568</v>
      </c>
      <c r="H57" s="611">
        <f t="shared" si="7"/>
        <v>1208144020</v>
      </c>
      <c r="I57" s="611">
        <f t="shared" si="7"/>
        <v>1329339459</v>
      </c>
    </row>
  </sheetData>
  <sheetProtection/>
  <mergeCells count="7">
    <mergeCell ref="A9:B10"/>
    <mergeCell ref="A3:C3"/>
    <mergeCell ref="A4:C4"/>
    <mergeCell ref="A1:H1"/>
    <mergeCell ref="A5:I6"/>
    <mergeCell ref="A2:I2"/>
    <mergeCell ref="D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K121"/>
  <sheetViews>
    <sheetView view="pageBreakPreview" zoomScaleSheetLayoutView="100" zoomScalePageLayoutView="0" workbookViewId="0" topLeftCell="A1">
      <selection activeCell="A4" sqref="A4:I4"/>
    </sheetView>
  </sheetViews>
  <sheetFormatPr defaultColWidth="11.7109375" defaultRowHeight="12.75" customHeight="1"/>
  <cols>
    <col min="1" max="2" width="3.8515625" style="5" customWidth="1"/>
    <col min="3" max="3" width="44.7109375" style="5" customWidth="1"/>
    <col min="4" max="4" width="20.57421875" style="52" customWidth="1"/>
    <col min="5" max="5" width="17.57421875" style="52" customWidth="1"/>
    <col min="6" max="9" width="21.57421875" style="52" customWidth="1"/>
    <col min="10" max="16384" width="11.7109375" style="5" customWidth="1"/>
  </cols>
  <sheetData>
    <row r="1" spans="1:8" s="88" customFormat="1" ht="18" customHeight="1">
      <c r="A1" s="1859" t="s">
        <v>231</v>
      </c>
      <c r="B1" s="1859"/>
      <c r="C1" s="1859"/>
      <c r="D1" s="1859"/>
      <c r="E1" s="1859"/>
      <c r="F1" s="1859"/>
      <c r="G1" s="1859"/>
      <c r="H1" s="1859"/>
    </row>
    <row r="2" spans="1:9" ht="19.5" customHeight="1">
      <c r="A2" s="1884" t="s">
        <v>1295</v>
      </c>
      <c r="B2" s="1884"/>
      <c r="C2" s="1884"/>
      <c r="D2" s="1884"/>
      <c r="E2" s="1884"/>
      <c r="F2" s="1884"/>
      <c r="G2" s="1884"/>
      <c r="H2" s="1884"/>
      <c r="I2" s="1884"/>
    </row>
    <row r="3" spans="1:9" ht="19.5" customHeight="1">
      <c r="A3" s="1815"/>
      <c r="B3" s="1815"/>
      <c r="C3" s="1815"/>
      <c r="D3" s="1883" t="s">
        <v>1296</v>
      </c>
      <c r="E3" s="1884"/>
      <c r="F3" s="1884"/>
      <c r="G3" s="1884"/>
      <c r="H3" s="1815" t="s">
        <v>1299</v>
      </c>
      <c r="I3" s="1815"/>
    </row>
    <row r="4" spans="1:241" ht="45.75" customHeight="1">
      <c r="A4" s="1889" t="s">
        <v>232</v>
      </c>
      <c r="B4" s="1889"/>
      <c r="C4" s="1889"/>
      <c r="D4" s="1889"/>
      <c r="E4" s="1889"/>
      <c r="F4" s="1889"/>
      <c r="G4" s="1889"/>
      <c r="H4" s="1889"/>
      <c r="I4" s="188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spans="1:241" ht="12.75" customHeight="1">
      <c r="A5" s="1890">
        <v>2020</v>
      </c>
      <c r="B5" s="1890"/>
      <c r="C5" s="1890"/>
      <c r="D5" s="1890"/>
      <c r="E5" s="1890"/>
      <c r="F5" s="1890"/>
      <c r="G5" s="1890"/>
      <c r="H5" s="1890"/>
      <c r="I5" s="189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241" ht="12.75" customHeight="1">
      <c r="A6" s="833"/>
      <c r="B6" s="833"/>
      <c r="C6" s="833"/>
      <c r="D6" s="833"/>
      <c r="E6" s="833"/>
      <c r="F6" s="833"/>
      <c r="G6" s="833"/>
      <c r="H6" s="833"/>
      <c r="I6" s="83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</row>
    <row r="7" spans="1:241" ht="15.75" customHeight="1" thickBot="1">
      <c r="A7" s="1882" t="s">
        <v>233</v>
      </c>
      <c r="B7" s="1882"/>
      <c r="C7" s="1882"/>
      <c r="D7" s="839"/>
      <c r="E7" s="839"/>
      <c r="F7" s="839"/>
      <c r="G7" s="839"/>
      <c r="H7" s="839"/>
      <c r="I7" s="839" t="s">
        <v>214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241" ht="27" customHeight="1">
      <c r="A8" s="1885" t="s">
        <v>156</v>
      </c>
      <c r="B8" s="1886"/>
      <c r="C8" s="348" t="s">
        <v>157</v>
      </c>
      <c r="D8" s="349" t="s">
        <v>1071</v>
      </c>
      <c r="E8" s="349" t="s">
        <v>1072</v>
      </c>
      <c r="F8" s="349" t="s">
        <v>1157</v>
      </c>
      <c r="G8" s="349" t="s">
        <v>1178</v>
      </c>
      <c r="H8" s="349" t="s">
        <v>1250</v>
      </c>
      <c r="I8" s="349" t="s">
        <v>1267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ht="12.75" customHeight="1" thickBot="1">
      <c r="A9" s="1887"/>
      <c r="B9" s="1888"/>
      <c r="C9" s="350" t="s">
        <v>158</v>
      </c>
      <c r="D9" s="351" t="s">
        <v>159</v>
      </c>
      <c r="E9" s="351" t="s">
        <v>160</v>
      </c>
      <c r="F9" s="351" t="s">
        <v>161</v>
      </c>
      <c r="G9" s="351" t="s">
        <v>456</v>
      </c>
      <c r="H9" s="351" t="s">
        <v>476</v>
      </c>
      <c r="I9" s="351" t="s">
        <v>701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241" s="290" customFormat="1" ht="23.25" customHeight="1">
      <c r="A10" s="344" t="s">
        <v>38</v>
      </c>
      <c r="B10" s="345"/>
      <c r="C10" s="346" t="s">
        <v>569</v>
      </c>
      <c r="D10" s="347">
        <f>SUM('19 önkormányzat'!E9)</f>
        <v>64654837</v>
      </c>
      <c r="E10" s="347">
        <f>SUM('19 önkormányzat'!F9)</f>
        <v>61975191</v>
      </c>
      <c r="F10" s="347">
        <f>SUM('19 önkormányzat'!G9)</f>
        <v>75331491</v>
      </c>
      <c r="G10" s="347">
        <f>SUM('19 önkormányzat'!H9)</f>
        <v>75719241</v>
      </c>
      <c r="H10" s="347">
        <f>SUM('19 önkormányzat'!I9)</f>
        <v>75719241</v>
      </c>
      <c r="I10" s="347">
        <f>SUM('19 önkormányzat'!J9)</f>
        <v>75919433</v>
      </c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  <c r="EZ10" s="269"/>
      <c r="FA10" s="269"/>
      <c r="FB10" s="269"/>
      <c r="FC10" s="269"/>
      <c r="FD10" s="269"/>
      <c r="FE10" s="269"/>
      <c r="FF10" s="269"/>
      <c r="FG10" s="269"/>
      <c r="FH10" s="269"/>
      <c r="FI10" s="269"/>
      <c r="FJ10" s="269"/>
      <c r="FK10" s="269"/>
      <c r="FL10" s="269"/>
      <c r="FM10" s="269"/>
      <c r="FN10" s="269"/>
      <c r="FO10" s="269"/>
      <c r="FP10" s="269"/>
      <c r="FQ10" s="269"/>
      <c r="FR10" s="269"/>
      <c r="FS10" s="269"/>
      <c r="FT10" s="269"/>
      <c r="FU10" s="269"/>
      <c r="FV10" s="269"/>
      <c r="FW10" s="269"/>
      <c r="FX10" s="269"/>
      <c r="FY10" s="269"/>
      <c r="FZ10" s="269"/>
      <c r="GA10" s="269"/>
      <c r="GB10" s="269"/>
      <c r="GC10" s="269"/>
      <c r="GD10" s="269"/>
      <c r="GE10" s="269"/>
      <c r="GF10" s="269"/>
      <c r="GG10" s="269"/>
      <c r="GH10" s="269"/>
      <c r="GI10" s="269"/>
      <c r="GJ10" s="269"/>
      <c r="GK10" s="269"/>
      <c r="GL10" s="269"/>
      <c r="GM10" s="269"/>
      <c r="GN10" s="269"/>
      <c r="GO10" s="269"/>
      <c r="GP10" s="269"/>
      <c r="GQ10" s="269"/>
      <c r="GR10" s="269"/>
      <c r="GS10" s="269"/>
      <c r="GT10" s="269"/>
      <c r="GU10" s="269"/>
      <c r="GV10" s="269"/>
      <c r="GW10" s="269"/>
      <c r="GX10" s="269"/>
      <c r="GY10" s="269"/>
      <c r="GZ10" s="269"/>
      <c r="HA10" s="269"/>
      <c r="HB10" s="269"/>
      <c r="HC10" s="269"/>
      <c r="HD10" s="269"/>
      <c r="HE10" s="269"/>
      <c r="HF10" s="269"/>
      <c r="HG10" s="269"/>
      <c r="HH10" s="269"/>
      <c r="HI10" s="269"/>
      <c r="HJ10" s="269"/>
      <c r="HK10" s="269"/>
      <c r="HL10" s="269"/>
      <c r="HM10" s="269"/>
      <c r="HN10" s="269"/>
      <c r="HO10" s="269"/>
      <c r="HP10" s="269"/>
      <c r="HQ10" s="269"/>
      <c r="HR10" s="269"/>
      <c r="HS10" s="269"/>
      <c r="HT10" s="269"/>
      <c r="HU10" s="269"/>
      <c r="HV10" s="269"/>
      <c r="HW10" s="269"/>
      <c r="HX10" s="269"/>
      <c r="HY10" s="269"/>
      <c r="HZ10" s="269"/>
      <c r="IA10" s="269"/>
      <c r="IB10" s="269"/>
      <c r="IC10" s="269"/>
      <c r="ID10" s="269"/>
      <c r="IE10" s="269"/>
      <c r="IF10" s="269"/>
      <c r="IG10" s="269"/>
    </row>
    <row r="11" spans="1:241" s="290" customFormat="1" ht="27.75" customHeight="1">
      <c r="A11" s="338" t="s">
        <v>40</v>
      </c>
      <c r="B11" s="339"/>
      <c r="C11" s="340" t="s">
        <v>570</v>
      </c>
      <c r="D11" s="347">
        <f>SUM('19 önkormányzat'!E10)</f>
        <v>71348150</v>
      </c>
      <c r="E11" s="347">
        <f>SUM('19 önkormányzat'!F10)</f>
        <v>71578420</v>
      </c>
      <c r="F11" s="347">
        <f>SUM('19 önkormányzat'!G10)</f>
        <v>71578420</v>
      </c>
      <c r="G11" s="347">
        <f>SUM('19 önkormányzat'!H10)</f>
        <v>76658570</v>
      </c>
      <c r="H11" s="347">
        <f>SUM('19 önkormányzat'!I10)</f>
        <v>76658570</v>
      </c>
      <c r="I11" s="347">
        <f>SUM('19 önkormányzat'!J10)</f>
        <v>79063350</v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69"/>
      <c r="FJ11" s="269"/>
      <c r="FK11" s="269"/>
      <c r="FL11" s="269"/>
      <c r="FM11" s="269"/>
      <c r="FN11" s="269"/>
      <c r="FO11" s="269"/>
      <c r="FP11" s="269"/>
      <c r="FQ11" s="269"/>
      <c r="FR11" s="269"/>
      <c r="FS11" s="269"/>
      <c r="FT11" s="269"/>
      <c r="FU11" s="269"/>
      <c r="FV11" s="269"/>
      <c r="FW11" s="269"/>
      <c r="FX11" s="269"/>
      <c r="FY11" s="269"/>
      <c r="FZ11" s="269"/>
      <c r="GA11" s="269"/>
      <c r="GB11" s="269"/>
      <c r="GC11" s="269"/>
      <c r="GD11" s="269"/>
      <c r="GE11" s="269"/>
      <c r="GF11" s="269"/>
      <c r="GG11" s="269"/>
      <c r="GH11" s="269"/>
      <c r="GI11" s="269"/>
      <c r="GJ11" s="269"/>
      <c r="GK11" s="269"/>
      <c r="GL11" s="269"/>
      <c r="GM11" s="269"/>
      <c r="GN11" s="269"/>
      <c r="GO11" s="269"/>
      <c r="GP11" s="269"/>
      <c r="GQ11" s="269"/>
      <c r="GR11" s="269"/>
      <c r="GS11" s="269"/>
      <c r="GT11" s="269"/>
      <c r="GU11" s="269"/>
      <c r="GV11" s="269"/>
      <c r="GW11" s="269"/>
      <c r="GX11" s="269"/>
      <c r="GY11" s="269"/>
      <c r="GZ11" s="269"/>
      <c r="HA11" s="269"/>
      <c r="HB11" s="269"/>
      <c r="HC11" s="269"/>
      <c r="HD11" s="269"/>
      <c r="HE11" s="269"/>
      <c r="HF11" s="269"/>
      <c r="HG11" s="269"/>
      <c r="HH11" s="269"/>
      <c r="HI11" s="269"/>
      <c r="HJ11" s="269"/>
      <c r="HK11" s="269"/>
      <c r="HL11" s="269"/>
      <c r="HM11" s="269"/>
      <c r="HN11" s="269"/>
      <c r="HO11" s="269"/>
      <c r="HP11" s="269"/>
      <c r="HQ11" s="269"/>
      <c r="HR11" s="269"/>
      <c r="HS11" s="269"/>
      <c r="HT11" s="269"/>
      <c r="HU11" s="269"/>
      <c r="HV11" s="269"/>
      <c r="HW11" s="269"/>
      <c r="HX11" s="269"/>
      <c r="HY11" s="269"/>
      <c r="HZ11" s="269"/>
      <c r="IA11" s="269"/>
      <c r="IB11" s="269"/>
      <c r="IC11" s="269"/>
      <c r="ID11" s="269"/>
      <c r="IE11" s="269"/>
      <c r="IF11" s="269"/>
      <c r="IG11" s="269"/>
    </row>
    <row r="12" spans="1:241" s="290" customFormat="1" ht="29.25" customHeight="1">
      <c r="A12" s="338" t="s">
        <v>47</v>
      </c>
      <c r="B12" s="339"/>
      <c r="C12" s="340" t="s">
        <v>1208</v>
      </c>
      <c r="D12" s="347">
        <f>SUM('19 önkormányzat'!E12)</f>
        <v>73996115</v>
      </c>
      <c r="E12" s="347">
        <f>SUM('19 önkormányzat'!F12)</f>
        <v>68387414</v>
      </c>
      <c r="F12" s="347">
        <f>SUM('19 önkormányzat'!G12)</f>
        <v>70287414</v>
      </c>
      <c r="G12" s="347">
        <v>41769100</v>
      </c>
      <c r="H12" s="347">
        <v>41769100</v>
      </c>
      <c r="I12" s="347">
        <f>SUM('3. melléklet'!I13)</f>
        <v>50678791</v>
      </c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69"/>
      <c r="FO12" s="269"/>
      <c r="FP12" s="269"/>
      <c r="FQ12" s="269"/>
      <c r="FR12" s="269"/>
      <c r="FS12" s="269"/>
      <c r="FT12" s="269"/>
      <c r="FU12" s="269"/>
      <c r="FV12" s="269"/>
      <c r="FW12" s="269"/>
      <c r="FX12" s="269"/>
      <c r="FY12" s="269"/>
      <c r="FZ12" s="269"/>
      <c r="GA12" s="269"/>
      <c r="GB12" s="269"/>
      <c r="GC12" s="269"/>
      <c r="GD12" s="269"/>
      <c r="GE12" s="269"/>
      <c r="GF12" s="269"/>
      <c r="GG12" s="269"/>
      <c r="GH12" s="269"/>
      <c r="GI12" s="269"/>
      <c r="GJ12" s="269"/>
      <c r="GK12" s="269"/>
      <c r="GL12" s="269"/>
      <c r="GM12" s="269"/>
      <c r="GN12" s="269"/>
      <c r="GO12" s="269"/>
      <c r="GP12" s="269"/>
      <c r="GQ12" s="269"/>
      <c r="GR12" s="269"/>
      <c r="GS12" s="269"/>
      <c r="GT12" s="269"/>
      <c r="GU12" s="269"/>
      <c r="GV12" s="269"/>
      <c r="GW12" s="269"/>
      <c r="GX12" s="269"/>
      <c r="GY12" s="269"/>
      <c r="GZ12" s="269"/>
      <c r="HA12" s="269"/>
      <c r="HB12" s="269"/>
      <c r="HC12" s="269"/>
      <c r="HD12" s="269"/>
      <c r="HE12" s="269"/>
      <c r="HF12" s="269"/>
      <c r="HG12" s="269"/>
      <c r="HH12" s="269"/>
      <c r="HI12" s="269"/>
      <c r="HJ12" s="269"/>
      <c r="HK12" s="269"/>
      <c r="HL12" s="269"/>
      <c r="HM12" s="269"/>
      <c r="HN12" s="269"/>
      <c r="HO12" s="269"/>
      <c r="HP12" s="269"/>
      <c r="HQ12" s="269"/>
      <c r="HR12" s="269"/>
      <c r="HS12" s="269"/>
      <c r="HT12" s="269"/>
      <c r="HU12" s="269"/>
      <c r="HV12" s="269"/>
      <c r="HW12" s="269"/>
      <c r="HX12" s="269"/>
      <c r="HY12" s="269"/>
      <c r="HZ12" s="269"/>
      <c r="IA12" s="269"/>
      <c r="IB12" s="269"/>
      <c r="IC12" s="269"/>
      <c r="ID12" s="269"/>
      <c r="IE12" s="269"/>
      <c r="IF12" s="269"/>
      <c r="IG12" s="269"/>
    </row>
    <row r="13" spans="1:241" s="290" customFormat="1" ht="29.25" customHeight="1">
      <c r="A13" s="338" t="s">
        <v>49</v>
      </c>
      <c r="B13" s="339"/>
      <c r="C13" s="340" t="s">
        <v>1209</v>
      </c>
      <c r="D13" s="347"/>
      <c r="E13" s="347"/>
      <c r="F13" s="347"/>
      <c r="G13" s="347">
        <v>32209354</v>
      </c>
      <c r="H13" s="347">
        <v>32209354</v>
      </c>
      <c r="I13" s="347">
        <f>SUM('3. melléklet'!I14)</f>
        <v>27930365</v>
      </c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  <c r="FF13" s="269"/>
      <c r="FG13" s="269"/>
      <c r="FH13" s="269"/>
      <c r="FI13" s="269"/>
      <c r="FJ13" s="269"/>
      <c r="FK13" s="269"/>
      <c r="FL13" s="269"/>
      <c r="FM13" s="269"/>
      <c r="FN13" s="269"/>
      <c r="FO13" s="269"/>
      <c r="FP13" s="269"/>
      <c r="FQ13" s="269"/>
      <c r="FR13" s="269"/>
      <c r="FS13" s="269"/>
      <c r="FT13" s="269"/>
      <c r="FU13" s="269"/>
      <c r="FV13" s="269"/>
      <c r="FW13" s="269"/>
      <c r="FX13" s="269"/>
      <c r="FY13" s="269"/>
      <c r="FZ13" s="269"/>
      <c r="GA13" s="269"/>
      <c r="GB13" s="269"/>
      <c r="GC13" s="269"/>
      <c r="GD13" s="269"/>
      <c r="GE13" s="269"/>
      <c r="GF13" s="269"/>
      <c r="GG13" s="269"/>
      <c r="GH13" s="269"/>
      <c r="GI13" s="269"/>
      <c r="GJ13" s="269"/>
      <c r="GK13" s="269"/>
      <c r="GL13" s="269"/>
      <c r="GM13" s="269"/>
      <c r="GN13" s="269"/>
      <c r="GO13" s="269"/>
      <c r="GP13" s="269"/>
      <c r="GQ13" s="269"/>
      <c r="GR13" s="269"/>
      <c r="GS13" s="269"/>
      <c r="GT13" s="269"/>
      <c r="GU13" s="269"/>
      <c r="GV13" s="269"/>
      <c r="GW13" s="269"/>
      <c r="GX13" s="269"/>
      <c r="GY13" s="269"/>
      <c r="GZ13" s="269"/>
      <c r="HA13" s="269"/>
      <c r="HB13" s="269"/>
      <c r="HC13" s="269"/>
      <c r="HD13" s="269"/>
      <c r="HE13" s="269"/>
      <c r="HF13" s="269"/>
      <c r="HG13" s="269"/>
      <c r="HH13" s="269"/>
      <c r="HI13" s="269"/>
      <c r="HJ13" s="269"/>
      <c r="HK13" s="269"/>
      <c r="HL13" s="269"/>
      <c r="HM13" s="269"/>
      <c r="HN13" s="269"/>
      <c r="HO13" s="269"/>
      <c r="HP13" s="269"/>
      <c r="HQ13" s="269"/>
      <c r="HR13" s="269"/>
      <c r="HS13" s="269"/>
      <c r="HT13" s="269"/>
      <c r="HU13" s="269"/>
      <c r="HV13" s="269"/>
      <c r="HW13" s="269"/>
      <c r="HX13" s="269"/>
      <c r="HY13" s="269"/>
      <c r="HZ13" s="269"/>
      <c r="IA13" s="269"/>
      <c r="IB13" s="269"/>
      <c r="IC13" s="269"/>
      <c r="ID13" s="269"/>
      <c r="IE13" s="269"/>
      <c r="IF13" s="269"/>
      <c r="IG13" s="269"/>
    </row>
    <row r="14" spans="1:241" s="290" customFormat="1" ht="24" customHeight="1">
      <c r="A14" s="338" t="s">
        <v>51</v>
      </c>
      <c r="B14" s="339"/>
      <c r="C14" s="340" t="s">
        <v>571</v>
      </c>
      <c r="D14" s="347">
        <f>SUM('19 önkormányzat'!E13)</f>
        <v>5050082</v>
      </c>
      <c r="E14" s="347">
        <f>SUM('19 önkormányzat'!F13)</f>
        <v>4357233</v>
      </c>
      <c r="F14" s="347">
        <f>SUM('19 önkormányzat'!G13)</f>
        <v>4357233</v>
      </c>
      <c r="G14" s="347">
        <f>SUM('19 önkormányzat'!H13)</f>
        <v>5854923</v>
      </c>
      <c r="H14" s="347">
        <f>SUM('19 önkormányzat'!I13)</f>
        <v>5854923</v>
      </c>
      <c r="I14" s="347">
        <f>SUM('19 önkormányzat'!J13)</f>
        <v>6558782</v>
      </c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269"/>
      <c r="FF14" s="269"/>
      <c r="FG14" s="269"/>
      <c r="FH14" s="269"/>
      <c r="FI14" s="269"/>
      <c r="FJ14" s="269"/>
      <c r="FK14" s="269"/>
      <c r="FL14" s="269"/>
      <c r="FM14" s="269"/>
      <c r="FN14" s="269"/>
      <c r="FO14" s="269"/>
      <c r="FP14" s="269"/>
      <c r="FQ14" s="269"/>
      <c r="FR14" s="269"/>
      <c r="FS14" s="269"/>
      <c r="FT14" s="269"/>
      <c r="FU14" s="269"/>
      <c r="FV14" s="269"/>
      <c r="FW14" s="269"/>
      <c r="FX14" s="269"/>
      <c r="FY14" s="269"/>
      <c r="FZ14" s="269"/>
      <c r="GA14" s="269"/>
      <c r="GB14" s="269"/>
      <c r="GC14" s="269"/>
      <c r="GD14" s="269"/>
      <c r="GE14" s="269"/>
      <c r="GF14" s="269"/>
      <c r="GG14" s="269"/>
      <c r="GH14" s="269"/>
      <c r="GI14" s="269"/>
      <c r="GJ14" s="269"/>
      <c r="GK14" s="269"/>
      <c r="GL14" s="269"/>
      <c r="GM14" s="269"/>
      <c r="GN14" s="269"/>
      <c r="GO14" s="269"/>
      <c r="GP14" s="269"/>
      <c r="GQ14" s="269"/>
      <c r="GR14" s="269"/>
      <c r="GS14" s="269"/>
      <c r="GT14" s="269"/>
      <c r="GU14" s="269"/>
      <c r="GV14" s="269"/>
      <c r="GW14" s="269"/>
      <c r="GX14" s="269"/>
      <c r="GY14" s="269"/>
      <c r="GZ14" s="269"/>
      <c r="HA14" s="269"/>
      <c r="HB14" s="269"/>
      <c r="HC14" s="269"/>
      <c r="HD14" s="269"/>
      <c r="HE14" s="269"/>
      <c r="HF14" s="269"/>
      <c r="HG14" s="269"/>
      <c r="HH14" s="269"/>
      <c r="HI14" s="269"/>
      <c r="HJ14" s="269"/>
      <c r="HK14" s="269"/>
      <c r="HL14" s="269"/>
      <c r="HM14" s="269"/>
      <c r="HN14" s="269"/>
      <c r="HO14" s="269"/>
      <c r="HP14" s="269"/>
      <c r="HQ14" s="269"/>
      <c r="HR14" s="269"/>
      <c r="HS14" s="269"/>
      <c r="HT14" s="269"/>
      <c r="HU14" s="269"/>
      <c r="HV14" s="269"/>
      <c r="HW14" s="269"/>
      <c r="HX14" s="269"/>
      <c r="HY14" s="269"/>
      <c r="HZ14" s="269"/>
      <c r="IA14" s="269"/>
      <c r="IB14" s="269"/>
      <c r="IC14" s="269"/>
      <c r="ID14" s="269"/>
      <c r="IE14" s="269"/>
      <c r="IF14" s="269"/>
      <c r="IG14" s="269"/>
    </row>
    <row r="15" spans="1:241" s="290" customFormat="1" ht="22.5" customHeight="1">
      <c r="A15" s="338" t="s">
        <v>53</v>
      </c>
      <c r="B15" s="339"/>
      <c r="C15" s="340" t="s">
        <v>572</v>
      </c>
      <c r="D15" s="347">
        <f>SUM('19 önkormányzat'!E14)</f>
        <v>9078450</v>
      </c>
      <c r="E15" s="347">
        <f>SUM('19 önkormányzat'!F14)</f>
        <v>0</v>
      </c>
      <c r="F15" s="347">
        <f>SUM('19 önkormányzat'!G14)</f>
        <v>0</v>
      </c>
      <c r="G15" s="347">
        <f>SUM('19 önkormányzat'!H14)</f>
        <v>0</v>
      </c>
      <c r="H15" s="347">
        <f>SUM('19 önkormányzat'!I14)</f>
        <v>1447800</v>
      </c>
      <c r="I15" s="347">
        <f>SUM('19 önkormányzat'!J14)</f>
        <v>1447800</v>
      </c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  <c r="DN15" s="269"/>
      <c r="DO15" s="269"/>
      <c r="DP15" s="269"/>
      <c r="DQ15" s="269"/>
      <c r="DR15" s="269"/>
      <c r="DS15" s="269"/>
      <c r="DT15" s="269"/>
      <c r="DU15" s="269"/>
      <c r="DV15" s="269"/>
      <c r="DW15" s="269"/>
      <c r="DX15" s="269"/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69"/>
      <c r="ES15" s="269"/>
      <c r="ET15" s="269"/>
      <c r="EU15" s="269"/>
      <c r="EV15" s="269"/>
      <c r="EW15" s="269"/>
      <c r="EX15" s="269"/>
      <c r="EY15" s="269"/>
      <c r="EZ15" s="269"/>
      <c r="FA15" s="269"/>
      <c r="FB15" s="269"/>
      <c r="FC15" s="269"/>
      <c r="FD15" s="269"/>
      <c r="FE15" s="269"/>
      <c r="FF15" s="269"/>
      <c r="FG15" s="269"/>
      <c r="FH15" s="269"/>
      <c r="FI15" s="269"/>
      <c r="FJ15" s="269"/>
      <c r="FK15" s="269"/>
      <c r="FL15" s="269"/>
      <c r="FM15" s="269"/>
      <c r="FN15" s="269"/>
      <c r="FO15" s="269"/>
      <c r="FP15" s="269"/>
      <c r="FQ15" s="269"/>
      <c r="FR15" s="269"/>
      <c r="FS15" s="269"/>
      <c r="FT15" s="269"/>
      <c r="FU15" s="269"/>
      <c r="FV15" s="269"/>
      <c r="FW15" s="269"/>
      <c r="FX15" s="269"/>
      <c r="FY15" s="269"/>
      <c r="FZ15" s="269"/>
      <c r="GA15" s="269"/>
      <c r="GB15" s="269"/>
      <c r="GC15" s="269"/>
      <c r="GD15" s="269"/>
      <c r="GE15" s="269"/>
      <c r="GF15" s="269"/>
      <c r="GG15" s="269"/>
      <c r="GH15" s="269"/>
      <c r="GI15" s="269"/>
      <c r="GJ15" s="269"/>
      <c r="GK15" s="269"/>
      <c r="GL15" s="269"/>
      <c r="GM15" s="269"/>
      <c r="GN15" s="269"/>
      <c r="GO15" s="269"/>
      <c r="GP15" s="269"/>
      <c r="GQ15" s="269"/>
      <c r="GR15" s="269"/>
      <c r="GS15" s="269"/>
      <c r="GT15" s="269"/>
      <c r="GU15" s="269"/>
      <c r="GV15" s="269"/>
      <c r="GW15" s="269"/>
      <c r="GX15" s="269"/>
      <c r="GY15" s="269"/>
      <c r="GZ15" s="269"/>
      <c r="HA15" s="269"/>
      <c r="HB15" s="269"/>
      <c r="HC15" s="269"/>
      <c r="HD15" s="269"/>
      <c r="HE15" s="269"/>
      <c r="HF15" s="269"/>
      <c r="HG15" s="269"/>
      <c r="HH15" s="269"/>
      <c r="HI15" s="269"/>
      <c r="HJ15" s="269"/>
      <c r="HK15" s="269"/>
      <c r="HL15" s="269"/>
      <c r="HM15" s="269"/>
      <c r="HN15" s="269"/>
      <c r="HO15" s="269"/>
      <c r="HP15" s="269"/>
      <c r="HQ15" s="269"/>
      <c r="HR15" s="269"/>
      <c r="HS15" s="269"/>
      <c r="HT15" s="269"/>
      <c r="HU15" s="269"/>
      <c r="HV15" s="269"/>
      <c r="HW15" s="269"/>
      <c r="HX15" s="269"/>
      <c r="HY15" s="269"/>
      <c r="HZ15" s="269"/>
      <c r="IA15" s="269"/>
      <c r="IB15" s="269"/>
      <c r="IC15" s="269"/>
      <c r="ID15" s="269"/>
      <c r="IE15" s="269"/>
      <c r="IF15" s="269"/>
      <c r="IG15" s="269"/>
    </row>
    <row r="16" spans="1:241" s="290" customFormat="1" ht="12.75" customHeight="1">
      <c r="A16" s="338" t="s">
        <v>55</v>
      </c>
      <c r="B16" s="339"/>
      <c r="C16" s="340" t="s">
        <v>573</v>
      </c>
      <c r="D16" s="347">
        <f>SUM('19 önkormányzat'!E15)</f>
        <v>0</v>
      </c>
      <c r="E16" s="347">
        <f>SUM('19 önkormányzat'!F15)</f>
        <v>0</v>
      </c>
      <c r="F16" s="347">
        <f>SUM('19 önkormányzat'!G15)</f>
        <v>0</v>
      </c>
      <c r="G16" s="347">
        <f>SUM('19 önkormányzat'!H15)</f>
        <v>0</v>
      </c>
      <c r="H16" s="347">
        <f>SUM('19 önkormányzat'!I15)</f>
        <v>0</v>
      </c>
      <c r="I16" s="347">
        <f>SUM('19 önkormányzat'!J15)</f>
        <v>0</v>
      </c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69"/>
      <c r="DK16" s="269"/>
      <c r="DL16" s="269"/>
      <c r="DM16" s="269"/>
      <c r="DN16" s="269"/>
      <c r="DO16" s="269"/>
      <c r="DP16" s="269"/>
      <c r="DQ16" s="269"/>
      <c r="DR16" s="269"/>
      <c r="DS16" s="269"/>
      <c r="DT16" s="269"/>
      <c r="DU16" s="269"/>
      <c r="DV16" s="269"/>
      <c r="DW16" s="269"/>
      <c r="DX16" s="269"/>
      <c r="DY16" s="269"/>
      <c r="DZ16" s="269"/>
      <c r="EA16" s="269"/>
      <c r="EB16" s="269"/>
      <c r="EC16" s="269"/>
      <c r="ED16" s="269"/>
      <c r="EE16" s="269"/>
      <c r="EF16" s="269"/>
      <c r="EG16" s="269"/>
      <c r="EH16" s="269"/>
      <c r="EI16" s="269"/>
      <c r="EJ16" s="269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  <c r="FF16" s="269"/>
      <c r="FG16" s="269"/>
      <c r="FH16" s="269"/>
      <c r="FI16" s="269"/>
      <c r="FJ16" s="269"/>
      <c r="FK16" s="269"/>
      <c r="FL16" s="269"/>
      <c r="FM16" s="269"/>
      <c r="FN16" s="269"/>
      <c r="FO16" s="269"/>
      <c r="FP16" s="269"/>
      <c r="FQ16" s="269"/>
      <c r="FR16" s="269"/>
      <c r="FS16" s="269"/>
      <c r="FT16" s="269"/>
      <c r="FU16" s="269"/>
      <c r="FV16" s="269"/>
      <c r="FW16" s="269"/>
      <c r="FX16" s="269"/>
      <c r="FY16" s="269"/>
      <c r="FZ16" s="269"/>
      <c r="GA16" s="269"/>
      <c r="GB16" s="269"/>
      <c r="GC16" s="269"/>
      <c r="GD16" s="269"/>
      <c r="GE16" s="269"/>
      <c r="GF16" s="269"/>
      <c r="GG16" s="269"/>
      <c r="GH16" s="269"/>
      <c r="GI16" s="269"/>
      <c r="GJ16" s="269"/>
      <c r="GK16" s="269"/>
      <c r="GL16" s="269"/>
      <c r="GM16" s="269"/>
      <c r="GN16" s="269"/>
      <c r="GO16" s="269"/>
      <c r="GP16" s="269"/>
      <c r="GQ16" s="269"/>
      <c r="GR16" s="269"/>
      <c r="GS16" s="269"/>
      <c r="GT16" s="269"/>
      <c r="GU16" s="269"/>
      <c r="GV16" s="269"/>
      <c r="GW16" s="269"/>
      <c r="GX16" s="269"/>
      <c r="GY16" s="269"/>
      <c r="GZ16" s="269"/>
      <c r="HA16" s="269"/>
      <c r="HB16" s="269"/>
      <c r="HC16" s="269"/>
      <c r="HD16" s="269"/>
      <c r="HE16" s="269"/>
      <c r="HF16" s="269"/>
      <c r="HG16" s="269"/>
      <c r="HH16" s="269"/>
      <c r="HI16" s="269"/>
      <c r="HJ16" s="269"/>
      <c r="HK16" s="269"/>
      <c r="HL16" s="269"/>
      <c r="HM16" s="269"/>
      <c r="HN16" s="269"/>
      <c r="HO16" s="269"/>
      <c r="HP16" s="269"/>
      <c r="HQ16" s="269"/>
      <c r="HR16" s="269"/>
      <c r="HS16" s="269"/>
      <c r="HT16" s="269"/>
      <c r="HU16" s="269"/>
      <c r="HV16" s="269"/>
      <c r="HW16" s="269"/>
      <c r="HX16" s="269"/>
      <c r="HY16" s="269"/>
      <c r="HZ16" s="269"/>
      <c r="IA16" s="269"/>
      <c r="IB16" s="269"/>
      <c r="IC16" s="269"/>
      <c r="ID16" s="269"/>
      <c r="IE16" s="269"/>
      <c r="IF16" s="269"/>
      <c r="IG16" s="269"/>
    </row>
    <row r="17" spans="1:241" ht="12.75" customHeight="1">
      <c r="A17" s="320" t="s">
        <v>57</v>
      </c>
      <c r="B17" s="342"/>
      <c r="C17" s="288" t="s">
        <v>162</v>
      </c>
      <c r="D17" s="325">
        <f aca="true" t="shared" si="0" ref="D17:I17">SUM(D10:D16)</f>
        <v>224127634</v>
      </c>
      <c r="E17" s="325">
        <f t="shared" si="0"/>
        <v>206298258</v>
      </c>
      <c r="F17" s="325">
        <f t="shared" si="0"/>
        <v>221554558</v>
      </c>
      <c r="G17" s="325">
        <f t="shared" si="0"/>
        <v>232211188</v>
      </c>
      <c r="H17" s="325">
        <f t="shared" si="0"/>
        <v>233658988</v>
      </c>
      <c r="I17" s="325">
        <f t="shared" si="0"/>
        <v>241598521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ht="12.75" customHeight="1">
      <c r="A18" s="320" t="s">
        <v>86</v>
      </c>
      <c r="B18" s="322"/>
      <c r="C18" s="326" t="s">
        <v>163</v>
      </c>
      <c r="D18" s="325">
        <v>18593775</v>
      </c>
      <c r="E18" s="325">
        <f>SUM(E19:E21)</f>
        <v>250000</v>
      </c>
      <c r="F18" s="325">
        <f>SUM(F19:F21)</f>
        <v>250000</v>
      </c>
      <c r="G18" s="325">
        <f>SUM(G19:G21)</f>
        <v>1512404</v>
      </c>
      <c r="H18" s="325">
        <v>2234101</v>
      </c>
      <c r="I18" s="325">
        <f>SUM(I19:I21)</f>
        <v>3103905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ht="12.75" customHeight="1">
      <c r="A19" s="319" t="s">
        <v>59</v>
      </c>
      <c r="B19" s="323"/>
      <c r="C19" s="308" t="s">
        <v>1227</v>
      </c>
      <c r="D19" s="121">
        <v>15626686</v>
      </c>
      <c r="E19" s="121">
        <v>0</v>
      </c>
      <c r="F19" s="121">
        <v>0</v>
      </c>
      <c r="G19" s="121">
        <v>1048888</v>
      </c>
      <c r="H19" s="121">
        <v>1540959</v>
      </c>
      <c r="I19" s="121">
        <f>SUM('19 önkormányzat'!J19)</f>
        <v>2066324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9" s="114" customFormat="1" ht="12.75" customHeight="1">
      <c r="A20" s="113" t="s">
        <v>61</v>
      </c>
      <c r="B20" s="324"/>
      <c r="C20" s="308" t="s">
        <v>593</v>
      </c>
      <c r="D20" s="231"/>
      <c r="E20" s="231"/>
      <c r="F20" s="231"/>
      <c r="G20" s="231"/>
      <c r="H20" s="231"/>
      <c r="I20" s="231"/>
    </row>
    <row r="21" spans="1:241" ht="12.75" customHeight="1">
      <c r="A21" s="113" t="s">
        <v>63</v>
      </c>
      <c r="B21" s="205"/>
      <c r="C21" s="308" t="s">
        <v>592</v>
      </c>
      <c r="D21" s="231">
        <v>2565245</v>
      </c>
      <c r="E21" s="231">
        <v>250000</v>
      </c>
      <c r="F21" s="231">
        <v>250000</v>
      </c>
      <c r="G21" s="231">
        <v>463516</v>
      </c>
      <c r="H21" s="231">
        <v>693142</v>
      </c>
      <c r="I21" s="231">
        <f>SUM('19 önkormányzat'!J20)</f>
        <v>1037581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s="64" customFormat="1" ht="12.75" customHeight="1">
      <c r="A22" s="327" t="s">
        <v>65</v>
      </c>
      <c r="B22" s="92" t="s">
        <v>164</v>
      </c>
      <c r="C22" s="328" t="s">
        <v>165</v>
      </c>
      <c r="D22" s="329">
        <f aca="true" t="shared" si="1" ref="D22:I22">SUM(D17+D18)</f>
        <v>242721409</v>
      </c>
      <c r="E22" s="329">
        <f t="shared" si="1"/>
        <v>206548258</v>
      </c>
      <c r="F22" s="329">
        <f t="shared" si="1"/>
        <v>221804558</v>
      </c>
      <c r="G22" s="329">
        <f t="shared" si="1"/>
        <v>233723592</v>
      </c>
      <c r="H22" s="329">
        <f t="shared" si="1"/>
        <v>235893089</v>
      </c>
      <c r="I22" s="329">
        <f t="shared" si="1"/>
        <v>244702426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64" customFormat="1" ht="12.75" customHeight="1">
      <c r="A23" s="327" t="s">
        <v>92</v>
      </c>
      <c r="B23" s="92" t="s">
        <v>166</v>
      </c>
      <c r="C23" s="330" t="s">
        <v>167</v>
      </c>
      <c r="D23" s="329">
        <v>86558434</v>
      </c>
      <c r="E23" s="329">
        <v>0</v>
      </c>
      <c r="F23" s="329">
        <v>204583492</v>
      </c>
      <c r="G23" s="329">
        <v>225628568</v>
      </c>
      <c r="H23" s="329">
        <v>225628568</v>
      </c>
      <c r="I23" s="329">
        <f>SUM('3. melléklet'!I22)</f>
        <v>243628561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64" customFormat="1" ht="12.75" customHeight="1">
      <c r="A24" s="327" t="s">
        <v>66</v>
      </c>
      <c r="B24" s="61" t="s">
        <v>173</v>
      </c>
      <c r="C24" s="177" t="s">
        <v>174</v>
      </c>
      <c r="D24" s="62">
        <f>SUM('1. melléklet'!D20)</f>
        <v>197268452</v>
      </c>
      <c r="E24" s="62">
        <f>SUM('1. melléklet'!E20)</f>
        <v>187950000</v>
      </c>
      <c r="F24" s="62">
        <f>SUM('1. melléklet'!F20)</f>
        <v>156949463</v>
      </c>
      <c r="G24" s="62">
        <f>SUM('1. melléklet'!G20)</f>
        <v>157049463</v>
      </c>
      <c r="H24" s="62">
        <v>157049463</v>
      </c>
      <c r="I24" s="62">
        <v>157053408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ht="12.75" customHeight="1">
      <c r="A25" s="113" t="s">
        <v>67</v>
      </c>
      <c r="B25" s="79"/>
      <c r="C25" s="288" t="s">
        <v>574</v>
      </c>
      <c r="D25" s="78">
        <f>SUM('19 önkormányzat'!E38)</f>
        <v>3655726</v>
      </c>
      <c r="E25" s="78">
        <f>SUM('19 önkormányzat'!F38)</f>
        <v>3600000</v>
      </c>
      <c r="F25" s="78">
        <f>SUM('19 önkormányzat'!G38)</f>
        <v>2500000</v>
      </c>
      <c r="G25" s="78">
        <f>SUM('19 önkormányzat'!H38)</f>
        <v>3000000</v>
      </c>
      <c r="H25" s="78">
        <f>SUM('19 önkormányzat'!I38)</f>
        <v>4000000</v>
      </c>
      <c r="I25" s="78">
        <f>SUM('19 önkormányzat'!J38)</f>
        <v>4654268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2.75" customHeight="1">
      <c r="A26" s="113" t="s">
        <v>68</v>
      </c>
      <c r="B26" s="79"/>
      <c r="C26" s="288" t="s">
        <v>176</v>
      </c>
      <c r="D26" s="78">
        <f>SUM('19 önkormányzat'!E39)</f>
        <v>5179339</v>
      </c>
      <c r="E26" s="78">
        <f>SUM('19 önkormányzat'!F39)</f>
        <v>5179000</v>
      </c>
      <c r="F26" s="78">
        <f>SUM('19 önkormányzat'!G39)</f>
        <v>5179000</v>
      </c>
      <c r="G26" s="78">
        <f>SUM('19 önkormányzat'!H39)</f>
        <v>4000000</v>
      </c>
      <c r="H26" s="78">
        <f>SUM('19 önkormányzat'!I39)</f>
        <v>4000000</v>
      </c>
      <c r="I26" s="78">
        <f>SUM('19 önkormányzat'!J39)</f>
        <v>4394154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2.75" customHeight="1">
      <c r="A27" s="113" t="s">
        <v>70</v>
      </c>
      <c r="B27" s="79"/>
      <c r="C27" s="288" t="s">
        <v>177</v>
      </c>
      <c r="D27" s="78">
        <f>SUM('19 önkormányzat'!E40)</f>
        <v>247860</v>
      </c>
      <c r="E27" s="78">
        <f>SUM('19 önkormányzat'!F40)</f>
        <v>240000</v>
      </c>
      <c r="F27" s="78">
        <f>SUM('19 önkormányzat'!G40)</f>
        <v>150000</v>
      </c>
      <c r="G27" s="78">
        <f>SUM('19 önkormányzat'!H40)</f>
        <v>300000</v>
      </c>
      <c r="H27" s="78">
        <f>SUM('19 önkormányzat'!I40)</f>
        <v>300000</v>
      </c>
      <c r="I27" s="78">
        <f>SUM('19 önkormányzat'!J40)</f>
        <v>509647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3.5" customHeight="1">
      <c r="A28" s="113" t="s">
        <v>97</v>
      </c>
      <c r="B28" s="79"/>
      <c r="C28" s="288" t="s">
        <v>179</v>
      </c>
      <c r="D28" s="78">
        <f>SUM('19 önkormányzat'!E41)</f>
        <v>10002449</v>
      </c>
      <c r="E28" s="78">
        <f>SUM('19 önkormányzat'!F41)</f>
        <v>10000000</v>
      </c>
      <c r="F28" s="78">
        <f>SUM('19 önkormányzat'!G41)</f>
        <v>10000000</v>
      </c>
      <c r="G28" s="78">
        <f>SUM('19 önkormányzat'!H41)</f>
        <v>9600000</v>
      </c>
      <c r="H28" s="78">
        <f>SUM('19 önkormányzat'!I41)</f>
        <v>7000000</v>
      </c>
      <c r="I28" s="78">
        <f>SUM('19 önkormányzat'!J41)</f>
        <v>9856427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ht="13.5" customHeight="1">
      <c r="A29" s="113" t="s">
        <v>99</v>
      </c>
      <c r="B29" s="79"/>
      <c r="C29" s="288" t="s">
        <v>696</v>
      </c>
      <c r="D29" s="78">
        <f>SUM('19 önkormányzat'!E42)</f>
        <v>0</v>
      </c>
      <c r="E29" s="78">
        <f>SUM('19 önkormányzat'!F42)</f>
        <v>0</v>
      </c>
      <c r="F29" s="78">
        <f>SUM('19 önkormányzat'!G42)</f>
        <v>0</v>
      </c>
      <c r="G29" s="78">
        <f>SUM('19 önkormányzat'!H42)</f>
        <v>0</v>
      </c>
      <c r="H29" s="78">
        <f>SUM('19 önkormányzat'!I42)</f>
        <v>0</v>
      </c>
      <c r="I29" s="78">
        <f>SUM('19 önkormányzat'!J42)</f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241" ht="12.75" customHeight="1">
      <c r="A30" s="113" t="s">
        <v>101</v>
      </c>
      <c r="B30" s="79"/>
      <c r="C30" s="286" t="s">
        <v>585</v>
      </c>
      <c r="D30" s="78">
        <f>SUM('19 önkormányzat'!E43)</f>
        <v>55</v>
      </c>
      <c r="E30" s="78">
        <f>SUM('19 önkormányzat'!F43)</f>
        <v>0</v>
      </c>
      <c r="F30" s="78">
        <f>SUM('19 önkormányzat'!G43)</f>
        <v>26</v>
      </c>
      <c r="G30" s="78">
        <f>SUM('19 önkormányzat'!H43)</f>
        <v>100</v>
      </c>
      <c r="H30" s="78">
        <f>SUM('19 önkormányzat'!I43)</f>
        <v>100</v>
      </c>
      <c r="I30" s="78">
        <f>SUM('19 önkormányzat'!J43)</f>
        <v>119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</row>
    <row r="31" spans="1:241" ht="12.75" customHeight="1">
      <c r="A31" s="113" t="s">
        <v>103</v>
      </c>
      <c r="B31" s="79"/>
      <c r="C31" s="832" t="s">
        <v>804</v>
      </c>
      <c r="D31" s="78">
        <f>SUM('19 önkormányzat'!E44)</f>
        <v>113750</v>
      </c>
      <c r="E31" s="78">
        <f>SUM('19 önkormányzat'!F44)</f>
        <v>0</v>
      </c>
      <c r="F31" s="78">
        <f>SUM('19 önkormányzat'!G44)</f>
        <v>0</v>
      </c>
      <c r="G31" s="78">
        <f>SUM('19 önkormányzat'!H44)</f>
        <v>0</v>
      </c>
      <c r="H31" s="78">
        <f>SUM('19 önkormányzat'!I44)</f>
        <v>0</v>
      </c>
      <c r="I31" s="78">
        <f>SUM('19 önkormányzat'!J44)</f>
        <v>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ht="12.75" customHeight="1">
      <c r="A32" s="113" t="s">
        <v>105</v>
      </c>
      <c r="B32" s="79"/>
      <c r="C32" s="294" t="s">
        <v>181</v>
      </c>
      <c r="D32" s="78">
        <f>SUM('19 önkormányzat'!E45)</f>
        <v>3407335</v>
      </c>
      <c r="E32" s="78">
        <f>SUM('19 önkormányzat'!F45)</f>
        <v>2000000</v>
      </c>
      <c r="F32" s="78">
        <f>SUM('19 önkormányzat'!G45)</f>
        <v>1000000</v>
      </c>
      <c r="G32" s="78">
        <f>SUM('19 önkormányzat'!H45)</f>
        <v>100000</v>
      </c>
      <c r="H32" s="78">
        <f>SUM('19 önkormányzat'!I45)</f>
        <v>250000</v>
      </c>
      <c r="I32" s="78">
        <f>SUM('19 önkormányzat'!J45)</f>
        <v>217483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s="64" customFormat="1" ht="12.75" customHeight="1">
      <c r="A33" s="352" t="s">
        <v>107</v>
      </c>
      <c r="B33" s="273" t="s">
        <v>182</v>
      </c>
      <c r="C33" s="597" t="s">
        <v>216</v>
      </c>
      <c r="D33" s="82">
        <f aca="true" t="shared" si="2" ref="D33:I33">SUM(D25:D32)</f>
        <v>22606514</v>
      </c>
      <c r="E33" s="82">
        <f t="shared" si="2"/>
        <v>21019000</v>
      </c>
      <c r="F33" s="82">
        <f t="shared" si="2"/>
        <v>18829026</v>
      </c>
      <c r="G33" s="82">
        <f t="shared" si="2"/>
        <v>17000100</v>
      </c>
      <c r="H33" s="82">
        <f t="shared" si="2"/>
        <v>15550100</v>
      </c>
      <c r="I33" s="82">
        <f t="shared" si="2"/>
        <v>19632098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5" s="10" customFormat="1" ht="12.75" customHeight="1">
      <c r="A34" s="388" t="s">
        <v>109</v>
      </c>
      <c r="B34" s="388" t="s">
        <v>183</v>
      </c>
      <c r="C34" s="445" t="s">
        <v>13</v>
      </c>
      <c r="D34" s="406">
        <f>SUM('19 önkormányzat'!E47)</f>
        <v>31616633</v>
      </c>
      <c r="E34" s="406">
        <f>SUM('19 önkormányzat'!F47)</f>
        <v>14000000</v>
      </c>
      <c r="F34" s="406">
        <f>SUM('19 önkormányzat'!G47)</f>
        <v>16968160</v>
      </c>
      <c r="G34" s="406">
        <f>SUM('19 önkormányzat'!H47)</f>
        <v>22893160</v>
      </c>
      <c r="H34" s="406">
        <f>SUM('19 önkormányzat'!I47)</f>
        <v>22893160</v>
      </c>
      <c r="I34" s="406">
        <f>SUM('19 önkormányzat'!J47)</f>
        <v>31357376</v>
      </c>
      <c r="IH34" s="64"/>
      <c r="II34" s="64"/>
      <c r="IJ34" s="64"/>
      <c r="IK34" s="64"/>
    </row>
    <row r="35" spans="1:245" s="10" customFormat="1" ht="12.75" customHeight="1">
      <c r="A35" s="388" t="s">
        <v>111</v>
      </c>
      <c r="B35" s="388" t="s">
        <v>184</v>
      </c>
      <c r="C35" s="445" t="s">
        <v>185</v>
      </c>
      <c r="D35" s="406">
        <f>SUM('19 önkormányzat'!E62)</f>
        <v>1117184</v>
      </c>
      <c r="E35" s="406">
        <f>SUM('19 önkormányzat'!F62)</f>
        <v>78000</v>
      </c>
      <c r="F35" s="406">
        <f>SUM('19 önkormányzat'!G62)</f>
        <v>78000</v>
      </c>
      <c r="G35" s="406">
        <f>SUM('19 önkormányzat'!H62)</f>
        <v>1640020</v>
      </c>
      <c r="H35" s="406">
        <f>SUM('19 önkormányzat'!I62)</f>
        <v>1740020</v>
      </c>
      <c r="I35" s="406">
        <f>SUM('19 önkormányzat'!J62)</f>
        <v>1765818</v>
      </c>
      <c r="IH35" s="64"/>
      <c r="II35" s="64"/>
      <c r="IJ35" s="64"/>
      <c r="IK35" s="64"/>
    </row>
    <row r="36" spans="1:241" s="64" customFormat="1" ht="12.75" customHeight="1">
      <c r="A36" s="598" t="s">
        <v>113</v>
      </c>
      <c r="B36" s="106" t="s">
        <v>186</v>
      </c>
      <c r="C36" s="599" t="s">
        <v>225</v>
      </c>
      <c r="D36" s="406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ht="12.75" customHeight="1">
      <c r="A37" s="113" t="s">
        <v>115</v>
      </c>
      <c r="B37" s="205"/>
      <c r="C37" s="317" t="s">
        <v>601</v>
      </c>
      <c r="D37" s="78"/>
      <c r="E37" s="78"/>
      <c r="F37" s="78"/>
      <c r="G37" s="78"/>
      <c r="H37" s="78"/>
      <c r="I37" s="78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5" s="272" customFormat="1" ht="26.25" customHeight="1">
      <c r="A38" s="335" t="s">
        <v>117</v>
      </c>
      <c r="B38" s="336"/>
      <c r="C38" s="600" t="s">
        <v>599</v>
      </c>
      <c r="D38" s="337"/>
      <c r="E38" s="337"/>
      <c r="F38" s="337"/>
      <c r="G38" s="337"/>
      <c r="H38" s="337"/>
      <c r="I38" s="337"/>
      <c r="IH38" s="333"/>
      <c r="II38" s="333"/>
      <c r="IJ38" s="333"/>
      <c r="IK38" s="333"/>
    </row>
    <row r="39" spans="1:241" ht="12.75" customHeight="1">
      <c r="A39" s="113" t="s">
        <v>118</v>
      </c>
      <c r="B39" s="205"/>
      <c r="C39" s="288" t="s">
        <v>600</v>
      </c>
      <c r="D39" s="231">
        <f aca="true" t="shared" si="3" ref="D39:I39">SUM(D37:D38)</f>
        <v>0</v>
      </c>
      <c r="E39" s="231">
        <f t="shared" si="3"/>
        <v>0</v>
      </c>
      <c r="F39" s="231">
        <f t="shared" si="3"/>
        <v>0</v>
      </c>
      <c r="G39" s="231">
        <f t="shared" si="3"/>
        <v>0</v>
      </c>
      <c r="H39" s="231">
        <f t="shared" si="3"/>
        <v>0</v>
      </c>
      <c r="I39" s="231">
        <f t="shared" si="3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ht="12.75" customHeight="1">
      <c r="A40" s="113" t="s">
        <v>120</v>
      </c>
      <c r="B40" s="205"/>
      <c r="C40" s="288" t="s">
        <v>220</v>
      </c>
      <c r="D40" s="78">
        <f>SUM('19 önkormányzat'!E68)</f>
        <v>651363270</v>
      </c>
      <c r="E40" s="78">
        <f>SUM('19 önkormányzat'!F68)</f>
        <v>512008806</v>
      </c>
      <c r="F40" s="78">
        <f>SUM('19 önkormányzat'!G68)</f>
        <v>512008806</v>
      </c>
      <c r="G40" s="78">
        <f>SUM('19 önkormányzat'!H68)</f>
        <v>512008806</v>
      </c>
      <c r="H40" s="78">
        <f>SUM('19 önkormányzat'!I68)</f>
        <v>512008806</v>
      </c>
      <c r="I40" s="78">
        <f>SUM('19 önkormányzat'!J68)</f>
        <v>574966775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ht="12.75" customHeight="1">
      <c r="A41" s="113" t="s">
        <v>122</v>
      </c>
      <c r="B41" s="205"/>
      <c r="C41" s="288" t="s">
        <v>223</v>
      </c>
      <c r="D41" s="78">
        <f>SUM('19 önkormányzat'!E71)</f>
        <v>9425972</v>
      </c>
      <c r="E41" s="78">
        <f>SUM('19 önkormányzat'!F71)</f>
        <v>8251931</v>
      </c>
      <c r="F41" s="78">
        <f>SUM('19 önkormányzat'!G71)</f>
        <v>8341969</v>
      </c>
      <c r="G41" s="78">
        <f>SUM('19 önkormányzat'!H71)</f>
        <v>8341969</v>
      </c>
      <c r="H41" s="78">
        <f>SUM('19 önkormányzat'!I71)</f>
        <v>8385010</v>
      </c>
      <c r="I41" s="78">
        <f>SUM('19 önkormányzat'!J71)</f>
        <v>11393036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s="64" customFormat="1" ht="12.75" customHeight="1" thickBot="1">
      <c r="A42" s="352" t="s">
        <v>124</v>
      </c>
      <c r="B42" s="273" t="s">
        <v>189</v>
      </c>
      <c r="C42" s="353" t="s">
        <v>602</v>
      </c>
      <c r="D42" s="354">
        <f aca="true" t="shared" si="4" ref="D42:I42">SUM(D40:D41)</f>
        <v>660789242</v>
      </c>
      <c r="E42" s="354">
        <f t="shared" si="4"/>
        <v>520260737</v>
      </c>
      <c r="F42" s="354">
        <f t="shared" si="4"/>
        <v>520350775</v>
      </c>
      <c r="G42" s="354">
        <f t="shared" si="4"/>
        <v>520350775</v>
      </c>
      <c r="H42" s="354">
        <f t="shared" si="4"/>
        <v>520393816</v>
      </c>
      <c r="I42" s="354">
        <f t="shared" si="4"/>
        <v>586359811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</row>
    <row r="43" spans="1:241" s="129" customFormat="1" ht="17.25" customHeight="1" thickBot="1">
      <c r="A43" s="355" t="s">
        <v>126</v>
      </c>
      <c r="B43" s="356"/>
      <c r="C43" s="357" t="s">
        <v>236</v>
      </c>
      <c r="D43" s="358">
        <f aca="true" t="shared" si="5" ref="D43:I43">SUM(D22+D23+D24+D33+D34+D36+D42)+D35</f>
        <v>1242677868</v>
      </c>
      <c r="E43" s="358">
        <f t="shared" si="5"/>
        <v>949855995</v>
      </c>
      <c r="F43" s="358">
        <f t="shared" si="5"/>
        <v>1139563474</v>
      </c>
      <c r="G43" s="358">
        <f t="shared" si="5"/>
        <v>1178285678</v>
      </c>
      <c r="H43" s="358">
        <f t="shared" si="5"/>
        <v>1179148216</v>
      </c>
      <c r="I43" s="358">
        <f t="shared" si="5"/>
        <v>1284499498</v>
      </c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4"/>
      <c r="DH43" s="334"/>
      <c r="DI43" s="334"/>
      <c r="DJ43" s="334"/>
      <c r="DK43" s="334"/>
      <c r="DL43" s="334"/>
      <c r="DM43" s="334"/>
      <c r="DN43" s="334"/>
      <c r="DO43" s="334"/>
      <c r="DP43" s="334"/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4"/>
      <c r="EF43" s="334"/>
      <c r="EG43" s="334"/>
      <c r="EH43" s="334"/>
      <c r="EI43" s="334"/>
      <c r="EJ43" s="334"/>
      <c r="EK43" s="334"/>
      <c r="EL43" s="334"/>
      <c r="EM43" s="334"/>
      <c r="EN43" s="334"/>
      <c r="EO43" s="334"/>
      <c r="EP43" s="334"/>
      <c r="EQ43" s="334"/>
      <c r="ER43" s="334"/>
      <c r="ES43" s="334"/>
      <c r="ET43" s="334"/>
      <c r="EU43" s="334"/>
      <c r="EV43" s="334"/>
      <c r="EW43" s="334"/>
      <c r="EX43" s="334"/>
      <c r="EY43" s="334"/>
      <c r="EZ43" s="334"/>
      <c r="FA43" s="334"/>
      <c r="FB43" s="334"/>
      <c r="FC43" s="334"/>
      <c r="FD43" s="334"/>
      <c r="FE43" s="334"/>
      <c r="FF43" s="334"/>
      <c r="FG43" s="334"/>
      <c r="FH43" s="334"/>
      <c r="FI43" s="334"/>
      <c r="FJ43" s="334"/>
      <c r="FK43" s="334"/>
      <c r="FL43" s="334"/>
      <c r="FM43" s="334"/>
      <c r="FN43" s="334"/>
      <c r="FO43" s="334"/>
      <c r="FP43" s="334"/>
      <c r="FQ43" s="334"/>
      <c r="FR43" s="334"/>
      <c r="FS43" s="334"/>
      <c r="FT43" s="334"/>
      <c r="FU43" s="334"/>
      <c r="FV43" s="334"/>
      <c r="FW43" s="334"/>
      <c r="FX43" s="334"/>
      <c r="FY43" s="334"/>
      <c r="FZ43" s="334"/>
      <c r="GA43" s="334"/>
      <c r="GB43" s="334"/>
      <c r="GC43" s="334"/>
      <c r="GD43" s="334"/>
      <c r="GE43" s="334"/>
      <c r="GF43" s="334"/>
      <c r="GG43" s="334"/>
      <c r="GH43" s="334"/>
      <c r="GI43" s="334"/>
      <c r="GJ43" s="334"/>
      <c r="GK43" s="334"/>
      <c r="GL43" s="334"/>
      <c r="GM43" s="334"/>
      <c r="GN43" s="334"/>
      <c r="GO43" s="334"/>
      <c r="GP43" s="334"/>
      <c r="GQ43" s="334"/>
      <c r="GR43" s="334"/>
      <c r="GS43" s="334"/>
      <c r="GT43" s="334"/>
      <c r="GU43" s="334"/>
      <c r="GV43" s="334"/>
      <c r="GW43" s="334"/>
      <c r="GX43" s="334"/>
      <c r="GY43" s="334"/>
      <c r="GZ43" s="334"/>
      <c r="HA43" s="334"/>
      <c r="HB43" s="334"/>
      <c r="HC43" s="334"/>
      <c r="HD43" s="334"/>
      <c r="HE43" s="334"/>
      <c r="HF43" s="334"/>
      <c r="HG43" s="334"/>
      <c r="HH43" s="334"/>
      <c r="HI43" s="334"/>
      <c r="HJ43" s="334"/>
      <c r="HK43" s="334"/>
      <c r="HL43" s="334"/>
      <c r="HM43" s="334"/>
      <c r="HN43" s="334"/>
      <c r="HO43" s="334"/>
      <c r="HP43" s="334"/>
      <c r="HQ43" s="334"/>
      <c r="HR43" s="334"/>
      <c r="HS43" s="334"/>
      <c r="HT43" s="334"/>
      <c r="HU43" s="334"/>
      <c r="HV43" s="334"/>
      <c r="HW43" s="334"/>
      <c r="HX43" s="334"/>
      <c r="HY43" s="334"/>
      <c r="HZ43" s="334"/>
      <c r="IA43" s="334"/>
      <c r="IB43" s="334"/>
      <c r="IC43" s="334"/>
      <c r="ID43" s="334"/>
      <c r="IE43" s="334"/>
      <c r="IF43" s="334"/>
      <c r="IG43" s="334"/>
    </row>
    <row r="44" spans="1:241" ht="12.75" customHeight="1" thickBot="1">
      <c r="A44" s="1882" t="s">
        <v>305</v>
      </c>
      <c r="B44" s="1882"/>
      <c r="C44" s="188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ht="25.5" customHeight="1">
      <c r="A45" s="1885" t="s">
        <v>156</v>
      </c>
      <c r="B45" s="1886"/>
      <c r="C45" s="299" t="s">
        <v>157</v>
      </c>
      <c r="D45" s="349" t="s">
        <v>1071</v>
      </c>
      <c r="E45" s="349" t="s">
        <v>1072</v>
      </c>
      <c r="F45" s="349" t="s">
        <v>1157</v>
      </c>
      <c r="G45" s="349" t="s">
        <v>1178</v>
      </c>
      <c r="H45" s="349" t="s">
        <v>1250</v>
      </c>
      <c r="I45" s="349" t="s">
        <v>1267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241" ht="12.75" customHeight="1" thickBot="1">
      <c r="A46" s="1887"/>
      <c r="B46" s="1888"/>
      <c r="C46" s="301" t="s">
        <v>158</v>
      </c>
      <c r="D46" s="361" t="s">
        <v>159</v>
      </c>
      <c r="E46" s="361" t="s">
        <v>160</v>
      </c>
      <c r="F46" s="361" t="s">
        <v>161</v>
      </c>
      <c r="G46" s="361" t="s">
        <v>456</v>
      </c>
      <c r="H46" s="361" t="s">
        <v>476</v>
      </c>
      <c r="I46" s="351" t="s">
        <v>701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</row>
    <row r="47" spans="1:241" ht="30" customHeight="1">
      <c r="A47" s="118" t="s">
        <v>38</v>
      </c>
      <c r="B47" s="79"/>
      <c r="C47" s="321" t="s">
        <v>603</v>
      </c>
      <c r="D47" s="78">
        <f>SUM('17. Hivatal'!E19)</f>
        <v>3143412</v>
      </c>
      <c r="E47" s="78">
        <f>SUM('17. Hivatal'!F19)</f>
        <v>0</v>
      </c>
      <c r="F47" s="78">
        <f>SUM('17. Hivatal'!G19)</f>
        <v>0</v>
      </c>
      <c r="G47" s="78">
        <f>SUM('17. Hivatal'!H19)</f>
        <v>0</v>
      </c>
      <c r="H47" s="78">
        <f>SUM('17. Hivatal'!I19)</f>
        <v>0</v>
      </c>
      <c r="I47" s="78">
        <f>SUM('17. Hivatal'!J19)</f>
        <v>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s="64" customFormat="1" ht="12.75" customHeight="1">
      <c r="A48" s="119" t="s">
        <v>40</v>
      </c>
      <c r="B48" s="61" t="s">
        <v>164</v>
      </c>
      <c r="C48" s="328" t="s">
        <v>165</v>
      </c>
      <c r="D48" s="62">
        <f aca="true" t="shared" si="6" ref="D48:I48">SUM(D47:D47)</f>
        <v>3143412</v>
      </c>
      <c r="E48" s="62">
        <f t="shared" si="6"/>
        <v>0</v>
      </c>
      <c r="F48" s="62">
        <f t="shared" si="6"/>
        <v>0</v>
      </c>
      <c r="G48" s="62">
        <f t="shared" si="6"/>
        <v>0</v>
      </c>
      <c r="H48" s="62">
        <f t="shared" si="6"/>
        <v>0</v>
      </c>
      <c r="I48" s="62">
        <f t="shared" si="6"/>
        <v>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</row>
    <row r="49" spans="1:241" s="1684" customFormat="1" ht="12.75" customHeight="1">
      <c r="A49" s="118" t="s">
        <v>47</v>
      </c>
      <c r="B49" s="1682"/>
      <c r="C49" s="1683" t="s">
        <v>172</v>
      </c>
      <c r="D49" s="1422"/>
      <c r="E49" s="1422"/>
      <c r="F49" s="1422"/>
      <c r="G49" s="1422"/>
      <c r="H49" s="1422">
        <f>SUM('17. Hivatal'!I18)</f>
        <v>100000</v>
      </c>
      <c r="I49" s="1422">
        <f>SUM('17. Hivatal'!J18)</f>
        <v>145000</v>
      </c>
      <c r="J49" s="1423"/>
      <c r="K49" s="1423"/>
      <c r="L49" s="1423"/>
      <c r="M49" s="1423"/>
      <c r="N49" s="1423"/>
      <c r="O49" s="1423"/>
      <c r="P49" s="1423"/>
      <c r="Q49" s="1423"/>
      <c r="R49" s="1423"/>
      <c r="S49" s="1423"/>
      <c r="T49" s="1423"/>
      <c r="U49" s="1423"/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423"/>
      <c r="AJ49" s="1423"/>
      <c r="AK49" s="1423"/>
      <c r="AL49" s="1423"/>
      <c r="AM49" s="1423"/>
      <c r="AN49" s="1423"/>
      <c r="AO49" s="1423"/>
      <c r="AP49" s="1423"/>
      <c r="AQ49" s="1423"/>
      <c r="AR49" s="1423"/>
      <c r="AS49" s="1423"/>
      <c r="AT49" s="1423"/>
      <c r="AU49" s="1423"/>
      <c r="AV49" s="1423"/>
      <c r="AW49" s="1423"/>
      <c r="AX49" s="1423"/>
      <c r="AY49" s="1423"/>
      <c r="AZ49" s="1423"/>
      <c r="BA49" s="1423"/>
      <c r="BB49" s="1423"/>
      <c r="BC49" s="1423"/>
      <c r="BD49" s="1423"/>
      <c r="BE49" s="1423"/>
      <c r="BF49" s="1423"/>
      <c r="BG49" s="1423"/>
      <c r="BH49" s="1423"/>
      <c r="BI49" s="1423"/>
      <c r="BJ49" s="1423"/>
      <c r="BK49" s="1423"/>
      <c r="BL49" s="1423"/>
      <c r="BM49" s="1423"/>
      <c r="BN49" s="1423"/>
      <c r="BO49" s="1423"/>
      <c r="BP49" s="1423"/>
      <c r="BQ49" s="1423"/>
      <c r="BR49" s="1423"/>
      <c r="BS49" s="1423"/>
      <c r="BT49" s="1423"/>
      <c r="BU49" s="1423"/>
      <c r="BV49" s="1423"/>
      <c r="BW49" s="1423"/>
      <c r="BX49" s="1423"/>
      <c r="BY49" s="1423"/>
      <c r="BZ49" s="1423"/>
      <c r="CA49" s="1423"/>
      <c r="CB49" s="1423"/>
      <c r="CC49" s="1423"/>
      <c r="CD49" s="1423"/>
      <c r="CE49" s="1423"/>
      <c r="CF49" s="1423"/>
      <c r="CG49" s="1423"/>
      <c r="CH49" s="1423"/>
      <c r="CI49" s="1423"/>
      <c r="CJ49" s="1423"/>
      <c r="CK49" s="1423"/>
      <c r="CL49" s="1423"/>
      <c r="CM49" s="1423"/>
      <c r="CN49" s="1423"/>
      <c r="CO49" s="1423"/>
      <c r="CP49" s="1423"/>
      <c r="CQ49" s="1423"/>
      <c r="CR49" s="1423"/>
      <c r="CS49" s="1423"/>
      <c r="CT49" s="1423"/>
      <c r="CU49" s="1423"/>
      <c r="CV49" s="1423"/>
      <c r="CW49" s="1423"/>
      <c r="CX49" s="1423"/>
      <c r="CY49" s="1423"/>
      <c r="CZ49" s="1423"/>
      <c r="DA49" s="1423"/>
      <c r="DB49" s="1423"/>
      <c r="DC49" s="1423"/>
      <c r="DD49" s="1423"/>
      <c r="DE49" s="1423"/>
      <c r="DF49" s="1423"/>
      <c r="DG49" s="1423"/>
      <c r="DH49" s="1423"/>
      <c r="DI49" s="1423"/>
      <c r="DJ49" s="1423"/>
      <c r="DK49" s="1423"/>
      <c r="DL49" s="1423"/>
      <c r="DM49" s="1423"/>
      <c r="DN49" s="1423"/>
      <c r="DO49" s="1423"/>
      <c r="DP49" s="1423"/>
      <c r="DQ49" s="1423"/>
      <c r="DR49" s="1423"/>
      <c r="DS49" s="1423"/>
      <c r="DT49" s="1423"/>
      <c r="DU49" s="1423"/>
      <c r="DV49" s="1423"/>
      <c r="DW49" s="1423"/>
      <c r="DX49" s="1423"/>
      <c r="DY49" s="1423"/>
      <c r="DZ49" s="1423"/>
      <c r="EA49" s="1423"/>
      <c r="EB49" s="1423"/>
      <c r="EC49" s="1423"/>
      <c r="ED49" s="1423"/>
      <c r="EE49" s="1423"/>
      <c r="EF49" s="1423"/>
      <c r="EG49" s="1423"/>
      <c r="EH49" s="1423"/>
      <c r="EI49" s="1423"/>
      <c r="EJ49" s="1423"/>
      <c r="EK49" s="1423"/>
      <c r="EL49" s="1423"/>
      <c r="EM49" s="1423"/>
      <c r="EN49" s="1423"/>
      <c r="EO49" s="1423"/>
      <c r="EP49" s="1423"/>
      <c r="EQ49" s="1423"/>
      <c r="ER49" s="1423"/>
      <c r="ES49" s="1423"/>
      <c r="ET49" s="1423"/>
      <c r="EU49" s="1423"/>
      <c r="EV49" s="1423"/>
      <c r="EW49" s="1423"/>
      <c r="EX49" s="1423"/>
      <c r="EY49" s="1423"/>
      <c r="EZ49" s="1423"/>
      <c r="FA49" s="1423"/>
      <c r="FB49" s="1423"/>
      <c r="FC49" s="1423"/>
      <c r="FD49" s="1423"/>
      <c r="FE49" s="1423"/>
      <c r="FF49" s="1423"/>
      <c r="FG49" s="1423"/>
      <c r="FH49" s="1423"/>
      <c r="FI49" s="1423"/>
      <c r="FJ49" s="1423"/>
      <c r="FK49" s="1423"/>
      <c r="FL49" s="1423"/>
      <c r="FM49" s="1423"/>
      <c r="FN49" s="1423"/>
      <c r="FO49" s="1423"/>
      <c r="FP49" s="1423"/>
      <c r="FQ49" s="1423"/>
      <c r="FR49" s="1423"/>
      <c r="FS49" s="1423"/>
      <c r="FT49" s="1423"/>
      <c r="FU49" s="1423"/>
      <c r="FV49" s="1423"/>
      <c r="FW49" s="1423"/>
      <c r="FX49" s="1423"/>
      <c r="FY49" s="1423"/>
      <c r="FZ49" s="1423"/>
      <c r="GA49" s="1423"/>
      <c r="GB49" s="1423"/>
      <c r="GC49" s="1423"/>
      <c r="GD49" s="1423"/>
      <c r="GE49" s="1423"/>
      <c r="GF49" s="1423"/>
      <c r="GG49" s="1423"/>
      <c r="GH49" s="1423"/>
      <c r="GI49" s="1423"/>
      <c r="GJ49" s="1423"/>
      <c r="GK49" s="1423"/>
      <c r="GL49" s="1423"/>
      <c r="GM49" s="1423"/>
      <c r="GN49" s="1423"/>
      <c r="GO49" s="1423"/>
      <c r="GP49" s="1423"/>
      <c r="GQ49" s="1423"/>
      <c r="GR49" s="1423"/>
      <c r="GS49" s="1423"/>
      <c r="GT49" s="1423"/>
      <c r="GU49" s="1423"/>
      <c r="GV49" s="1423"/>
      <c r="GW49" s="1423"/>
      <c r="GX49" s="1423"/>
      <c r="GY49" s="1423"/>
      <c r="GZ49" s="1423"/>
      <c r="HA49" s="1423"/>
      <c r="HB49" s="1423"/>
      <c r="HC49" s="1423"/>
      <c r="HD49" s="1423"/>
      <c r="HE49" s="1423"/>
      <c r="HF49" s="1423"/>
      <c r="HG49" s="1423"/>
      <c r="HH49" s="1423"/>
      <c r="HI49" s="1423"/>
      <c r="HJ49" s="1423"/>
      <c r="HK49" s="1423"/>
      <c r="HL49" s="1423"/>
      <c r="HM49" s="1423"/>
      <c r="HN49" s="1423"/>
      <c r="HO49" s="1423"/>
      <c r="HP49" s="1423"/>
      <c r="HQ49" s="1423"/>
      <c r="HR49" s="1423"/>
      <c r="HS49" s="1423"/>
      <c r="HT49" s="1423"/>
      <c r="HU49" s="1423"/>
      <c r="HV49" s="1423"/>
      <c r="HW49" s="1423"/>
      <c r="HX49" s="1423"/>
      <c r="HY49" s="1423"/>
      <c r="HZ49" s="1423"/>
      <c r="IA49" s="1423"/>
      <c r="IB49" s="1423"/>
      <c r="IC49" s="1423"/>
      <c r="ID49" s="1423"/>
      <c r="IE49" s="1423"/>
      <c r="IF49" s="1423"/>
      <c r="IG49" s="1423"/>
    </row>
    <row r="50" spans="1:241" s="64" customFormat="1" ht="12.75" customHeight="1">
      <c r="A50" s="119" t="s">
        <v>49</v>
      </c>
      <c r="B50" s="61" t="s">
        <v>166</v>
      </c>
      <c r="C50" s="328" t="s">
        <v>174</v>
      </c>
      <c r="D50" s="62"/>
      <c r="E50" s="62"/>
      <c r="F50" s="62"/>
      <c r="G50" s="62"/>
      <c r="H50" s="62">
        <f>SUM(H49)</f>
        <v>100000</v>
      </c>
      <c r="I50" s="62">
        <f>SUM(I49)</f>
        <v>145000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</row>
    <row r="51" spans="1:241" ht="12.75" customHeight="1">
      <c r="A51" s="118" t="s">
        <v>51</v>
      </c>
      <c r="B51" s="79"/>
      <c r="C51" s="288" t="s">
        <v>574</v>
      </c>
      <c r="D51" s="78">
        <f>SUM('17. Hivatal'!E11)</f>
        <v>171000</v>
      </c>
      <c r="E51" s="78">
        <f>SUM('17. Hivatal'!F11)</f>
        <v>171000</v>
      </c>
      <c r="F51" s="78">
        <f>SUM('17. Hivatal'!G11)</f>
        <v>100000</v>
      </c>
      <c r="G51" s="78">
        <f>SUM('17. Hivatal'!H11)</f>
        <v>100000</v>
      </c>
      <c r="H51" s="78">
        <f>SUM('17. Hivatal'!I11)</f>
        <v>100000</v>
      </c>
      <c r="I51" s="78">
        <f>SUM('17. Hivatal'!J11)</f>
        <v>2000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2" spans="1:241" ht="12.75" customHeight="1">
      <c r="A52" s="118" t="s">
        <v>53</v>
      </c>
      <c r="B52" s="79"/>
      <c r="C52" s="288" t="s">
        <v>176</v>
      </c>
      <c r="D52" s="78">
        <f>SUM('17. Hivatal'!E12)</f>
        <v>1513064</v>
      </c>
      <c r="E52" s="78">
        <f>SUM('17. Hivatal'!F12)</f>
        <v>1500000</v>
      </c>
      <c r="F52" s="78">
        <f>SUM('17. Hivatal'!G12)</f>
        <v>1500000</v>
      </c>
      <c r="G52" s="78">
        <f>SUM('17. Hivatal'!H12)</f>
        <v>1500000</v>
      </c>
      <c r="H52" s="78">
        <f>SUM('17. Hivatal'!I12)</f>
        <v>1400000</v>
      </c>
      <c r="I52" s="78">
        <f>SUM('17. Hivatal'!J12)</f>
        <v>1044636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ht="12.75" customHeight="1">
      <c r="A53" s="343" t="s">
        <v>55</v>
      </c>
      <c r="B53" s="79"/>
      <c r="C53" s="288" t="s">
        <v>177</v>
      </c>
      <c r="D53" s="78">
        <f>SUM('17. Hivatal'!E13)</f>
        <v>412847</v>
      </c>
      <c r="E53" s="78">
        <f>SUM('17. Hivatal'!F13)</f>
        <v>400000</v>
      </c>
      <c r="F53" s="78">
        <f>SUM('17. Hivatal'!G13)</f>
        <v>400000</v>
      </c>
      <c r="G53" s="78">
        <f>SUM('17. Hivatal'!H13)</f>
        <v>400000</v>
      </c>
      <c r="H53" s="78">
        <f>SUM('17. Hivatal'!I13)</f>
        <v>400000</v>
      </c>
      <c r="I53" s="78">
        <f>SUM('17. Hivatal'!J13)</f>
        <v>282588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ht="12.75" customHeight="1">
      <c r="A54" s="320" t="s">
        <v>57</v>
      </c>
      <c r="B54" s="135"/>
      <c r="C54" s="288" t="s">
        <v>179</v>
      </c>
      <c r="D54" s="78">
        <f>SUM('17. Hivatal'!E14)</f>
        <v>0</v>
      </c>
      <c r="E54" s="78">
        <f>SUM('17. Hivatal'!F14)</f>
        <v>0</v>
      </c>
      <c r="F54" s="78">
        <f>SUM('17. Hivatal'!G14)</f>
        <v>0</v>
      </c>
      <c r="G54" s="78">
        <f>SUM('17. Hivatal'!H14)</f>
        <v>1</v>
      </c>
      <c r="H54" s="78">
        <f>SUM('17. Hivatal'!I14)</f>
        <v>2</v>
      </c>
      <c r="I54" s="78">
        <f>SUM('17. Hivatal'!J14)</f>
        <v>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ht="12.75" customHeight="1">
      <c r="A55" s="320" t="s">
        <v>86</v>
      </c>
      <c r="B55" s="135"/>
      <c r="C55" s="286" t="s">
        <v>585</v>
      </c>
      <c r="D55" s="78">
        <f>SUM('17. Hivatal'!E15)</f>
        <v>22</v>
      </c>
      <c r="E55" s="78">
        <f>SUM('17. Hivatal'!F15)</f>
        <v>0</v>
      </c>
      <c r="F55" s="78">
        <f>SUM('17. Hivatal'!G15)</f>
        <v>8</v>
      </c>
      <c r="G55" s="78">
        <f>SUM('17. Hivatal'!H15)</f>
        <v>30</v>
      </c>
      <c r="H55" s="78">
        <f>SUM('17. Hivatal'!I15)</f>
        <v>38</v>
      </c>
      <c r="I55" s="78">
        <f>SUM('17. Hivatal'!J15)</f>
        <v>21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ht="12.75" customHeight="1">
      <c r="A56" s="320" t="s">
        <v>59</v>
      </c>
      <c r="B56" s="135"/>
      <c r="C56" s="294" t="s">
        <v>181</v>
      </c>
      <c r="D56" s="78">
        <f>SUM('17. Hivatal'!E16)</f>
        <v>0</v>
      </c>
      <c r="E56" s="78">
        <f>SUM('17. Hivatal'!F16)</f>
        <v>0</v>
      </c>
      <c r="F56" s="78">
        <f>SUM('17. Hivatal'!G16)</f>
        <v>0</v>
      </c>
      <c r="G56" s="78">
        <f>SUM('17. Hivatal'!H16)</f>
        <v>0</v>
      </c>
      <c r="H56" s="78">
        <f>SUM('17. Hivatal'!I16)</f>
        <v>0</v>
      </c>
      <c r="I56" s="78">
        <f>SUM('17. Hivatal'!J16)</f>
        <v>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s="64" customFormat="1" ht="12.75" customHeight="1">
      <c r="A57" s="341" t="s">
        <v>61</v>
      </c>
      <c r="B57" s="130" t="s">
        <v>173</v>
      </c>
      <c r="C57" s="331" t="s">
        <v>216</v>
      </c>
      <c r="D57" s="329">
        <f aca="true" t="shared" si="7" ref="D57:I57">SUM(D51:D56)</f>
        <v>2096933</v>
      </c>
      <c r="E57" s="329">
        <f t="shared" si="7"/>
        <v>2071000</v>
      </c>
      <c r="F57" s="329">
        <f t="shared" si="7"/>
        <v>2000008</v>
      </c>
      <c r="G57" s="329">
        <f t="shared" si="7"/>
        <v>2000031</v>
      </c>
      <c r="H57" s="329">
        <f t="shared" si="7"/>
        <v>1900040</v>
      </c>
      <c r="I57" s="329">
        <f t="shared" si="7"/>
        <v>1329246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</row>
    <row r="58" spans="1:241" ht="12.75" customHeight="1">
      <c r="A58" s="320" t="s">
        <v>63</v>
      </c>
      <c r="B58" s="133"/>
      <c r="C58" s="309" t="s">
        <v>220</v>
      </c>
      <c r="D58" s="78">
        <f>SUM('17. Hivatal'!E23)</f>
        <v>267350</v>
      </c>
      <c r="E58" s="78">
        <f>SUM('17. Hivatal'!F23)</f>
        <v>203352</v>
      </c>
      <c r="F58" s="78">
        <f>SUM('17. Hivatal'!G23)</f>
        <v>203352</v>
      </c>
      <c r="G58" s="78">
        <f>SUM('17. Hivatal'!H23)</f>
        <v>203352</v>
      </c>
      <c r="H58" s="78">
        <f>SUM('17. Hivatal'!I23)</f>
        <v>203352</v>
      </c>
      <c r="I58" s="78">
        <f>SUM('17. Hivatal'!J23)</f>
        <v>202352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ht="12.75" customHeight="1">
      <c r="A59" s="320" t="s">
        <v>65</v>
      </c>
      <c r="B59" s="133"/>
      <c r="C59" s="309" t="s">
        <v>683</v>
      </c>
      <c r="D59" s="231">
        <f>SUM('17. Hivatal'!E25)</f>
        <v>69013291</v>
      </c>
      <c r="E59" s="231">
        <f>SUM('17. Hivatal'!F25)</f>
        <v>61975191</v>
      </c>
      <c r="F59" s="231">
        <f>SUM('17. Hivatal'!G25)</f>
        <v>75331491</v>
      </c>
      <c r="G59" s="231">
        <f>SUM('17. Hivatal'!H25)</f>
        <v>75719241</v>
      </c>
      <c r="H59" s="231">
        <f>SUM('17. Hivatal'!I25)</f>
        <v>75719241</v>
      </c>
      <c r="I59" s="231">
        <f>SUM('17. Hivatal'!J25)</f>
        <v>75719241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ht="12.75" customHeight="1">
      <c r="A60" s="320" t="s">
        <v>92</v>
      </c>
      <c r="B60" s="133"/>
      <c r="C60" s="309" t="s">
        <v>604</v>
      </c>
      <c r="D60" s="231">
        <f>SUM('17. Hivatal'!E26)</f>
        <v>13132385</v>
      </c>
      <c r="E60" s="231">
        <f>SUM('17. Hivatal'!F26)</f>
        <v>34968909</v>
      </c>
      <c r="F60" s="231">
        <f>SUM('17. Hivatal'!G26)</f>
        <v>27953658</v>
      </c>
      <c r="G60" s="231">
        <f>SUM('17. Hivatal'!H26)</f>
        <v>27565908</v>
      </c>
      <c r="H60" s="231">
        <f>SUM('17. Hivatal'!I26)</f>
        <v>27565908</v>
      </c>
      <c r="I60" s="231">
        <f>SUM('17. Hivatal'!J26)</f>
        <v>23815704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s="64" customFormat="1" ht="12.75" customHeight="1" thickBot="1">
      <c r="A61" s="371" t="s">
        <v>66</v>
      </c>
      <c r="B61" s="372" t="s">
        <v>1262</v>
      </c>
      <c r="C61" s="353" t="s">
        <v>602</v>
      </c>
      <c r="D61" s="354">
        <f aca="true" t="shared" si="8" ref="D61:I61">SUM(D58:D60)</f>
        <v>82413026</v>
      </c>
      <c r="E61" s="354">
        <f t="shared" si="8"/>
        <v>97147452</v>
      </c>
      <c r="F61" s="354">
        <f t="shared" si="8"/>
        <v>103488501</v>
      </c>
      <c r="G61" s="354">
        <f t="shared" si="8"/>
        <v>103488501</v>
      </c>
      <c r="H61" s="354">
        <f t="shared" si="8"/>
        <v>103488501</v>
      </c>
      <c r="I61" s="354">
        <f t="shared" si="8"/>
        <v>99737297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</row>
    <row r="62" spans="1:241" s="129" customFormat="1" ht="20.25" customHeight="1" thickBot="1">
      <c r="A62" s="355" t="s">
        <v>67</v>
      </c>
      <c r="B62" s="356"/>
      <c r="C62" s="357" t="s">
        <v>889</v>
      </c>
      <c r="D62" s="358">
        <f>SUM(D61,D57,D48)</f>
        <v>87653371</v>
      </c>
      <c r="E62" s="358">
        <f>SUM(E61,E57,E48)</f>
        <v>99218452</v>
      </c>
      <c r="F62" s="358">
        <f>SUM(F61,F57,F48)</f>
        <v>105488509</v>
      </c>
      <c r="G62" s="358">
        <f>SUM(G61,G57,G48)</f>
        <v>105488532</v>
      </c>
      <c r="H62" s="358">
        <f>SUM(H61,H57,H48)+H50</f>
        <v>105488541</v>
      </c>
      <c r="I62" s="358">
        <f>SUM(I61,I57,I48)+I50</f>
        <v>101211543</v>
      </c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334"/>
      <c r="BU62" s="334"/>
      <c r="BV62" s="334"/>
      <c r="BW62" s="334"/>
      <c r="BX62" s="334"/>
      <c r="BY62" s="334"/>
      <c r="BZ62" s="334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  <c r="CU62" s="334"/>
      <c r="CV62" s="334"/>
      <c r="CW62" s="334"/>
      <c r="CX62" s="334"/>
      <c r="CY62" s="334"/>
      <c r="CZ62" s="334"/>
      <c r="DA62" s="334"/>
      <c r="DB62" s="334"/>
      <c r="DC62" s="334"/>
      <c r="DD62" s="334"/>
      <c r="DE62" s="334"/>
      <c r="DF62" s="334"/>
      <c r="DG62" s="334"/>
      <c r="DH62" s="334"/>
      <c r="DI62" s="334"/>
      <c r="DJ62" s="334"/>
      <c r="DK62" s="334"/>
      <c r="DL62" s="334"/>
      <c r="DM62" s="334"/>
      <c r="DN62" s="334"/>
      <c r="DO62" s="334"/>
      <c r="DP62" s="334"/>
      <c r="DQ62" s="334"/>
      <c r="DR62" s="334"/>
      <c r="DS62" s="334"/>
      <c r="DT62" s="334"/>
      <c r="DU62" s="334"/>
      <c r="DV62" s="334"/>
      <c r="DW62" s="334"/>
      <c r="DX62" s="334"/>
      <c r="DY62" s="334"/>
      <c r="DZ62" s="334"/>
      <c r="EA62" s="334"/>
      <c r="EB62" s="334"/>
      <c r="EC62" s="334"/>
      <c r="ED62" s="334"/>
      <c r="EE62" s="334"/>
      <c r="EF62" s="334"/>
      <c r="EG62" s="334"/>
      <c r="EH62" s="334"/>
      <c r="EI62" s="334"/>
      <c r="EJ62" s="334"/>
      <c r="EK62" s="334"/>
      <c r="EL62" s="334"/>
      <c r="EM62" s="334"/>
      <c r="EN62" s="334"/>
      <c r="EO62" s="334"/>
      <c r="EP62" s="334"/>
      <c r="EQ62" s="334"/>
      <c r="ER62" s="334"/>
      <c r="ES62" s="334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34"/>
      <c r="FE62" s="334"/>
      <c r="FF62" s="334"/>
      <c r="FG62" s="334"/>
      <c r="FH62" s="334"/>
      <c r="FI62" s="334"/>
      <c r="FJ62" s="334"/>
      <c r="FK62" s="334"/>
      <c r="FL62" s="334"/>
      <c r="FM62" s="334"/>
      <c r="FN62" s="334"/>
      <c r="FO62" s="334"/>
      <c r="FP62" s="334"/>
      <c r="FQ62" s="334"/>
      <c r="FR62" s="334"/>
      <c r="FS62" s="334"/>
      <c r="FT62" s="334"/>
      <c r="FU62" s="334"/>
      <c r="FV62" s="334"/>
      <c r="FW62" s="334"/>
      <c r="FX62" s="334"/>
      <c r="FY62" s="334"/>
      <c r="FZ62" s="334"/>
      <c r="GA62" s="334"/>
      <c r="GB62" s="334"/>
      <c r="GC62" s="334"/>
      <c r="GD62" s="334"/>
      <c r="GE62" s="334"/>
      <c r="GF62" s="334"/>
      <c r="GG62" s="334"/>
      <c r="GH62" s="334"/>
      <c r="GI62" s="334"/>
      <c r="GJ62" s="334"/>
      <c r="GK62" s="334"/>
      <c r="GL62" s="334"/>
      <c r="GM62" s="334"/>
      <c r="GN62" s="334"/>
      <c r="GO62" s="334"/>
      <c r="GP62" s="334"/>
      <c r="GQ62" s="334"/>
      <c r="GR62" s="334"/>
      <c r="GS62" s="334"/>
      <c r="GT62" s="334"/>
      <c r="GU62" s="334"/>
      <c r="GV62" s="334"/>
      <c r="GW62" s="334"/>
      <c r="GX62" s="334"/>
      <c r="GY62" s="334"/>
      <c r="GZ62" s="334"/>
      <c r="HA62" s="334"/>
      <c r="HB62" s="334"/>
      <c r="HC62" s="334"/>
      <c r="HD62" s="334"/>
      <c r="HE62" s="334"/>
      <c r="HF62" s="334"/>
      <c r="HG62" s="334"/>
      <c r="HH62" s="334"/>
      <c r="HI62" s="334"/>
      <c r="HJ62" s="334"/>
      <c r="HK62" s="334"/>
      <c r="HL62" s="334"/>
      <c r="HM62" s="334"/>
      <c r="HN62" s="334"/>
      <c r="HO62" s="334"/>
      <c r="HP62" s="334"/>
      <c r="HQ62" s="334"/>
      <c r="HR62" s="334"/>
      <c r="HS62" s="334"/>
      <c r="HT62" s="334"/>
      <c r="HU62" s="334"/>
      <c r="HV62" s="334"/>
      <c r="HW62" s="334"/>
      <c r="HX62" s="334"/>
      <c r="HY62" s="334"/>
      <c r="HZ62" s="334"/>
      <c r="IA62" s="334"/>
      <c r="IB62" s="334"/>
      <c r="IC62" s="334"/>
      <c r="ID62" s="334"/>
      <c r="IE62" s="334"/>
      <c r="IF62" s="334"/>
      <c r="IG62" s="334"/>
    </row>
    <row r="63" spans="1:241" ht="12.75" customHeight="1" thickBot="1">
      <c r="A63" s="1882" t="s">
        <v>239</v>
      </c>
      <c r="B63" s="1882"/>
      <c r="C63" s="1882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ht="30" customHeight="1">
      <c r="A64" s="1885" t="s">
        <v>156</v>
      </c>
      <c r="B64" s="1886"/>
      <c r="C64" s="299" t="s">
        <v>157</v>
      </c>
      <c r="D64" s="349" t="s">
        <v>1071</v>
      </c>
      <c r="E64" s="349" t="s">
        <v>1072</v>
      </c>
      <c r="F64" s="349" t="s">
        <v>1157</v>
      </c>
      <c r="G64" s="349" t="s">
        <v>1178</v>
      </c>
      <c r="H64" s="349" t="s">
        <v>1250</v>
      </c>
      <c r="I64" s="349" t="s">
        <v>1267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ht="12.75" customHeight="1" thickBot="1">
      <c r="A65" s="1887"/>
      <c r="B65" s="1888"/>
      <c r="C65" s="301" t="s">
        <v>158</v>
      </c>
      <c r="D65" s="361" t="s">
        <v>159</v>
      </c>
      <c r="E65" s="361" t="s">
        <v>160</v>
      </c>
      <c r="F65" s="361" t="s">
        <v>161</v>
      </c>
      <c r="G65" s="361" t="s">
        <v>456</v>
      </c>
      <c r="H65" s="361" t="s">
        <v>476</v>
      </c>
      <c r="I65" s="351" t="s">
        <v>701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ht="12.75" customHeight="1">
      <c r="A66" s="118" t="s">
        <v>38</v>
      </c>
      <c r="B66" s="79"/>
      <c r="C66" s="288" t="s">
        <v>574</v>
      </c>
      <c r="D66" s="78"/>
      <c r="E66" s="78"/>
      <c r="F66" s="78"/>
      <c r="G66" s="78"/>
      <c r="H66" s="78"/>
      <c r="I66" s="78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ht="12.75" customHeight="1">
      <c r="A67" s="118" t="s">
        <v>40</v>
      </c>
      <c r="B67" s="79"/>
      <c r="C67" s="288" t="s">
        <v>176</v>
      </c>
      <c r="D67" s="78"/>
      <c r="E67" s="78"/>
      <c r="F67" s="78"/>
      <c r="G67" s="78"/>
      <c r="H67" s="78"/>
      <c r="I67" s="78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ht="12.75" customHeight="1">
      <c r="A68" s="118" t="s">
        <v>47</v>
      </c>
      <c r="B68" s="79"/>
      <c r="C68" s="288" t="s">
        <v>178</v>
      </c>
      <c r="D68" s="78">
        <v>1756744</v>
      </c>
      <c r="E68" s="78">
        <v>1765000</v>
      </c>
      <c r="F68" s="78">
        <f>SUM('15. Óvoda'!G11+'15. Óvoda'!G12)</f>
        <v>1324000</v>
      </c>
      <c r="G68" s="78">
        <f>SUM('15. Óvoda'!H11+'15. Óvoda'!H12)</f>
        <v>1324000</v>
      </c>
      <c r="H68" s="78">
        <f>SUM('15. Óvoda'!I11+'15. Óvoda'!I12)</f>
        <v>1324000</v>
      </c>
      <c r="I68" s="78">
        <f>SUM('15. Óvoda'!J11+'15. Óvoda'!J12)</f>
        <v>1695679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pans="1:241" ht="12.75" customHeight="1">
      <c r="A69" s="118" t="s">
        <v>49</v>
      </c>
      <c r="B69" s="79"/>
      <c r="C69" s="288" t="s">
        <v>177</v>
      </c>
      <c r="D69" s="78"/>
      <c r="E69" s="78"/>
      <c r="F69" s="78"/>
      <c r="G69" s="78"/>
      <c r="H69" s="78"/>
      <c r="I69" s="78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</row>
    <row r="70" spans="1:241" ht="12.75" customHeight="1">
      <c r="A70" s="118" t="s">
        <v>51</v>
      </c>
      <c r="B70" s="79"/>
      <c r="C70" s="288" t="s">
        <v>179</v>
      </c>
      <c r="D70" s="78">
        <f>SUM('15. Óvoda'!E13)</f>
        <v>474327</v>
      </c>
      <c r="E70" s="78">
        <f>SUM('15. Óvoda'!F13)</f>
        <v>500000</v>
      </c>
      <c r="F70" s="78">
        <f>SUM('15. Óvoda'!G13)</f>
        <v>500000</v>
      </c>
      <c r="G70" s="78">
        <f>SUM('15. Óvoda'!H13)</f>
        <v>500000</v>
      </c>
      <c r="H70" s="78">
        <f>SUM('15. Óvoda'!I13)</f>
        <v>500000</v>
      </c>
      <c r="I70" s="78">
        <f>SUM('15. Óvoda'!J13)</f>
        <v>457849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ht="12.75" customHeight="1">
      <c r="A71" s="343" t="s">
        <v>53</v>
      </c>
      <c r="B71" s="142"/>
      <c r="C71" s="832" t="s">
        <v>585</v>
      </c>
      <c r="D71" s="137">
        <v>1</v>
      </c>
      <c r="E71" s="137">
        <v>0</v>
      </c>
      <c r="F71" s="137">
        <v>0</v>
      </c>
      <c r="G71" s="137">
        <v>0</v>
      </c>
      <c r="H71" s="137">
        <v>0</v>
      </c>
      <c r="I71" s="137"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ht="12.75" customHeight="1">
      <c r="A72" s="320" t="s">
        <v>55</v>
      </c>
      <c r="B72" s="287"/>
      <c r="C72" s="288" t="s">
        <v>181</v>
      </c>
      <c r="D72" s="391">
        <f>SUM('15. Óvoda'!E15)</f>
        <v>115</v>
      </c>
      <c r="E72" s="391">
        <f>SUM('15. Óvoda'!F15)</f>
        <v>0</v>
      </c>
      <c r="F72" s="391">
        <f>SUM('15. Óvoda'!G15)</f>
        <v>6</v>
      </c>
      <c r="G72" s="391">
        <f>SUM('15. Óvoda'!H15)</f>
        <v>40</v>
      </c>
      <c r="H72" s="391">
        <f>SUM('15. Óvoda'!I15)</f>
        <v>50</v>
      </c>
      <c r="I72" s="391">
        <f>SUM('15. Óvoda'!J15)</f>
        <v>58700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1:241" ht="12.75" customHeight="1">
      <c r="A73" s="320" t="s">
        <v>57</v>
      </c>
      <c r="B73" s="287"/>
      <c r="C73" s="288" t="s">
        <v>699</v>
      </c>
      <c r="D73" s="391">
        <f>SUM('15. Óvoda'!E16)</f>
        <v>292000</v>
      </c>
      <c r="E73" s="391">
        <f>SUM('15. Óvoda'!F16)</f>
        <v>0</v>
      </c>
      <c r="F73" s="391">
        <f>SUM('15. Óvoda'!G16)</f>
        <v>0</v>
      </c>
      <c r="G73" s="391">
        <f>SUM('15. Óvoda'!H16)</f>
        <v>287000</v>
      </c>
      <c r="H73" s="391">
        <f>SUM('15. Óvoda'!I16)</f>
        <v>287000</v>
      </c>
      <c r="I73" s="391">
        <f>SUM('15. Óvoda'!J16)</f>
        <v>287000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</row>
    <row r="74" spans="1:241" ht="12.75" customHeight="1">
      <c r="A74" s="362" t="s">
        <v>86</v>
      </c>
      <c r="B74" s="362" t="s">
        <v>166</v>
      </c>
      <c r="C74" s="331" t="s">
        <v>216</v>
      </c>
      <c r="D74" s="363">
        <f aca="true" t="shared" si="9" ref="D74:I74">SUM(D66:D73)</f>
        <v>2523187</v>
      </c>
      <c r="E74" s="363">
        <f t="shared" si="9"/>
        <v>2265000</v>
      </c>
      <c r="F74" s="363">
        <f t="shared" si="9"/>
        <v>1824006</v>
      </c>
      <c r="G74" s="363">
        <f t="shared" si="9"/>
        <v>2111040</v>
      </c>
      <c r="H74" s="363">
        <f t="shared" si="9"/>
        <v>2111050</v>
      </c>
      <c r="I74" s="363">
        <f t="shared" si="9"/>
        <v>2499228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</row>
    <row r="75" spans="1:241" ht="12.75" customHeight="1">
      <c r="A75" s="359" t="s">
        <v>59</v>
      </c>
      <c r="B75" s="360"/>
      <c r="C75" s="288" t="s">
        <v>577</v>
      </c>
      <c r="D75" s="121">
        <v>498111</v>
      </c>
      <c r="E75" s="121">
        <v>0</v>
      </c>
      <c r="F75" s="121">
        <v>35340</v>
      </c>
      <c r="G75" s="121">
        <v>35340</v>
      </c>
      <c r="H75" s="121">
        <v>35340</v>
      </c>
      <c r="I75" s="121">
        <v>35340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</row>
    <row r="76" spans="1:241" ht="12.75" customHeight="1">
      <c r="A76" s="119" t="s">
        <v>61</v>
      </c>
      <c r="B76" s="79"/>
      <c r="C76" s="313" t="s">
        <v>597</v>
      </c>
      <c r="D76" s="78"/>
      <c r="E76" s="78"/>
      <c r="F76" s="78"/>
      <c r="G76" s="78"/>
      <c r="H76" s="78"/>
      <c r="I76" s="78">
        <v>178500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</row>
    <row r="77" spans="1:241" ht="12.75" customHeight="1">
      <c r="A77" s="119" t="s">
        <v>63</v>
      </c>
      <c r="B77" s="205"/>
      <c r="C77" s="313" t="s">
        <v>684</v>
      </c>
      <c r="D77" s="231">
        <v>90183</v>
      </c>
      <c r="E77" s="231">
        <v>0</v>
      </c>
      <c r="F77" s="231">
        <v>0</v>
      </c>
      <c r="G77" s="231">
        <v>0</v>
      </c>
      <c r="H77" s="231">
        <v>0</v>
      </c>
      <c r="I77" s="231"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</row>
    <row r="78" spans="1:241" ht="12.75" customHeight="1">
      <c r="A78" s="119" t="s">
        <v>65</v>
      </c>
      <c r="B78" s="92" t="s">
        <v>173</v>
      </c>
      <c r="C78" s="332" t="s">
        <v>185</v>
      </c>
      <c r="D78" s="329">
        <f aca="true" t="shared" si="10" ref="D78:I78">SUM(D75:D77)</f>
        <v>588294</v>
      </c>
      <c r="E78" s="329">
        <f t="shared" si="10"/>
        <v>0</v>
      </c>
      <c r="F78" s="329">
        <f t="shared" si="10"/>
        <v>35340</v>
      </c>
      <c r="G78" s="329">
        <f t="shared" si="10"/>
        <v>35340</v>
      </c>
      <c r="H78" s="329">
        <f t="shared" si="10"/>
        <v>35340</v>
      </c>
      <c r="I78" s="329">
        <f t="shared" si="10"/>
        <v>213840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241" ht="12.75" customHeight="1">
      <c r="A79" s="119" t="s">
        <v>92</v>
      </c>
      <c r="B79" s="92" t="s">
        <v>182</v>
      </c>
      <c r="C79" s="332" t="s">
        <v>697</v>
      </c>
      <c r="D79" s="329">
        <v>435505</v>
      </c>
      <c r="E79" s="329">
        <v>0</v>
      </c>
      <c r="F79" s="329">
        <v>0</v>
      </c>
      <c r="G79" s="329">
        <v>0</v>
      </c>
      <c r="H79" s="329">
        <v>0</v>
      </c>
      <c r="I79" s="329"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</row>
    <row r="80" spans="1:241" ht="12.75" customHeight="1">
      <c r="A80" s="118" t="s">
        <v>66</v>
      </c>
      <c r="B80" s="79"/>
      <c r="C80" s="288" t="s">
        <v>220</v>
      </c>
      <c r="D80" s="78">
        <f>SUM('15. Óvoda'!E24)</f>
        <v>238417</v>
      </c>
      <c r="E80" s="78">
        <f>SUM('15. Óvoda'!F24)</f>
        <v>193701</v>
      </c>
      <c r="F80" s="78">
        <f>SUM('15. Óvoda'!G24)</f>
        <v>193701</v>
      </c>
      <c r="G80" s="78">
        <f>SUM('15. Óvoda'!H24)</f>
        <v>193701</v>
      </c>
      <c r="H80" s="78">
        <f>SUM('15. Óvoda'!I24)</f>
        <v>193701</v>
      </c>
      <c r="I80" s="78">
        <f>SUM('15. Óvoda'!J24)</f>
        <v>193702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</row>
    <row r="81" spans="1:241" ht="12.75" customHeight="1">
      <c r="A81" s="118" t="s">
        <v>67</v>
      </c>
      <c r="B81" s="95"/>
      <c r="C81" s="17" t="s">
        <v>604</v>
      </c>
      <c r="D81" s="78">
        <f>SUM('15. Óvoda'!E23)</f>
        <v>25960814</v>
      </c>
      <c r="E81" s="78">
        <f>SUM('15. Óvoda'!F23)</f>
        <v>30822193</v>
      </c>
      <c r="F81" s="78">
        <f>SUM('15. Óvoda'!G23)</f>
        <v>25629704</v>
      </c>
      <c r="G81" s="78">
        <f>SUM('15. Óvoda'!H23)</f>
        <v>19917554</v>
      </c>
      <c r="H81" s="78">
        <f>SUM('15. Óvoda'!I23)</f>
        <v>19917554</v>
      </c>
      <c r="I81" s="78">
        <f>SUM('15. Óvoda'!J23)</f>
        <v>29115913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</row>
    <row r="82" spans="1:241" ht="12.75" customHeight="1">
      <c r="A82" s="343" t="s">
        <v>68</v>
      </c>
      <c r="B82" s="224"/>
      <c r="C82" s="5" t="s">
        <v>683</v>
      </c>
      <c r="D82" s="137">
        <f>SUM('15. Óvoda'!E22)</f>
        <v>97031847</v>
      </c>
      <c r="E82" s="137">
        <f>SUM('15. Óvoda'!F22)</f>
        <v>97345934</v>
      </c>
      <c r="F82" s="137">
        <f>SUM('15. Óvoda'!G22)</f>
        <v>97364734</v>
      </c>
      <c r="G82" s="137">
        <f>SUM('15. Óvoda'!H22)</f>
        <v>103076884</v>
      </c>
      <c r="H82" s="137">
        <f>SUM('15. Óvoda'!I22)</f>
        <v>103076884</v>
      </c>
      <c r="I82" s="137">
        <f>SUM('15. Óvoda'!J22)</f>
        <v>103076884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</row>
    <row r="83" spans="1:241" ht="12.75" customHeight="1" thickBot="1">
      <c r="A83" s="373" t="s">
        <v>70</v>
      </c>
      <c r="B83" s="374" t="s">
        <v>183</v>
      </c>
      <c r="C83" s="353" t="s">
        <v>602</v>
      </c>
      <c r="D83" s="82">
        <f aca="true" t="shared" si="11" ref="D83:I83">SUM(D80:D82)</f>
        <v>123231078</v>
      </c>
      <c r="E83" s="82">
        <f t="shared" si="11"/>
        <v>128361828</v>
      </c>
      <c r="F83" s="82">
        <f t="shared" si="11"/>
        <v>123188139</v>
      </c>
      <c r="G83" s="82">
        <f t="shared" si="11"/>
        <v>123188139</v>
      </c>
      <c r="H83" s="82">
        <f t="shared" si="11"/>
        <v>123188139</v>
      </c>
      <c r="I83" s="82">
        <f t="shared" si="11"/>
        <v>132386499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</row>
    <row r="84" spans="1:241" ht="19.5" customHeight="1" thickBot="1">
      <c r="A84" s="375" t="s">
        <v>97</v>
      </c>
      <c r="B84" s="376"/>
      <c r="C84" s="601" t="s">
        <v>240</v>
      </c>
      <c r="D84" s="602">
        <f aca="true" t="shared" si="12" ref="D84:I84">SUM(D74+D78+D83)+D79</f>
        <v>126778064</v>
      </c>
      <c r="E84" s="602">
        <f t="shared" si="12"/>
        <v>130626828</v>
      </c>
      <c r="F84" s="602">
        <f t="shared" si="12"/>
        <v>125047485</v>
      </c>
      <c r="G84" s="602">
        <f t="shared" si="12"/>
        <v>125334519</v>
      </c>
      <c r="H84" s="602">
        <f t="shared" si="12"/>
        <v>125334529</v>
      </c>
      <c r="I84" s="602">
        <f t="shared" si="12"/>
        <v>135099567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</row>
    <row r="85" spans="1:241" ht="12.75" customHeight="1" thickBot="1">
      <c r="A85" s="1882" t="s">
        <v>1010</v>
      </c>
      <c r="B85" s="1882"/>
      <c r="C85" s="1882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</row>
    <row r="86" spans="1:241" ht="28.5" customHeight="1">
      <c r="A86" s="1878" t="s">
        <v>156</v>
      </c>
      <c r="B86" s="1879"/>
      <c r="C86" s="369" t="s">
        <v>157</v>
      </c>
      <c r="D86" s="349" t="s">
        <v>1071</v>
      </c>
      <c r="E86" s="349" t="s">
        <v>1072</v>
      </c>
      <c r="F86" s="349" t="s">
        <v>1157</v>
      </c>
      <c r="G86" s="349" t="s">
        <v>1178</v>
      </c>
      <c r="H86" s="349" t="s">
        <v>1250</v>
      </c>
      <c r="I86" s="349" t="s">
        <v>1267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</row>
    <row r="87" spans="1:241" ht="14.25" customHeight="1" thickBot="1">
      <c r="A87" s="1880"/>
      <c r="B87" s="1881"/>
      <c r="C87" s="370" t="s">
        <v>158</v>
      </c>
      <c r="D87" s="361" t="s">
        <v>159</v>
      </c>
      <c r="E87" s="361" t="s">
        <v>160</v>
      </c>
      <c r="F87" s="361" t="s">
        <v>161</v>
      </c>
      <c r="G87" s="361" t="s">
        <v>456</v>
      </c>
      <c r="H87" s="361" t="s">
        <v>476</v>
      </c>
      <c r="I87" s="351" t="s">
        <v>701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241" ht="14.25" customHeight="1">
      <c r="A88" s="1353" t="s">
        <v>38</v>
      </c>
      <c r="B88" s="1353" t="s">
        <v>164</v>
      </c>
      <c r="C88" s="1354" t="s">
        <v>1053</v>
      </c>
      <c r="D88" s="1355">
        <v>56273</v>
      </c>
      <c r="E88" s="1355">
        <v>0</v>
      </c>
      <c r="F88" s="1355">
        <v>0</v>
      </c>
      <c r="G88" s="1355">
        <v>0</v>
      </c>
      <c r="H88" s="1355">
        <v>0</v>
      </c>
      <c r="I88" s="1355"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</row>
    <row r="89" spans="1:241" ht="14.25" customHeight="1">
      <c r="A89" s="1352" t="s">
        <v>40</v>
      </c>
      <c r="B89" s="1353"/>
      <c r="C89" s="311" t="s">
        <v>574</v>
      </c>
      <c r="D89" s="364"/>
      <c r="E89" s="364"/>
      <c r="F89" s="364"/>
      <c r="G89" s="364"/>
      <c r="H89" s="364"/>
      <c r="I89" s="364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</row>
    <row r="90" spans="1:241" ht="14.25" customHeight="1">
      <c r="A90" s="366" t="s">
        <v>47</v>
      </c>
      <c r="B90" s="365"/>
      <c r="C90" s="288" t="s">
        <v>176</v>
      </c>
      <c r="D90" s="364"/>
      <c r="E90" s="364"/>
      <c r="F90" s="364"/>
      <c r="G90" s="364"/>
      <c r="H90" s="364"/>
      <c r="I90" s="364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</row>
    <row r="91" spans="1:241" ht="14.25" customHeight="1">
      <c r="A91" s="366" t="s">
        <v>49</v>
      </c>
      <c r="B91" s="365"/>
      <c r="C91" s="288" t="s">
        <v>903</v>
      </c>
      <c r="D91" s="834">
        <f>SUM('16. Műv. ház'!E11)</f>
        <v>1277000</v>
      </c>
      <c r="E91" s="834">
        <f>SUM('16. Műv. ház'!F11)</f>
        <v>1277000</v>
      </c>
      <c r="F91" s="834">
        <f>SUM('16. Műv. ház'!G11)</f>
        <v>350000</v>
      </c>
      <c r="G91" s="834">
        <f>SUM('16. Műv. ház'!H11)</f>
        <v>400000</v>
      </c>
      <c r="H91" s="834">
        <f>SUM('16. Műv. ház'!I11)</f>
        <v>550000</v>
      </c>
      <c r="I91" s="834">
        <f>SUM('16. Műv. ház'!J11)</f>
        <v>643630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</row>
    <row r="92" spans="1:241" ht="14.25" customHeight="1">
      <c r="A92" s="366" t="s">
        <v>51</v>
      </c>
      <c r="B92" s="365"/>
      <c r="C92" s="288" t="s">
        <v>179</v>
      </c>
      <c r="D92" s="834"/>
      <c r="E92" s="834"/>
      <c r="F92" s="834"/>
      <c r="G92" s="834"/>
      <c r="H92" s="834"/>
      <c r="I92" s="83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241" ht="14.25" customHeight="1">
      <c r="A93" s="366" t="s">
        <v>53</v>
      </c>
      <c r="B93" s="365"/>
      <c r="C93" s="286" t="s">
        <v>585</v>
      </c>
      <c r="D93" s="834"/>
      <c r="E93" s="834"/>
      <c r="F93" s="834"/>
      <c r="G93" s="834"/>
      <c r="H93" s="834"/>
      <c r="I93" s="83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</row>
    <row r="94" spans="1:241" ht="14.25" customHeight="1">
      <c r="A94" s="366" t="s">
        <v>55</v>
      </c>
      <c r="B94" s="365"/>
      <c r="C94" s="294" t="s">
        <v>181</v>
      </c>
      <c r="D94" s="834">
        <v>49</v>
      </c>
      <c r="E94" s="834">
        <v>0</v>
      </c>
      <c r="F94" s="834">
        <v>0</v>
      </c>
      <c r="G94" s="834">
        <v>20</v>
      </c>
      <c r="H94" s="834">
        <v>40018</v>
      </c>
      <c r="I94" s="834">
        <v>58527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</row>
    <row r="95" spans="1:241" s="64" customFormat="1" ht="12.75" customHeight="1">
      <c r="A95" s="128" t="s">
        <v>57</v>
      </c>
      <c r="B95" s="367" t="s">
        <v>166</v>
      </c>
      <c r="C95" s="331" t="s">
        <v>216</v>
      </c>
      <c r="D95" s="368">
        <f aca="true" t="shared" si="13" ref="D95:I95">SUM(D89:D94)</f>
        <v>1277049</v>
      </c>
      <c r="E95" s="368">
        <f t="shared" si="13"/>
        <v>1277000</v>
      </c>
      <c r="F95" s="368">
        <f t="shared" si="13"/>
        <v>350000</v>
      </c>
      <c r="G95" s="368">
        <f t="shared" si="13"/>
        <v>400020</v>
      </c>
      <c r="H95" s="368">
        <f t="shared" si="13"/>
        <v>590018</v>
      </c>
      <c r="I95" s="368">
        <f t="shared" si="13"/>
        <v>702157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</row>
    <row r="96" spans="1:241" ht="12.75" customHeight="1">
      <c r="A96" s="118" t="s">
        <v>86</v>
      </c>
      <c r="B96" s="95"/>
      <c r="C96" s="288" t="s">
        <v>220</v>
      </c>
      <c r="D96" s="78">
        <f>SUM('16. Műv. ház'!E18)</f>
        <v>321658</v>
      </c>
      <c r="E96" s="78">
        <f>SUM('16. Műv. ház'!F18)</f>
        <v>269743</v>
      </c>
      <c r="F96" s="78">
        <f>SUM('16. Műv. ház'!G18)</f>
        <v>269743</v>
      </c>
      <c r="G96" s="78">
        <f>SUM('16. Műv. ház'!H18)</f>
        <v>269743</v>
      </c>
      <c r="H96" s="78">
        <f>SUM('16. Műv. ház'!I18)</f>
        <v>269743</v>
      </c>
      <c r="I96" s="78">
        <f>SUM('16. Műv. ház'!J18)</f>
        <v>269743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</row>
    <row r="97" spans="1:241" ht="12.75" customHeight="1">
      <c r="A97" s="118" t="s">
        <v>59</v>
      </c>
      <c r="B97" s="95"/>
      <c r="C97" s="17" t="s">
        <v>604</v>
      </c>
      <c r="D97" s="78">
        <f>SUM('16. Műv. ház'!E17)</f>
        <v>19888148</v>
      </c>
      <c r="E97" s="78">
        <f>SUM('16. Műv. ház'!F17)</f>
        <v>22273430</v>
      </c>
      <c r="F97" s="78">
        <f>SUM('16. Műv. ház'!G17)</f>
        <v>19200430</v>
      </c>
      <c r="G97" s="78">
        <f>SUM('16. Műv. ház'!H17)</f>
        <v>17702740</v>
      </c>
      <c r="H97" s="78">
        <f>SUM('16. Műv. ház'!I17)</f>
        <v>17702740</v>
      </c>
      <c r="I97" s="78">
        <f>SUM('16. Műv. ház'!J17)</f>
        <v>16313351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</row>
    <row r="98" spans="1:241" ht="12.75" customHeight="1">
      <c r="A98" s="343" t="s">
        <v>61</v>
      </c>
      <c r="B98" s="224"/>
      <c r="C98" s="5" t="s">
        <v>683</v>
      </c>
      <c r="D98" s="137">
        <f>SUM('16. Műv. ház'!E16)</f>
        <v>5050082</v>
      </c>
      <c r="E98" s="137">
        <f>SUM('16. Műv. ház'!F16)</f>
        <v>4357233</v>
      </c>
      <c r="F98" s="137">
        <f>SUM('16. Műv. ház'!G16)</f>
        <v>4472619</v>
      </c>
      <c r="G98" s="137">
        <f>SUM('16. Műv. ház'!H16)</f>
        <v>6201079</v>
      </c>
      <c r="H98" s="137">
        <f>SUM('16. Műv. ház'!I16)</f>
        <v>6378776</v>
      </c>
      <c r="I98" s="137">
        <f>SUM('16. Műv. ház'!J16)</f>
        <v>6558776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</row>
    <row r="99" spans="1:241" ht="12.75" customHeight="1" thickBot="1">
      <c r="A99" s="378" t="s">
        <v>63</v>
      </c>
      <c r="B99" s="374" t="s">
        <v>173</v>
      </c>
      <c r="C99" s="353" t="s">
        <v>602</v>
      </c>
      <c r="D99" s="82">
        <f aca="true" t="shared" si="14" ref="D99:I99">SUM(D96:D98)</f>
        <v>25259888</v>
      </c>
      <c r="E99" s="82">
        <f t="shared" si="14"/>
        <v>26900406</v>
      </c>
      <c r="F99" s="82">
        <f t="shared" si="14"/>
        <v>23942792</v>
      </c>
      <c r="G99" s="82">
        <f t="shared" si="14"/>
        <v>24173562</v>
      </c>
      <c r="H99" s="82">
        <f t="shared" si="14"/>
        <v>24351259</v>
      </c>
      <c r="I99" s="82">
        <f t="shared" si="14"/>
        <v>23141870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</row>
    <row r="100" spans="1:241" ht="17.25" customHeight="1" thickBot="1">
      <c r="A100" s="379" t="s">
        <v>65</v>
      </c>
      <c r="B100" s="376"/>
      <c r="C100" s="380" t="s">
        <v>1013</v>
      </c>
      <c r="D100" s="377">
        <f aca="true" t="shared" si="15" ref="D100:I100">SUM(D99,D95)+D88</f>
        <v>26593210</v>
      </c>
      <c r="E100" s="377">
        <f t="shared" si="15"/>
        <v>28177406</v>
      </c>
      <c r="F100" s="377">
        <f t="shared" si="15"/>
        <v>24292792</v>
      </c>
      <c r="G100" s="377">
        <f t="shared" si="15"/>
        <v>24573582</v>
      </c>
      <c r="H100" s="377">
        <f t="shared" si="15"/>
        <v>24941277</v>
      </c>
      <c r="I100" s="377">
        <f t="shared" si="15"/>
        <v>23844027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</row>
    <row r="101" spans="1:3" ht="12.75" customHeight="1">
      <c r="A101" s="90"/>
      <c r="C101" s="64"/>
    </row>
    <row r="102" spans="1:3" ht="12.75" customHeight="1" thickBot="1">
      <c r="A102" s="90"/>
      <c r="C102" s="64" t="s">
        <v>242</v>
      </c>
    </row>
    <row r="103" spans="1:9" ht="25.5" customHeight="1">
      <c r="A103" s="1885" t="s">
        <v>156</v>
      </c>
      <c r="B103" s="1886"/>
      <c r="C103" s="348" t="s">
        <v>157</v>
      </c>
      <c r="D103" s="349" t="s">
        <v>1071</v>
      </c>
      <c r="E103" s="349" t="s">
        <v>1072</v>
      </c>
      <c r="F103" s="349" t="s">
        <v>1157</v>
      </c>
      <c r="G103" s="349" t="s">
        <v>1178</v>
      </c>
      <c r="H103" s="349" t="s">
        <v>1250</v>
      </c>
      <c r="I103" s="349" t="s">
        <v>1267</v>
      </c>
    </row>
    <row r="104" spans="1:9" ht="12.75" customHeight="1" thickBot="1">
      <c r="A104" s="1887"/>
      <c r="B104" s="1888"/>
      <c r="C104" s="350" t="s">
        <v>158</v>
      </c>
      <c r="D104" s="361" t="s">
        <v>159</v>
      </c>
      <c r="E104" s="361" t="s">
        <v>160</v>
      </c>
      <c r="F104" s="361" t="s">
        <v>161</v>
      </c>
      <c r="G104" s="361" t="s">
        <v>456</v>
      </c>
      <c r="H104" s="361" t="s">
        <v>476</v>
      </c>
      <c r="I104" s="351" t="s">
        <v>701</v>
      </c>
    </row>
    <row r="105" spans="1:9" ht="12.75" customHeight="1">
      <c r="A105" s="118" t="s">
        <v>38</v>
      </c>
      <c r="B105" s="95"/>
      <c r="C105" s="288" t="s">
        <v>574</v>
      </c>
      <c r="D105" s="122">
        <f>SUM('18. VÜKI'!E13)</f>
        <v>209291</v>
      </c>
      <c r="E105" s="122">
        <f>SUM('18. VÜKI'!F13)</f>
        <v>210000</v>
      </c>
      <c r="F105" s="122">
        <f>SUM('18. VÜKI'!G13)</f>
        <v>100000</v>
      </c>
      <c r="G105" s="122">
        <f>SUM('18. VÜKI'!H13)</f>
        <v>100000</v>
      </c>
      <c r="H105" s="122">
        <f>SUM('18. VÜKI'!I13)</f>
        <v>100000</v>
      </c>
      <c r="I105" s="122">
        <f>SUM('18. VÜKI'!J13)</f>
        <v>377134</v>
      </c>
    </row>
    <row r="106" spans="1:9" ht="12.75" customHeight="1">
      <c r="A106" s="118" t="s">
        <v>40</v>
      </c>
      <c r="B106" s="95"/>
      <c r="C106" s="288" t="s">
        <v>176</v>
      </c>
      <c r="D106" s="122">
        <v>16545</v>
      </c>
      <c r="E106" s="122">
        <v>16500</v>
      </c>
      <c r="F106" s="122">
        <v>16500</v>
      </c>
      <c r="G106" s="122">
        <v>16500</v>
      </c>
      <c r="H106" s="122">
        <v>16500</v>
      </c>
      <c r="I106" s="122">
        <v>11996600</v>
      </c>
    </row>
    <row r="107" spans="1:9" ht="12.75" customHeight="1">
      <c r="A107" s="118" t="s">
        <v>47</v>
      </c>
      <c r="B107" s="95"/>
      <c r="C107" s="288" t="s">
        <v>177</v>
      </c>
      <c r="D107" s="122">
        <f>SUM('18. VÜKI'!E15)</f>
        <v>121100</v>
      </c>
      <c r="E107" s="122">
        <f>SUM('18. VÜKI'!F15)</f>
        <v>121000</v>
      </c>
      <c r="F107" s="122">
        <f>SUM('18. VÜKI'!G15)</f>
        <v>121000</v>
      </c>
      <c r="G107" s="122">
        <f>SUM('18. VÜKI'!H15)</f>
        <v>121000</v>
      </c>
      <c r="H107" s="122">
        <f>SUM('18. VÜKI'!I15)</f>
        <v>121000</v>
      </c>
      <c r="I107" s="122">
        <f>SUM('18. VÜKI'!J15)</f>
        <v>51400</v>
      </c>
    </row>
    <row r="108" spans="1:9" ht="12.75" customHeight="1">
      <c r="A108" s="118" t="s">
        <v>49</v>
      </c>
      <c r="B108" s="95"/>
      <c r="C108" s="288" t="s">
        <v>673</v>
      </c>
      <c r="D108" s="122">
        <f>SUM('18. VÜKI'!E16)</f>
        <v>19307971</v>
      </c>
      <c r="E108" s="122">
        <f>SUM('18. VÜKI'!F16)</f>
        <v>19300000</v>
      </c>
      <c r="F108" s="122">
        <f>SUM('18. VÜKI'!G16)</f>
        <v>16887501</v>
      </c>
      <c r="G108" s="122">
        <f>SUM('18. VÜKI'!H16)</f>
        <v>16887501</v>
      </c>
      <c r="H108" s="122">
        <f>SUM('18. VÜKI'!I16)</f>
        <v>16887501</v>
      </c>
      <c r="I108" s="122">
        <f>SUM('18. VÜKI'!J16)</f>
        <v>16996505</v>
      </c>
    </row>
    <row r="109" spans="1:9" ht="12.75" customHeight="1">
      <c r="A109" s="118" t="s">
        <v>51</v>
      </c>
      <c r="B109" s="95"/>
      <c r="C109" s="288" t="s">
        <v>179</v>
      </c>
      <c r="D109" s="122">
        <f>SUM('18. VÜKI'!E17)</f>
        <v>5306389</v>
      </c>
      <c r="E109" s="122">
        <f>SUM('18. VÜKI'!F17)</f>
        <v>5300000</v>
      </c>
      <c r="F109" s="122">
        <f>SUM('18. VÜKI'!G17)</f>
        <v>4648625</v>
      </c>
      <c r="G109" s="122">
        <f>SUM('18. VÜKI'!H17)</f>
        <v>4648625</v>
      </c>
      <c r="H109" s="122">
        <f>SUM('18. VÜKI'!I17)</f>
        <v>4648625</v>
      </c>
      <c r="I109" s="122">
        <f>SUM('18. VÜKI'!J17)</f>
        <v>7943862</v>
      </c>
    </row>
    <row r="110" spans="1:9" ht="12.75" customHeight="1">
      <c r="A110" s="118" t="s">
        <v>53</v>
      </c>
      <c r="B110" s="95"/>
      <c r="C110" s="286" t="s">
        <v>585</v>
      </c>
      <c r="D110" s="122">
        <f>SUM('18. VÜKI'!E19)</f>
        <v>0</v>
      </c>
      <c r="E110" s="122">
        <f>SUM('18. VÜKI'!F19)</f>
        <v>0</v>
      </c>
      <c r="F110" s="122">
        <f>SUM('18. VÜKI'!G19)</f>
        <v>1</v>
      </c>
      <c r="G110" s="122">
        <f>SUM('18. VÜKI'!H19)</f>
        <v>1</v>
      </c>
      <c r="H110" s="122">
        <f>SUM('18. VÜKI'!I19)</f>
        <v>1</v>
      </c>
      <c r="I110" s="122">
        <f>SUM('18. VÜKI'!J19)</f>
        <v>1</v>
      </c>
    </row>
    <row r="111" spans="1:9" ht="12.75" customHeight="1">
      <c r="A111" s="118" t="s">
        <v>55</v>
      </c>
      <c r="B111" s="95"/>
      <c r="C111" s="294" t="s">
        <v>181</v>
      </c>
      <c r="D111" s="122">
        <f>SUM('18. VÜKI'!E18)</f>
        <v>253</v>
      </c>
      <c r="E111" s="122">
        <f>SUM('18. VÜKI'!F18)</f>
        <v>0</v>
      </c>
      <c r="F111" s="122">
        <f>SUM('18. VÜKI'!G18)</f>
        <v>47</v>
      </c>
      <c r="G111" s="122">
        <f>SUM('18. VÜKI'!H18)</f>
        <v>100</v>
      </c>
      <c r="H111" s="122">
        <f>SUM('18. VÜKI'!I18)</f>
        <v>150</v>
      </c>
      <c r="I111" s="122">
        <f>SUM('18. VÜKI'!J18)</f>
        <v>408</v>
      </c>
    </row>
    <row r="112" spans="1:9" s="10" customFormat="1" ht="12.75" customHeight="1">
      <c r="A112" s="111" t="s">
        <v>57</v>
      </c>
      <c r="B112" s="381" t="s">
        <v>166</v>
      </c>
      <c r="C112" s="331" t="s">
        <v>216</v>
      </c>
      <c r="D112" s="368">
        <f aca="true" t="shared" si="16" ref="D112:I112">SUM(D105:D111)</f>
        <v>24961549</v>
      </c>
      <c r="E112" s="368">
        <f t="shared" si="16"/>
        <v>24947500</v>
      </c>
      <c r="F112" s="368">
        <f t="shared" si="16"/>
        <v>21773674</v>
      </c>
      <c r="G112" s="368">
        <f t="shared" si="16"/>
        <v>21773727</v>
      </c>
      <c r="H112" s="368">
        <f t="shared" si="16"/>
        <v>21773777</v>
      </c>
      <c r="I112" s="368">
        <f t="shared" si="16"/>
        <v>37365910</v>
      </c>
    </row>
    <row r="113" spans="1:9" s="10" customFormat="1" ht="27" customHeight="1">
      <c r="A113" s="111" t="s">
        <v>86</v>
      </c>
      <c r="B113" s="381" t="s">
        <v>173</v>
      </c>
      <c r="C113" s="835" t="s">
        <v>165</v>
      </c>
      <c r="D113" s="368">
        <f>SUM('18. VÜKI'!E10)</f>
        <v>1090635</v>
      </c>
      <c r="E113" s="368">
        <f>SUM('18. VÜKI'!F10)</f>
        <v>0</v>
      </c>
      <c r="F113" s="368">
        <f>SUM('18. VÜKI'!G10)</f>
        <v>0</v>
      </c>
      <c r="G113" s="368">
        <f>SUM('18. VÜKI'!H10)</f>
        <v>0</v>
      </c>
      <c r="H113" s="368">
        <f>SUM('18. VÜKI'!I10)</f>
        <v>1387847</v>
      </c>
      <c r="I113" s="368">
        <f>SUM('18. VÜKI'!J10)</f>
        <v>1387847</v>
      </c>
    </row>
    <row r="114" spans="1:9" s="10" customFormat="1" ht="12.75" customHeight="1">
      <c r="A114" s="109">
        <v>10</v>
      </c>
      <c r="B114" s="381"/>
      <c r="C114" s="288" t="s">
        <v>220</v>
      </c>
      <c r="D114" s="122">
        <f>SUM('18. VÜKI'!E21)</f>
        <v>1347397</v>
      </c>
      <c r="E114" s="122">
        <f>SUM('18. VÜKI'!F21)</f>
        <v>530936</v>
      </c>
      <c r="F114" s="122">
        <f>SUM('18. VÜKI'!G21)</f>
        <v>530936</v>
      </c>
      <c r="G114" s="122">
        <f>SUM('18. VÜKI'!H21)</f>
        <v>530936</v>
      </c>
      <c r="H114" s="122">
        <f>SUM('18. VÜKI'!I21)</f>
        <v>530936</v>
      </c>
      <c r="I114" s="122">
        <f>SUM('18. VÜKI'!J21)</f>
        <v>530936</v>
      </c>
    </row>
    <row r="115" spans="1:9" s="10" customFormat="1" ht="12.75" customHeight="1">
      <c r="A115" s="109" t="s">
        <v>61</v>
      </c>
      <c r="B115" s="381"/>
      <c r="C115" s="136" t="s">
        <v>604</v>
      </c>
      <c r="D115" s="603">
        <f>SUM('18. VÜKI'!E24)</f>
        <v>42979456</v>
      </c>
      <c r="E115" s="603">
        <f>SUM('18. VÜKI'!F24)</f>
        <v>55277390</v>
      </c>
      <c r="F115" s="603">
        <f>SUM('18. VÜKI'!G24)</f>
        <v>55277390</v>
      </c>
      <c r="G115" s="603">
        <f>SUM('18. VÜKI'!H24)</f>
        <v>53818350</v>
      </c>
      <c r="H115" s="603">
        <f>SUM('18. VÜKI'!I24)</f>
        <v>53818350</v>
      </c>
      <c r="I115" s="603">
        <f>SUM('18. VÜKI'!J24)</f>
        <v>53537135</v>
      </c>
    </row>
    <row r="116" spans="1:9" s="10" customFormat="1" ht="12.75" customHeight="1">
      <c r="A116" s="287" t="s">
        <v>63</v>
      </c>
      <c r="B116" s="605"/>
      <c r="C116" s="309" t="s">
        <v>683</v>
      </c>
      <c r="D116" s="604">
        <f>SUM('18. VÜKI'!E23)</f>
        <v>27049315</v>
      </c>
      <c r="E116" s="604">
        <f>SUM('18. VÜKI'!F23)</f>
        <v>22416899</v>
      </c>
      <c r="F116" s="604">
        <f>SUM('18. VÜKI'!G23)</f>
        <v>22450622</v>
      </c>
      <c r="G116" s="604">
        <f>SUM('18. VÜKI'!H23)</f>
        <v>23972641</v>
      </c>
      <c r="H116" s="604">
        <f>SUM('18. VÜKI'!I23)</f>
        <v>24018300</v>
      </c>
      <c r="I116" s="604">
        <f>SUM('18. VÜKI'!J23)</f>
        <v>24018300</v>
      </c>
    </row>
    <row r="117" spans="1:9" s="10" customFormat="1" ht="12.75" customHeight="1" thickBot="1">
      <c r="A117" s="382" t="s">
        <v>65</v>
      </c>
      <c r="B117" s="383" t="s">
        <v>173</v>
      </c>
      <c r="C117" s="353" t="s">
        <v>602</v>
      </c>
      <c r="D117" s="384">
        <f aca="true" t="shared" si="17" ref="D117:I117">SUM(D114:D115)+D116</f>
        <v>71376168</v>
      </c>
      <c r="E117" s="384">
        <f t="shared" si="17"/>
        <v>78225225</v>
      </c>
      <c r="F117" s="384">
        <f t="shared" si="17"/>
        <v>78258948</v>
      </c>
      <c r="G117" s="384">
        <f t="shared" si="17"/>
        <v>78321927</v>
      </c>
      <c r="H117" s="384">
        <f t="shared" si="17"/>
        <v>78367586</v>
      </c>
      <c r="I117" s="384">
        <f t="shared" si="17"/>
        <v>78086371</v>
      </c>
    </row>
    <row r="118" spans="1:9" ht="36.75" customHeight="1" thickBot="1">
      <c r="A118" s="379" t="s">
        <v>92</v>
      </c>
      <c r="B118" s="376"/>
      <c r="C118" s="385" t="s">
        <v>243</v>
      </c>
      <c r="D118" s="377">
        <f aca="true" t="shared" si="18" ref="D118:I118">SUM(D112+D117)+D113</f>
        <v>97428352</v>
      </c>
      <c r="E118" s="377">
        <f t="shared" si="18"/>
        <v>103172725</v>
      </c>
      <c r="F118" s="377">
        <f t="shared" si="18"/>
        <v>100032622</v>
      </c>
      <c r="G118" s="377">
        <f t="shared" si="18"/>
        <v>100095654</v>
      </c>
      <c r="H118" s="377">
        <f t="shared" si="18"/>
        <v>101529210</v>
      </c>
      <c r="I118" s="377">
        <f t="shared" si="18"/>
        <v>116840128</v>
      </c>
    </row>
    <row r="119" spans="1:3" ht="12.75" customHeight="1">
      <c r="A119" s="90"/>
      <c r="C119" s="64"/>
    </row>
    <row r="120" spans="1:9" ht="12.75" customHeight="1">
      <c r="A120" s="90"/>
      <c r="C120" s="10" t="s">
        <v>244</v>
      </c>
      <c r="D120" s="52">
        <f aca="true" t="shared" si="19" ref="D120:I120">D118+D100+D84+D62+D43</f>
        <v>1581130865</v>
      </c>
      <c r="E120" s="52">
        <f t="shared" si="19"/>
        <v>1311051406</v>
      </c>
      <c r="F120" s="52">
        <f t="shared" si="19"/>
        <v>1494424882</v>
      </c>
      <c r="G120" s="52">
        <f t="shared" si="19"/>
        <v>1533777965</v>
      </c>
      <c r="H120" s="52">
        <f t="shared" si="19"/>
        <v>1536441773</v>
      </c>
      <c r="I120" s="52">
        <f t="shared" si="19"/>
        <v>1661494763</v>
      </c>
    </row>
    <row r="121" spans="1:9" s="6" customFormat="1" ht="12.75" customHeight="1">
      <c r="A121" s="123"/>
      <c r="C121" s="124"/>
      <c r="D121" s="125"/>
      <c r="E121" s="125"/>
      <c r="F121" s="125"/>
      <c r="G121" s="125"/>
      <c r="H121" s="125"/>
      <c r="I121" s="125"/>
    </row>
  </sheetData>
  <sheetProtection selectLockedCells="1" selectUnlockedCells="1"/>
  <mergeCells count="14">
    <mergeCell ref="A4:I4"/>
    <mergeCell ref="A5:I5"/>
    <mergeCell ref="A64:B65"/>
    <mergeCell ref="A85:C85"/>
    <mergeCell ref="A86:B87"/>
    <mergeCell ref="A1:H1"/>
    <mergeCell ref="A7:C7"/>
    <mergeCell ref="D3:G3"/>
    <mergeCell ref="A103:B104"/>
    <mergeCell ref="A8:B9"/>
    <mergeCell ref="A44:C44"/>
    <mergeCell ref="A45:B46"/>
    <mergeCell ref="A63:C63"/>
    <mergeCell ref="A2:I2"/>
  </mergeCells>
  <printOptions horizontalCentered="1"/>
  <pageMargins left="0.3937007874015748" right="0.3937007874015748" top="0.4724409448818898" bottom="0.4724409448818898" header="0.5118110236220472" footer="0.7874015748031497"/>
  <pageSetup horizontalDpi="600" verticalDpi="600" orientation="portrait" paperSize="9" scale="55" r:id="rId1"/>
  <rowBreaks count="1" manualBreakCount="1">
    <brk id="8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F283"/>
  <sheetViews>
    <sheetView showGridLines="0" view="pageBreakPreview" zoomScale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D4" sqref="D4:G4"/>
    </sheetView>
  </sheetViews>
  <sheetFormatPr defaultColWidth="11.7109375" defaultRowHeight="12.75" customHeight="1"/>
  <cols>
    <col min="1" max="1" width="6.7109375" style="1187" customWidth="1"/>
    <col min="2" max="2" width="3.8515625" style="5" customWidth="1"/>
    <col min="3" max="3" width="56.28125" style="5" customWidth="1"/>
    <col min="4" max="4" width="9.7109375" style="5" customWidth="1"/>
    <col min="5" max="5" width="16.57421875" style="52" customWidth="1"/>
    <col min="6" max="6" width="16.7109375" style="52" customWidth="1"/>
    <col min="7" max="10" width="17.8515625" style="52" customWidth="1"/>
    <col min="11" max="16384" width="11.7109375" style="5" customWidth="1"/>
  </cols>
  <sheetData>
    <row r="1" spans="1:9" s="88" customFormat="1" ht="18" customHeight="1">
      <c r="A1" s="1857" t="s">
        <v>245</v>
      </c>
      <c r="B1" s="1857"/>
      <c r="C1" s="1857"/>
      <c r="D1" s="1857"/>
      <c r="E1" s="1857"/>
      <c r="F1" s="1857"/>
      <c r="G1" s="1857"/>
      <c r="H1" s="1857"/>
      <c r="I1" s="1857"/>
    </row>
    <row r="2" spans="1:10" ht="12.75" customHeight="1">
      <c r="A2" s="1892" t="s">
        <v>1295</v>
      </c>
      <c r="B2" s="1892"/>
      <c r="C2" s="1892"/>
      <c r="D2" s="1892"/>
      <c r="E2" s="1892"/>
      <c r="F2" s="1892"/>
      <c r="G2" s="1892"/>
      <c r="H2" s="1892"/>
      <c r="I2" s="1892"/>
      <c r="J2" s="1892"/>
    </row>
    <row r="3" spans="1:10" ht="12.75" customHeight="1">
      <c r="A3" s="1892"/>
      <c r="B3" s="1892"/>
      <c r="C3" s="1892"/>
      <c r="D3" s="1892"/>
      <c r="E3" s="1892"/>
      <c r="F3" s="1892"/>
      <c r="G3" s="1892"/>
      <c r="H3" s="1892"/>
      <c r="I3" s="1892"/>
      <c r="J3" s="1892"/>
    </row>
    <row r="4" spans="1:10" ht="24" customHeight="1">
      <c r="A4" s="1816"/>
      <c r="B4" s="1816"/>
      <c r="C4" s="1816"/>
      <c r="D4" s="1891" t="s">
        <v>1296</v>
      </c>
      <c r="E4" s="1891"/>
      <c r="F4" s="1891"/>
      <c r="G4" s="1891"/>
      <c r="H4" s="1816" t="s">
        <v>1300</v>
      </c>
      <c r="I4" s="1816"/>
      <c r="J4" s="1816"/>
    </row>
    <row r="5" spans="1:10" ht="12.75" customHeight="1">
      <c r="A5" s="1874" t="s">
        <v>1148</v>
      </c>
      <c r="B5" s="1874"/>
      <c r="C5" s="1874"/>
      <c r="D5" s="1874"/>
      <c r="E5" s="1874"/>
      <c r="F5" s="1874"/>
      <c r="G5" s="1874"/>
      <c r="H5" s="1874"/>
      <c r="I5" s="1874"/>
      <c r="J5" s="1874"/>
    </row>
    <row r="6" spans="1:10" ht="12.75" customHeight="1">
      <c r="A6" s="1874"/>
      <c r="B6" s="1874"/>
      <c r="C6" s="1874"/>
      <c r="D6" s="1874"/>
      <c r="E6" s="1874"/>
      <c r="F6" s="1874"/>
      <c r="G6" s="1874"/>
      <c r="H6" s="1874"/>
      <c r="I6" s="1874"/>
      <c r="J6" s="1874"/>
    </row>
    <row r="7" spans="1:10" ht="12.75" customHeight="1">
      <c r="A7" s="1874"/>
      <c r="B7" s="1874"/>
      <c r="C7" s="1874"/>
      <c r="D7" s="1874"/>
      <c r="E7" s="1874"/>
      <c r="F7" s="1874"/>
      <c r="G7" s="1874"/>
      <c r="H7" s="1874"/>
      <c r="I7" s="1874"/>
      <c r="J7" s="1874"/>
    </row>
    <row r="8" spans="1:10" ht="12.75" customHeight="1">
      <c r="A8" s="1197"/>
      <c r="B8" s="126"/>
      <c r="C8" s="126"/>
      <c r="D8" s="126"/>
      <c r="E8" s="117"/>
      <c r="F8" s="117"/>
      <c r="G8" s="117"/>
      <c r="H8" s="117"/>
      <c r="I8" s="117"/>
      <c r="J8" s="117"/>
    </row>
    <row r="9" spans="2:10" ht="12" customHeight="1" thickBot="1">
      <c r="B9" s="126"/>
      <c r="C9" s="126"/>
      <c r="D9" s="126"/>
      <c r="E9" s="840"/>
      <c r="F9" s="840"/>
      <c r="G9" s="840"/>
      <c r="H9" s="840"/>
      <c r="I9" s="840"/>
      <c r="J9" s="840" t="s">
        <v>214</v>
      </c>
    </row>
    <row r="10" spans="1:10" ht="48" customHeight="1">
      <c r="A10" s="1845" t="s">
        <v>156</v>
      </c>
      <c r="B10" s="1901"/>
      <c r="C10" s="386" t="s">
        <v>246</v>
      </c>
      <c r="D10" s="386" t="s">
        <v>1149</v>
      </c>
      <c r="E10" s="349" t="s">
        <v>1071</v>
      </c>
      <c r="F10" s="349" t="s">
        <v>1072</v>
      </c>
      <c r="G10" s="349" t="s">
        <v>1157</v>
      </c>
      <c r="H10" s="349" t="s">
        <v>1178</v>
      </c>
      <c r="I10" s="349" t="s">
        <v>1250</v>
      </c>
      <c r="J10" s="349" t="s">
        <v>1267</v>
      </c>
    </row>
    <row r="11" spans="1:10" ht="12.75" customHeight="1" thickBot="1">
      <c r="A11" s="1902"/>
      <c r="B11" s="1903"/>
      <c r="C11" s="387" t="s">
        <v>158</v>
      </c>
      <c r="D11" s="387" t="s">
        <v>159</v>
      </c>
      <c r="E11" s="351" t="s">
        <v>160</v>
      </c>
      <c r="F11" s="351" t="s">
        <v>161</v>
      </c>
      <c r="G11" s="351" t="s">
        <v>456</v>
      </c>
      <c r="H11" s="351" t="s">
        <v>476</v>
      </c>
      <c r="I11" s="351" t="s">
        <v>701</v>
      </c>
      <c r="J11" s="351" t="s">
        <v>782</v>
      </c>
    </row>
    <row r="12" spans="1:10" s="129" customFormat="1" ht="19.5" customHeight="1">
      <c r="A12" s="1198" t="s">
        <v>38</v>
      </c>
      <c r="B12" s="1040" t="s">
        <v>164</v>
      </c>
      <c r="C12" s="1041" t="s">
        <v>512</v>
      </c>
      <c r="D12" s="1041"/>
      <c r="E12" s="1041">
        <f aca="true" t="shared" si="0" ref="E12:J12">SUM(E13)</f>
        <v>0</v>
      </c>
      <c r="F12" s="1041">
        <f t="shared" si="0"/>
        <v>0</v>
      </c>
      <c r="G12" s="1041">
        <f t="shared" si="0"/>
        <v>0</v>
      </c>
      <c r="H12" s="1041">
        <f t="shared" si="0"/>
        <v>0</v>
      </c>
      <c r="I12" s="1041">
        <f t="shared" si="0"/>
        <v>0</v>
      </c>
      <c r="J12" s="1041">
        <f t="shared" si="0"/>
        <v>0</v>
      </c>
    </row>
    <row r="13" spans="1:10" s="64" customFormat="1" ht="12.75" customHeight="1">
      <c r="A13" s="1199" t="s">
        <v>40</v>
      </c>
      <c r="B13" s="1042"/>
      <c r="C13" s="1043" t="s">
        <v>247</v>
      </c>
      <c r="D13" s="1043"/>
      <c r="E13" s="1043"/>
      <c r="F13" s="1043"/>
      <c r="G13" s="1043"/>
      <c r="H13" s="1043"/>
      <c r="I13" s="1043"/>
      <c r="J13" s="1043"/>
    </row>
    <row r="14" spans="1:10" ht="12.75" customHeight="1">
      <c r="A14" s="1200" t="s">
        <v>47</v>
      </c>
      <c r="B14" s="1044" t="s">
        <v>166</v>
      </c>
      <c r="C14" s="1045" t="s">
        <v>248</v>
      </c>
      <c r="D14" s="1045"/>
      <c r="E14" s="1045">
        <f aca="true" t="shared" si="1" ref="E14:J14">SUM(E15)</f>
        <v>200000</v>
      </c>
      <c r="F14" s="1045">
        <f t="shared" si="1"/>
        <v>200000</v>
      </c>
      <c r="G14" s="1045">
        <f t="shared" si="1"/>
        <v>200000</v>
      </c>
      <c r="H14" s="1045">
        <f t="shared" si="1"/>
        <v>200000</v>
      </c>
      <c r="I14" s="1045">
        <f t="shared" si="1"/>
        <v>200000</v>
      </c>
      <c r="J14" s="1045">
        <f t="shared" si="1"/>
        <v>200000</v>
      </c>
    </row>
    <row r="15" spans="1:10" ht="12.75" customHeight="1">
      <c r="A15" s="1199" t="s">
        <v>49</v>
      </c>
      <c r="B15" s="1042"/>
      <c r="C15" s="1043" t="s">
        <v>247</v>
      </c>
      <c r="D15" s="1043"/>
      <c r="E15" s="1043">
        <v>200000</v>
      </c>
      <c r="F15" s="1043">
        <v>200000</v>
      </c>
      <c r="G15" s="1043">
        <v>200000</v>
      </c>
      <c r="H15" s="1043">
        <v>200000</v>
      </c>
      <c r="I15" s="1043">
        <v>200000</v>
      </c>
      <c r="J15" s="1043">
        <v>200000</v>
      </c>
    </row>
    <row r="16" spans="1:10" ht="12.75" customHeight="1">
      <c r="A16" s="1199" t="s">
        <v>51</v>
      </c>
      <c r="B16" s="1042"/>
      <c r="C16" s="1043" t="s">
        <v>249</v>
      </c>
      <c r="D16" s="1043"/>
      <c r="E16" s="1043">
        <v>0</v>
      </c>
      <c r="F16" s="1043">
        <v>0</v>
      </c>
      <c r="G16" s="1043">
        <v>0</v>
      </c>
      <c r="H16" s="1043">
        <v>0</v>
      </c>
      <c r="I16" s="1043">
        <v>0</v>
      </c>
      <c r="J16" s="1043">
        <v>0</v>
      </c>
    </row>
    <row r="17" spans="1:10" ht="12.75" customHeight="1">
      <c r="A17" s="1200" t="s">
        <v>53</v>
      </c>
      <c r="B17" s="1044" t="s">
        <v>173</v>
      </c>
      <c r="C17" s="1045" t="s">
        <v>513</v>
      </c>
      <c r="D17" s="1045"/>
      <c r="E17" s="1045">
        <f aca="true" t="shared" si="2" ref="E17:J17">SUM(E18)</f>
        <v>7000000</v>
      </c>
      <c r="F17" s="1045">
        <f t="shared" si="2"/>
        <v>7000000</v>
      </c>
      <c r="G17" s="1045">
        <f t="shared" si="2"/>
        <v>7000000</v>
      </c>
      <c r="H17" s="1045">
        <f t="shared" si="2"/>
        <v>7000000</v>
      </c>
      <c r="I17" s="1045">
        <f t="shared" si="2"/>
        <v>7000000</v>
      </c>
      <c r="J17" s="1045">
        <f t="shared" si="2"/>
        <v>7000000</v>
      </c>
    </row>
    <row r="18" spans="1:10" ht="12.75" customHeight="1">
      <c r="A18" s="1199" t="s">
        <v>55</v>
      </c>
      <c r="B18" s="1042"/>
      <c r="C18" s="1043" t="s">
        <v>247</v>
      </c>
      <c r="D18" s="1043"/>
      <c r="E18" s="1043">
        <v>7000000</v>
      </c>
      <c r="F18" s="1043">
        <v>7000000</v>
      </c>
      <c r="G18" s="1043">
        <v>7000000</v>
      </c>
      <c r="H18" s="1043">
        <v>7000000</v>
      </c>
      <c r="I18" s="1043">
        <v>7000000</v>
      </c>
      <c r="J18" s="1043">
        <v>7000000</v>
      </c>
    </row>
    <row r="19" spans="1:10" ht="12.75" customHeight="1">
      <c r="A19" s="1200" t="s">
        <v>57</v>
      </c>
      <c r="B19" s="1044" t="s">
        <v>182</v>
      </c>
      <c r="C19" s="1045" t="s">
        <v>254</v>
      </c>
      <c r="D19" s="1045"/>
      <c r="E19" s="1045">
        <f aca="true" t="shared" si="3" ref="E19:J19">SUM(E20)</f>
        <v>100000</v>
      </c>
      <c r="F19" s="1045">
        <f t="shared" si="3"/>
        <v>100000</v>
      </c>
      <c r="G19" s="1045">
        <f t="shared" si="3"/>
        <v>100000</v>
      </c>
      <c r="H19" s="1045">
        <f t="shared" si="3"/>
        <v>100000</v>
      </c>
      <c r="I19" s="1045">
        <f t="shared" si="3"/>
        <v>100000</v>
      </c>
      <c r="J19" s="1045">
        <f t="shared" si="3"/>
        <v>100000</v>
      </c>
    </row>
    <row r="20" spans="1:10" ht="12.75" customHeight="1">
      <c r="A20" s="1199" t="s">
        <v>86</v>
      </c>
      <c r="B20" s="1042"/>
      <c r="C20" s="1043" t="s">
        <v>247</v>
      </c>
      <c r="D20" s="1043"/>
      <c r="E20" s="1043">
        <v>100000</v>
      </c>
      <c r="F20" s="1043">
        <v>100000</v>
      </c>
      <c r="G20" s="1043">
        <v>100000</v>
      </c>
      <c r="H20" s="1043">
        <v>100000</v>
      </c>
      <c r="I20" s="1043">
        <v>100000</v>
      </c>
      <c r="J20" s="1043">
        <v>100000</v>
      </c>
    </row>
    <row r="21" spans="1:10" ht="12.75" customHeight="1">
      <c r="A21" s="1200" t="s">
        <v>59</v>
      </c>
      <c r="B21" s="1044" t="s">
        <v>183</v>
      </c>
      <c r="C21" s="1045" t="s">
        <v>936</v>
      </c>
      <c r="D21" s="1045"/>
      <c r="E21" s="1045">
        <v>0</v>
      </c>
      <c r="F21" s="1045">
        <v>0</v>
      </c>
      <c r="G21" s="1045">
        <v>0</v>
      </c>
      <c r="H21" s="1045">
        <v>0</v>
      </c>
      <c r="I21" s="1045">
        <v>0</v>
      </c>
      <c r="J21" s="1045">
        <v>0</v>
      </c>
    </row>
    <row r="22" spans="1:10" ht="12.75" customHeight="1">
      <c r="A22" s="1199" t="s">
        <v>61</v>
      </c>
      <c r="B22" s="1042"/>
      <c r="C22" s="1043" t="s">
        <v>125</v>
      </c>
      <c r="D22" s="1043"/>
      <c r="E22" s="1043"/>
      <c r="F22" s="1043"/>
      <c r="G22" s="1043"/>
      <c r="H22" s="1043"/>
      <c r="I22" s="1043"/>
      <c r="J22" s="1043"/>
    </row>
    <row r="23" spans="1:10" ht="12.75" customHeight="1">
      <c r="A23" s="1200" t="s">
        <v>63</v>
      </c>
      <c r="B23" s="1044" t="s">
        <v>184</v>
      </c>
      <c r="C23" s="1045" t="s">
        <v>255</v>
      </c>
      <c r="D23" s="1045">
        <v>0</v>
      </c>
      <c r="E23" s="1045">
        <f aca="true" t="shared" si="4" ref="E23:J23">SUM(E24:E28)</f>
        <v>1898214</v>
      </c>
      <c r="F23" s="1045">
        <f t="shared" si="4"/>
        <v>1898214</v>
      </c>
      <c r="G23" s="1045">
        <f t="shared" si="4"/>
        <v>0</v>
      </c>
      <c r="H23" s="1045">
        <f t="shared" si="4"/>
        <v>4112979</v>
      </c>
      <c r="I23" s="1045">
        <f t="shared" si="4"/>
        <v>4112979</v>
      </c>
      <c r="J23" s="1045">
        <f t="shared" si="4"/>
        <v>4112979</v>
      </c>
    </row>
    <row r="24" spans="1:10" ht="12.75" customHeight="1">
      <c r="A24" s="1199" t="s">
        <v>65</v>
      </c>
      <c r="B24" s="1042"/>
      <c r="C24" s="1043" t="s">
        <v>250</v>
      </c>
      <c r="D24" s="1043"/>
      <c r="E24" s="552">
        <v>1452525</v>
      </c>
      <c r="F24" s="552">
        <v>1452525</v>
      </c>
      <c r="G24" s="552">
        <v>0</v>
      </c>
      <c r="H24" s="552">
        <v>966000</v>
      </c>
      <c r="I24" s="552">
        <v>966000</v>
      </c>
      <c r="J24" s="552">
        <v>966000</v>
      </c>
    </row>
    <row r="25" spans="1:10" ht="12.75" customHeight="1">
      <c r="A25" s="1199" t="s">
        <v>92</v>
      </c>
      <c r="B25" s="1042"/>
      <c r="C25" s="1043" t="s">
        <v>251</v>
      </c>
      <c r="D25" s="1043"/>
      <c r="E25" s="213">
        <v>299970</v>
      </c>
      <c r="F25" s="213">
        <v>299970</v>
      </c>
      <c r="G25" s="213">
        <v>0</v>
      </c>
      <c r="H25" s="213">
        <v>169056</v>
      </c>
      <c r="I25" s="213">
        <v>169056</v>
      </c>
      <c r="J25" s="213">
        <v>169056</v>
      </c>
    </row>
    <row r="26" spans="1:10" ht="12.75" customHeight="1">
      <c r="A26" s="1199" t="s">
        <v>66</v>
      </c>
      <c r="B26" s="1046"/>
      <c r="C26" s="1047" t="s">
        <v>252</v>
      </c>
      <c r="D26" s="1047"/>
      <c r="E26" s="1043"/>
      <c r="F26" s="1043"/>
      <c r="G26" s="1043"/>
      <c r="H26" s="1043"/>
      <c r="I26" s="1043"/>
      <c r="J26" s="1043"/>
    </row>
    <row r="27" spans="1:10" ht="12.75" customHeight="1">
      <c r="A27" s="1199" t="s">
        <v>67</v>
      </c>
      <c r="B27" s="1046"/>
      <c r="C27" s="1047" t="s">
        <v>640</v>
      </c>
      <c r="D27" s="1047"/>
      <c r="E27" s="1043"/>
      <c r="F27" s="1043"/>
      <c r="G27" s="1043"/>
      <c r="H27" s="1043"/>
      <c r="I27" s="1043"/>
      <c r="J27" s="1043"/>
    </row>
    <row r="28" spans="1:10" ht="12.75" customHeight="1">
      <c r="A28" s="1199" t="s">
        <v>68</v>
      </c>
      <c r="B28" s="1046"/>
      <c r="C28" s="1047" t="s">
        <v>613</v>
      </c>
      <c r="D28" s="1047"/>
      <c r="E28" s="1043">
        <v>145719</v>
      </c>
      <c r="F28" s="1043">
        <v>145719</v>
      </c>
      <c r="G28" s="1043">
        <v>0</v>
      </c>
      <c r="H28" s="1043">
        <v>2977923</v>
      </c>
      <c r="I28" s="1043">
        <v>2977923</v>
      </c>
      <c r="J28" s="1043">
        <v>2977923</v>
      </c>
    </row>
    <row r="29" spans="1:10" ht="12.75" customHeight="1">
      <c r="A29" s="1200" t="s">
        <v>70</v>
      </c>
      <c r="B29" s="1048" t="s">
        <v>186</v>
      </c>
      <c r="C29" s="1045" t="s">
        <v>257</v>
      </c>
      <c r="D29" s="1045"/>
      <c r="E29" s="1045">
        <f aca="true" t="shared" si="5" ref="E29:J29">SUM(E31:E32)</f>
        <v>200000</v>
      </c>
      <c r="F29" s="1045">
        <f t="shared" si="5"/>
        <v>200000</v>
      </c>
      <c r="G29" s="1045">
        <f t="shared" si="5"/>
        <v>200000</v>
      </c>
      <c r="H29" s="1045">
        <f t="shared" si="5"/>
        <v>200000</v>
      </c>
      <c r="I29" s="1045">
        <f t="shared" si="5"/>
        <v>200000</v>
      </c>
      <c r="J29" s="1045">
        <f t="shared" si="5"/>
        <v>200000</v>
      </c>
    </row>
    <row r="30" spans="1:10" ht="12.75" customHeight="1">
      <c r="A30" s="1199" t="s">
        <v>97</v>
      </c>
      <c r="B30" s="1046"/>
      <c r="C30" s="1043" t="s">
        <v>258</v>
      </c>
      <c r="D30" s="1043"/>
      <c r="E30" s="1043"/>
      <c r="F30" s="1043"/>
      <c r="G30" s="1043"/>
      <c r="H30" s="1043"/>
      <c r="I30" s="1043"/>
      <c r="J30" s="1043"/>
    </row>
    <row r="31" spans="1:10" ht="12.75" customHeight="1">
      <c r="A31" s="1199" t="s">
        <v>99</v>
      </c>
      <c r="B31" s="1046"/>
      <c r="C31" s="1043" t="s">
        <v>249</v>
      </c>
      <c r="D31" s="1043"/>
      <c r="E31" s="1043">
        <v>0</v>
      </c>
      <c r="F31" s="1043">
        <v>0</v>
      </c>
      <c r="G31" s="1043">
        <v>0</v>
      </c>
      <c r="H31" s="1043">
        <v>0</v>
      </c>
      <c r="I31" s="1043">
        <v>0</v>
      </c>
      <c r="J31" s="1043">
        <v>0</v>
      </c>
    </row>
    <row r="32" spans="1:10" ht="12.75" customHeight="1">
      <c r="A32" s="1199" t="s">
        <v>101</v>
      </c>
      <c r="B32" s="1046"/>
      <c r="C32" s="1043" t="s">
        <v>252</v>
      </c>
      <c r="D32" s="1043"/>
      <c r="E32" s="1043">
        <v>200000</v>
      </c>
      <c r="F32" s="1043">
        <v>200000</v>
      </c>
      <c r="G32" s="1043">
        <v>200000</v>
      </c>
      <c r="H32" s="1043">
        <v>200000</v>
      </c>
      <c r="I32" s="1043">
        <v>200000</v>
      </c>
      <c r="J32" s="1043">
        <v>200000</v>
      </c>
    </row>
    <row r="33" spans="1:10" ht="12.75" customHeight="1">
      <c r="A33" s="1200" t="s">
        <v>103</v>
      </c>
      <c r="B33" s="1048" t="s">
        <v>189</v>
      </c>
      <c r="C33" s="1045" t="s">
        <v>937</v>
      </c>
      <c r="D33" s="1045"/>
      <c r="E33" s="1045">
        <v>0</v>
      </c>
      <c r="F33" s="1045">
        <v>0</v>
      </c>
      <c r="G33" s="1045">
        <v>0</v>
      </c>
      <c r="H33" s="1045">
        <v>0</v>
      </c>
      <c r="I33" s="1045">
        <v>0</v>
      </c>
      <c r="J33" s="1045">
        <v>0</v>
      </c>
    </row>
    <row r="34" spans="1:10" ht="12.75" customHeight="1">
      <c r="A34" s="1199" t="s">
        <v>105</v>
      </c>
      <c r="B34" s="1046"/>
      <c r="C34" s="1043" t="s">
        <v>250</v>
      </c>
      <c r="D34" s="1043"/>
      <c r="E34" s="1043"/>
      <c r="F34" s="1043"/>
      <c r="G34" s="1043"/>
      <c r="H34" s="1043"/>
      <c r="I34" s="1043"/>
      <c r="J34" s="1043"/>
    </row>
    <row r="35" spans="1:10" ht="12.75" customHeight="1">
      <c r="A35" s="1199" t="s">
        <v>107</v>
      </c>
      <c r="B35" s="1046"/>
      <c r="C35" s="1043" t="s">
        <v>251</v>
      </c>
      <c r="D35" s="1043"/>
      <c r="E35" s="1043"/>
      <c r="F35" s="1043"/>
      <c r="G35" s="1043"/>
      <c r="H35" s="1043"/>
      <c r="I35" s="1043"/>
      <c r="J35" s="1043"/>
    </row>
    <row r="36" spans="1:10" ht="12.75" customHeight="1">
      <c r="A36" s="1199" t="s">
        <v>109</v>
      </c>
      <c r="B36" s="1046"/>
      <c r="C36" s="1043" t="s">
        <v>256</v>
      </c>
      <c r="D36" s="1043"/>
      <c r="E36" s="1043"/>
      <c r="F36" s="1043"/>
      <c r="G36" s="1043"/>
      <c r="H36" s="1043"/>
      <c r="I36" s="1043"/>
      <c r="J36" s="1043"/>
    </row>
    <row r="37" spans="1:10" ht="12.75" customHeight="1">
      <c r="A37" s="1200" t="s">
        <v>111</v>
      </c>
      <c r="B37" s="1048" t="s">
        <v>191</v>
      </c>
      <c r="C37" s="1045" t="s">
        <v>938</v>
      </c>
      <c r="D37" s="1045"/>
      <c r="E37" s="1045">
        <f aca="true" t="shared" si="6" ref="E37:J37">SUM(E38)</f>
        <v>42686648</v>
      </c>
      <c r="F37" s="1045">
        <f t="shared" si="6"/>
        <v>38291741</v>
      </c>
      <c r="G37" s="1045">
        <f t="shared" si="6"/>
        <v>35778999</v>
      </c>
      <c r="H37" s="1045">
        <f t="shared" si="6"/>
        <v>0</v>
      </c>
      <c r="I37" s="1045">
        <f t="shared" si="6"/>
        <v>0</v>
      </c>
      <c r="J37" s="1045">
        <f t="shared" si="6"/>
        <v>0</v>
      </c>
    </row>
    <row r="38" spans="1:10" ht="12.75" customHeight="1">
      <c r="A38" s="1199" t="s">
        <v>113</v>
      </c>
      <c r="B38" s="1046"/>
      <c r="C38" s="1049" t="s">
        <v>644</v>
      </c>
      <c r="D38" s="1043"/>
      <c r="E38" s="1043">
        <f aca="true" t="shared" si="7" ref="E38:J38">SUM(E39:E44)</f>
        <v>42686648</v>
      </c>
      <c r="F38" s="1043">
        <f t="shared" si="7"/>
        <v>38291741</v>
      </c>
      <c r="G38" s="1043">
        <f t="shared" si="7"/>
        <v>35778999</v>
      </c>
      <c r="H38" s="1043">
        <f t="shared" si="7"/>
        <v>0</v>
      </c>
      <c r="I38" s="1043">
        <f t="shared" si="7"/>
        <v>0</v>
      </c>
      <c r="J38" s="1043">
        <f t="shared" si="7"/>
        <v>0</v>
      </c>
    </row>
    <row r="39" spans="1:10" ht="12.75" customHeight="1">
      <c r="A39" s="1201" t="s">
        <v>115</v>
      </c>
      <c r="B39" s="1050"/>
      <c r="C39" s="1051" t="s">
        <v>643</v>
      </c>
      <c r="D39" s="1052"/>
      <c r="E39" s="550">
        <v>11826840</v>
      </c>
      <c r="F39" s="550">
        <v>11826840</v>
      </c>
      <c r="G39" s="550">
        <v>6634000</v>
      </c>
      <c r="H39" s="550">
        <v>0</v>
      </c>
      <c r="I39" s="550">
        <v>0</v>
      </c>
      <c r="J39" s="550">
        <v>0</v>
      </c>
    </row>
    <row r="40" spans="1:10" ht="12.75" customHeight="1">
      <c r="A40" s="1201" t="s">
        <v>117</v>
      </c>
      <c r="B40" s="1050"/>
      <c r="C40" s="1051" t="s">
        <v>645</v>
      </c>
      <c r="D40" s="1052"/>
      <c r="E40" s="550">
        <v>24880933</v>
      </c>
      <c r="F40" s="550">
        <v>19249254</v>
      </c>
      <c r="G40" s="550">
        <v>23569352</v>
      </c>
      <c r="H40" s="550">
        <v>0</v>
      </c>
      <c r="I40" s="550">
        <v>0</v>
      </c>
      <c r="J40" s="550">
        <v>0</v>
      </c>
    </row>
    <row r="41" spans="1:10" ht="12.75" customHeight="1">
      <c r="A41" s="1201" t="s">
        <v>118</v>
      </c>
      <c r="B41" s="1050"/>
      <c r="C41" s="1053" t="s">
        <v>646</v>
      </c>
      <c r="D41" s="1052"/>
      <c r="E41" s="550">
        <v>2300000</v>
      </c>
      <c r="F41" s="550">
        <v>3500000</v>
      </c>
      <c r="G41" s="550">
        <v>1860000</v>
      </c>
      <c r="H41" s="550">
        <v>0</v>
      </c>
      <c r="I41" s="550">
        <v>0</v>
      </c>
      <c r="J41" s="550">
        <v>0</v>
      </c>
    </row>
    <row r="42" spans="1:10" ht="12" customHeight="1">
      <c r="A42" s="1201" t="s">
        <v>120</v>
      </c>
      <c r="B42" s="1050"/>
      <c r="C42" s="1053" t="s">
        <v>260</v>
      </c>
      <c r="D42" s="1052"/>
      <c r="E42" s="550">
        <v>3228</v>
      </c>
      <c r="F42" s="550">
        <v>40000</v>
      </c>
      <c r="G42" s="550">
        <v>40000</v>
      </c>
      <c r="H42" s="550">
        <v>0</v>
      </c>
      <c r="I42" s="550">
        <v>0</v>
      </c>
      <c r="J42" s="550">
        <v>0</v>
      </c>
    </row>
    <row r="43" spans="1:10" ht="12" customHeight="1">
      <c r="A43" s="1201" t="s">
        <v>122</v>
      </c>
      <c r="B43" s="1054"/>
      <c r="C43" s="1053" t="s">
        <v>939</v>
      </c>
      <c r="D43" s="1053"/>
      <c r="E43" s="1055">
        <v>3175647</v>
      </c>
      <c r="F43" s="1055">
        <v>3175647</v>
      </c>
      <c r="G43" s="1055">
        <v>3175647</v>
      </c>
      <c r="H43" s="1055">
        <v>0</v>
      </c>
      <c r="I43" s="1055">
        <v>0</v>
      </c>
      <c r="J43" s="1055">
        <v>0</v>
      </c>
    </row>
    <row r="44" spans="1:10" ht="12" customHeight="1">
      <c r="A44" s="1201" t="s">
        <v>124</v>
      </c>
      <c r="B44" s="1054"/>
      <c r="C44" s="1053" t="s">
        <v>1014</v>
      </c>
      <c r="D44" s="1053"/>
      <c r="E44" s="1055">
        <v>500000</v>
      </c>
      <c r="F44" s="1055">
        <v>500000</v>
      </c>
      <c r="G44" s="1055">
        <v>500000</v>
      </c>
      <c r="H44" s="1055">
        <v>0</v>
      </c>
      <c r="I44" s="1055">
        <v>0</v>
      </c>
      <c r="J44" s="1055">
        <v>0</v>
      </c>
    </row>
    <row r="45" spans="1:10" ht="12" customHeight="1">
      <c r="A45" s="1201" t="s">
        <v>126</v>
      </c>
      <c r="B45" s="1668" t="s">
        <v>195</v>
      </c>
      <c r="C45" s="1659" t="s">
        <v>1228</v>
      </c>
      <c r="D45" s="1053"/>
      <c r="E45" s="1055"/>
      <c r="F45" s="1055"/>
      <c r="G45" s="1055"/>
      <c r="H45" s="1660">
        <f>SUM(H46:H48)</f>
        <v>1181118</v>
      </c>
      <c r="I45" s="1660">
        <f>SUM(I46:I48)</f>
        <v>1012031</v>
      </c>
      <c r="J45" s="1660">
        <f>SUM(J46:J48)</f>
        <v>628398</v>
      </c>
    </row>
    <row r="46" spans="1:10" ht="12" customHeight="1">
      <c r="A46" s="1201" t="s">
        <v>128</v>
      </c>
      <c r="B46" s="1054"/>
      <c r="C46" s="1053" t="s">
        <v>1198</v>
      </c>
      <c r="D46" s="1053"/>
      <c r="E46" s="1055"/>
      <c r="F46" s="1055"/>
      <c r="G46" s="1055"/>
      <c r="H46" s="1055">
        <v>651105</v>
      </c>
      <c r="I46" s="1055">
        <v>471105</v>
      </c>
      <c r="J46" s="1055">
        <v>571105</v>
      </c>
    </row>
    <row r="47" spans="1:10" ht="12" customHeight="1">
      <c r="A47" s="1201" t="s">
        <v>130</v>
      </c>
      <c r="B47" s="1054"/>
      <c r="C47" s="1053" t="s">
        <v>260</v>
      </c>
      <c r="D47" s="1053"/>
      <c r="E47" s="1055"/>
      <c r="F47" s="1055"/>
      <c r="G47" s="1055"/>
      <c r="H47" s="1055">
        <v>30013</v>
      </c>
      <c r="I47" s="1055">
        <v>40926</v>
      </c>
      <c r="J47" s="1055">
        <v>57293</v>
      </c>
    </row>
    <row r="48" spans="1:10" ht="12" customHeight="1">
      <c r="A48" s="1201" t="s">
        <v>131</v>
      </c>
      <c r="B48" s="1054"/>
      <c r="C48" s="1053" t="s">
        <v>1014</v>
      </c>
      <c r="D48" s="1053"/>
      <c r="E48" s="1055"/>
      <c r="F48" s="1055"/>
      <c r="G48" s="1055"/>
      <c r="H48" s="1055">
        <v>500000</v>
      </c>
      <c r="I48" s="1055">
        <v>500000</v>
      </c>
      <c r="J48" s="1055"/>
    </row>
    <row r="49" spans="1:10" ht="12.75" customHeight="1">
      <c r="A49" s="1200" t="s">
        <v>133</v>
      </c>
      <c r="B49" s="1048" t="s">
        <v>230</v>
      </c>
      <c r="C49" s="139" t="s">
        <v>940</v>
      </c>
      <c r="D49" s="1045"/>
      <c r="E49" s="1056">
        <f aca="true" t="shared" si="8" ref="E49:J49">SUM(E51+E57)</f>
        <v>4209730</v>
      </c>
      <c r="F49" s="1056">
        <f t="shared" si="8"/>
        <v>3453000</v>
      </c>
      <c r="G49" s="1056">
        <f t="shared" si="8"/>
        <v>3803000</v>
      </c>
      <c r="H49" s="1056">
        <f t="shared" si="8"/>
        <v>3453000</v>
      </c>
      <c r="I49" s="1056">
        <f t="shared" si="8"/>
        <v>3453000</v>
      </c>
      <c r="J49" s="1056">
        <f t="shared" si="8"/>
        <v>4980000</v>
      </c>
    </row>
    <row r="50" spans="1:10" ht="12.75" customHeight="1">
      <c r="A50" s="1199" t="s">
        <v>135</v>
      </c>
      <c r="B50" s="1046"/>
      <c r="C50" s="115" t="s">
        <v>125</v>
      </c>
      <c r="D50" s="1043"/>
      <c r="E50" s="502"/>
      <c r="F50" s="502"/>
      <c r="G50" s="502"/>
      <c r="H50" s="502"/>
      <c r="I50" s="502"/>
      <c r="J50" s="502"/>
    </row>
    <row r="51" spans="1:10" s="60" customFormat="1" ht="12.75" customHeight="1">
      <c r="A51" s="1199" t="s">
        <v>137</v>
      </c>
      <c r="B51" s="1046"/>
      <c r="C51" s="115" t="s">
        <v>605</v>
      </c>
      <c r="D51" s="1043"/>
      <c r="E51" s="502">
        <v>3859730</v>
      </c>
      <c r="F51" s="502">
        <v>3453000</v>
      </c>
      <c r="G51" s="502">
        <v>3453000</v>
      </c>
      <c r="H51" s="502">
        <v>3453000</v>
      </c>
      <c r="I51" s="502">
        <v>3453000</v>
      </c>
      <c r="J51" s="502">
        <v>4980000</v>
      </c>
    </row>
    <row r="52" spans="1:10" s="60" customFormat="1" ht="12.75" customHeight="1">
      <c r="A52" s="1202" t="s">
        <v>139</v>
      </c>
      <c r="B52" s="1057"/>
      <c r="C52" s="500" t="s">
        <v>606</v>
      </c>
      <c r="D52" s="1058"/>
      <c r="E52" s="1059">
        <v>1050000</v>
      </c>
      <c r="F52" s="1059">
        <v>1080000</v>
      </c>
      <c r="G52" s="1059">
        <v>1080000</v>
      </c>
      <c r="H52" s="1059">
        <v>1080000</v>
      </c>
      <c r="I52" s="1059">
        <v>1080000</v>
      </c>
      <c r="J52" s="1059">
        <v>2607000</v>
      </c>
    </row>
    <row r="53" spans="1:10" s="60" customFormat="1" ht="12.75" customHeight="1">
      <c r="A53" s="1202" t="s">
        <v>141</v>
      </c>
      <c r="B53" s="1057"/>
      <c r="C53" s="500" t="s">
        <v>661</v>
      </c>
      <c r="D53" s="1058"/>
      <c r="E53" s="1059">
        <v>75000</v>
      </c>
      <c r="F53" s="1059">
        <v>50000</v>
      </c>
      <c r="G53" s="1059">
        <v>50000</v>
      </c>
      <c r="H53" s="1059">
        <v>50000</v>
      </c>
      <c r="I53" s="1059">
        <v>50000</v>
      </c>
      <c r="J53" s="1059">
        <v>50000</v>
      </c>
    </row>
    <row r="54" spans="1:10" ht="12.75" customHeight="1">
      <c r="A54" s="1202" t="s">
        <v>143</v>
      </c>
      <c r="B54" s="1057"/>
      <c r="C54" s="500" t="s">
        <v>607</v>
      </c>
      <c r="D54" s="1058"/>
      <c r="E54" s="1059">
        <v>0</v>
      </c>
      <c r="F54" s="1059">
        <v>0</v>
      </c>
      <c r="G54" s="1059">
        <v>0</v>
      </c>
      <c r="H54" s="1059">
        <v>0</v>
      </c>
      <c r="I54" s="1059">
        <v>0</v>
      </c>
      <c r="J54" s="1059">
        <v>0</v>
      </c>
    </row>
    <row r="55" spans="1:10" ht="12.75" customHeight="1">
      <c r="A55" s="1202" t="s">
        <v>145</v>
      </c>
      <c r="B55" s="1057"/>
      <c r="C55" s="500" t="s">
        <v>608</v>
      </c>
      <c r="D55" s="1058"/>
      <c r="E55" s="1059">
        <v>2734730</v>
      </c>
      <c r="F55" s="1059">
        <v>2323000</v>
      </c>
      <c r="G55" s="1059">
        <v>2323000</v>
      </c>
      <c r="H55" s="1059">
        <v>2323000</v>
      </c>
      <c r="I55" s="1059">
        <v>2323000</v>
      </c>
      <c r="J55" s="1059">
        <v>2323000</v>
      </c>
    </row>
    <row r="56" spans="1:10" s="60" customFormat="1" ht="12.75" customHeight="1">
      <c r="A56" s="1202" t="s">
        <v>147</v>
      </c>
      <c r="B56" s="1057"/>
      <c r="C56" s="500" t="s">
        <v>609</v>
      </c>
      <c r="D56" s="1058"/>
      <c r="E56" s="1058"/>
      <c r="F56" s="1058"/>
      <c r="G56" s="1058"/>
      <c r="H56" s="1058"/>
      <c r="I56" s="1058"/>
      <c r="J56" s="1058"/>
    </row>
    <row r="57" spans="1:10" s="60" customFormat="1" ht="12.75" customHeight="1">
      <c r="A57" s="1199" t="s">
        <v>149</v>
      </c>
      <c r="B57" s="1046"/>
      <c r="C57" s="1061" t="s">
        <v>941</v>
      </c>
      <c r="D57" s="1062"/>
      <c r="E57" s="1043">
        <v>350000</v>
      </c>
      <c r="F57" s="1043"/>
      <c r="G57" s="1043">
        <v>350000</v>
      </c>
      <c r="H57" s="1043">
        <v>0</v>
      </c>
      <c r="I57" s="1043">
        <v>0</v>
      </c>
      <c r="J57" s="1043">
        <v>0</v>
      </c>
    </row>
    <row r="58" spans="1:10" s="60" customFormat="1" ht="12.75" customHeight="1">
      <c r="A58" s="1200" t="s">
        <v>151</v>
      </c>
      <c r="B58" s="1048" t="s">
        <v>514</v>
      </c>
      <c r="C58" s="1063" t="s">
        <v>262</v>
      </c>
      <c r="D58" s="1064">
        <v>12</v>
      </c>
      <c r="E58" s="1045">
        <f>SUM(E59+E60+E61+E64+E65+E66)+E68</f>
        <v>854145362</v>
      </c>
      <c r="F58" s="1045">
        <f>SUM(F59+F60+F61+F64+F65+F66)+F68</f>
        <v>539868521</v>
      </c>
      <c r="G58" s="1045">
        <f>SUM(G59+G60+G61+G64+G65+G66)+G68</f>
        <v>731315197</v>
      </c>
      <c r="H58" s="1045">
        <f>SUM(H59+H60+H61+H64+H65+H66)+H68+H69</f>
        <v>762054649</v>
      </c>
      <c r="I58" s="1045">
        <f>SUM(I59+I60+I61+I64+I65+I66)+I68+I69+I67</f>
        <v>759140773</v>
      </c>
      <c r="J58" s="1045">
        <f>SUM(J59+J60+J61+J64+J65+J66)+J68+J69+J67</f>
        <v>857583373</v>
      </c>
    </row>
    <row r="59" spans="1:10" s="60" customFormat="1" ht="12.75" customHeight="1">
      <c r="A59" s="1199" t="s">
        <v>205</v>
      </c>
      <c r="B59" s="1046"/>
      <c r="C59" s="1043" t="s">
        <v>250</v>
      </c>
      <c r="D59" s="1043"/>
      <c r="E59" s="1043">
        <v>16221899</v>
      </c>
      <c r="F59" s="1043">
        <v>19050043</v>
      </c>
      <c r="G59" s="1043">
        <v>19050043</v>
      </c>
      <c r="H59" s="1043">
        <v>20010043</v>
      </c>
      <c r="I59" s="1043">
        <v>20010043</v>
      </c>
      <c r="J59" s="1043">
        <v>20010043</v>
      </c>
    </row>
    <row r="60" spans="1:10" ht="12.75" customHeight="1">
      <c r="A60" s="1199" t="s">
        <v>207</v>
      </c>
      <c r="B60" s="1046"/>
      <c r="C60" s="1043" t="s">
        <v>251</v>
      </c>
      <c r="D60" s="1043"/>
      <c r="E60" s="1043">
        <v>2852678</v>
      </c>
      <c r="F60" s="1043">
        <v>3356400</v>
      </c>
      <c r="G60" s="1043">
        <v>3356400</v>
      </c>
      <c r="H60" s="1043">
        <v>3505200</v>
      </c>
      <c r="I60" s="1043">
        <v>3505200</v>
      </c>
      <c r="J60" s="1043">
        <v>3505200</v>
      </c>
    </row>
    <row r="61" spans="1:10" ht="12.75" customHeight="1">
      <c r="A61" s="1199" t="s">
        <v>261</v>
      </c>
      <c r="B61" s="1046"/>
      <c r="C61" s="1043" t="s">
        <v>252</v>
      </c>
      <c r="D61" s="1043"/>
      <c r="E61" s="1043">
        <v>152900803</v>
      </c>
      <c r="F61" s="1043">
        <v>53234071</v>
      </c>
      <c r="G61" s="1043">
        <v>44308311</v>
      </c>
      <c r="H61" s="1043">
        <v>47815268</v>
      </c>
      <c r="I61" s="1043">
        <v>50977395</v>
      </c>
      <c r="J61" s="1043">
        <v>126533255</v>
      </c>
    </row>
    <row r="62" spans="1:10" ht="12.75" customHeight="1">
      <c r="A62" s="1201" t="s">
        <v>208</v>
      </c>
      <c r="B62" s="1050"/>
      <c r="C62" s="1053" t="s">
        <v>651</v>
      </c>
      <c r="D62" s="1052"/>
      <c r="E62" s="1052">
        <v>300000</v>
      </c>
      <c r="F62" s="1052">
        <v>0</v>
      </c>
      <c r="G62" s="1052">
        <v>0</v>
      </c>
      <c r="H62" s="1052">
        <v>0</v>
      </c>
      <c r="I62" s="1052">
        <v>0</v>
      </c>
      <c r="J62" s="1052">
        <v>0</v>
      </c>
    </row>
    <row r="63" spans="1:10" ht="12.75" customHeight="1">
      <c r="A63" s="1201" t="s">
        <v>210</v>
      </c>
      <c r="B63" s="1050"/>
      <c r="C63" s="1053"/>
      <c r="D63" s="1052"/>
      <c r="E63" s="1052"/>
      <c r="F63" s="1052"/>
      <c r="G63" s="1052"/>
      <c r="H63" s="1052"/>
      <c r="I63" s="1052"/>
      <c r="J63" s="1052"/>
    </row>
    <row r="64" spans="1:10" ht="15" customHeight="1">
      <c r="A64" s="1199" t="s">
        <v>263</v>
      </c>
      <c r="B64" s="1046"/>
      <c r="C64" s="1043" t="s">
        <v>15</v>
      </c>
      <c r="D64" s="1043"/>
      <c r="E64" s="1043">
        <f>SUM('19 önkormányzat'!E129)</f>
        <v>200922038</v>
      </c>
      <c r="F64" s="1043">
        <f>SUM('19 önkormányzat'!F129)</f>
        <v>2100000</v>
      </c>
      <c r="G64" s="1043">
        <f>SUM('19 önkormányzat'!G129)</f>
        <v>93863808</v>
      </c>
      <c r="H64" s="1043">
        <f>SUM('19 önkormányzat'!H129)</f>
        <v>269306727</v>
      </c>
      <c r="I64" s="1043">
        <f>SUM('19 önkormányzat'!I129)</f>
        <v>269512829</v>
      </c>
      <c r="J64" s="1043">
        <f>SUM('19 önkormányzat'!J129)</f>
        <v>326890769</v>
      </c>
    </row>
    <row r="65" spans="1:10" ht="15" customHeight="1">
      <c r="A65" s="1199" t="s">
        <v>264</v>
      </c>
      <c r="B65" s="1046"/>
      <c r="C65" s="1043" t="s">
        <v>515</v>
      </c>
      <c r="D65" s="1065"/>
      <c r="E65" s="1043">
        <f>SUM('19 önkormányzat'!E130)</f>
        <v>478765907</v>
      </c>
      <c r="F65" s="1043">
        <f>SUM('19 önkormányzat'!F130)</f>
        <v>462128007</v>
      </c>
      <c r="G65" s="1043">
        <f>SUM('19 önkormányzat'!G130)</f>
        <v>570382608</v>
      </c>
      <c r="H65" s="1043">
        <f>SUM('19 önkormányzat'!H130)</f>
        <v>419046334</v>
      </c>
      <c r="I65" s="1043">
        <f>SUM('19 önkormányzat'!I130)</f>
        <v>410741663</v>
      </c>
      <c r="J65" s="1043">
        <f>SUM('19 önkormányzat'!J130)</f>
        <v>376250463</v>
      </c>
    </row>
    <row r="66" spans="1:10" ht="15" customHeight="1">
      <c r="A66" s="1199" t="s">
        <v>265</v>
      </c>
      <c r="B66" s="1046"/>
      <c r="C66" s="1066" t="s">
        <v>641</v>
      </c>
      <c r="D66" s="1067"/>
      <c r="E66" s="1043">
        <v>0</v>
      </c>
      <c r="F66" s="1043">
        <v>0</v>
      </c>
      <c r="G66" s="1043">
        <v>0</v>
      </c>
      <c r="H66" s="1043">
        <v>0</v>
      </c>
      <c r="I66" s="1043">
        <v>0</v>
      </c>
      <c r="J66" s="1043">
        <v>0</v>
      </c>
    </row>
    <row r="67" spans="1:60" s="21" customFormat="1" ht="15.75" customHeight="1">
      <c r="A67" s="1203" t="s">
        <v>266</v>
      </c>
      <c r="B67" s="1068"/>
      <c r="C67" s="1069" t="s">
        <v>954</v>
      </c>
      <c r="D67" s="1070"/>
      <c r="E67" s="1043"/>
      <c r="F67" s="1043"/>
      <c r="G67" s="1043"/>
      <c r="H67" s="1043"/>
      <c r="I67" s="1043">
        <v>1684766</v>
      </c>
      <c r="J67" s="1043">
        <v>1684766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10" ht="15" customHeight="1">
      <c r="A68" s="1204" t="s">
        <v>268</v>
      </c>
      <c r="B68" s="1032"/>
      <c r="C68" s="1067" t="s">
        <v>472</v>
      </c>
      <c r="D68" s="1067"/>
      <c r="E68" s="1043">
        <v>2482037</v>
      </c>
      <c r="F68" s="1043"/>
      <c r="G68" s="1043">
        <v>354027</v>
      </c>
      <c r="H68" s="1043">
        <v>354027</v>
      </c>
      <c r="I68" s="1043">
        <v>354027</v>
      </c>
      <c r="J68" s="1043">
        <v>354027</v>
      </c>
    </row>
    <row r="69" spans="1:10" ht="15" customHeight="1">
      <c r="A69" s="1204" t="s">
        <v>270</v>
      </c>
      <c r="B69" s="1032"/>
      <c r="C69" s="1071" t="s">
        <v>1229</v>
      </c>
      <c r="D69" s="1071"/>
      <c r="E69" s="1043"/>
      <c r="F69" s="1043"/>
      <c r="G69" s="1043"/>
      <c r="H69" s="1043">
        <v>2017050</v>
      </c>
      <c r="I69" s="1043">
        <v>2354850</v>
      </c>
      <c r="J69" s="1043">
        <v>2354850</v>
      </c>
    </row>
    <row r="70" spans="1:10" ht="15" customHeight="1">
      <c r="A70" s="1205" t="s">
        <v>272</v>
      </c>
      <c r="B70" s="1040" t="s">
        <v>517</v>
      </c>
      <c r="C70" s="599" t="s">
        <v>630</v>
      </c>
      <c r="D70" s="1071"/>
      <c r="E70" s="1045">
        <f aca="true" t="shared" si="9" ref="E70:J70">SUM(E71:E73)</f>
        <v>505008</v>
      </c>
      <c r="F70" s="1045">
        <f t="shared" si="9"/>
        <v>435723</v>
      </c>
      <c r="G70" s="1045">
        <f t="shared" si="9"/>
        <v>435723</v>
      </c>
      <c r="H70" s="1045">
        <f t="shared" si="9"/>
        <v>585492</v>
      </c>
      <c r="I70" s="1045">
        <f t="shared" si="9"/>
        <v>585492</v>
      </c>
      <c r="J70" s="1045">
        <f t="shared" si="9"/>
        <v>655878</v>
      </c>
    </row>
    <row r="71" spans="1:10" s="64" customFormat="1" ht="15" customHeight="1">
      <c r="A71" s="1199" t="s">
        <v>273</v>
      </c>
      <c r="B71" s="1042"/>
      <c r="C71" s="1072" t="s">
        <v>250</v>
      </c>
      <c r="D71" s="1067"/>
      <c r="E71" s="1043">
        <v>0</v>
      </c>
      <c r="F71" s="1043">
        <v>0</v>
      </c>
      <c r="G71" s="1043">
        <v>0</v>
      </c>
      <c r="H71" s="1043">
        <v>0</v>
      </c>
      <c r="I71" s="1043">
        <v>0</v>
      </c>
      <c r="J71" s="1043">
        <v>0</v>
      </c>
    </row>
    <row r="72" spans="1:60" s="21" customFormat="1" ht="15.75" customHeight="1">
      <c r="A72" s="1199" t="s">
        <v>274</v>
      </c>
      <c r="B72" s="1068"/>
      <c r="C72" s="1072" t="s">
        <v>251</v>
      </c>
      <c r="D72" s="1067"/>
      <c r="E72" s="1043">
        <v>0</v>
      </c>
      <c r="F72" s="1043">
        <v>0</v>
      </c>
      <c r="G72" s="1043">
        <v>0</v>
      </c>
      <c r="H72" s="1043">
        <v>0</v>
      </c>
      <c r="I72" s="1043">
        <v>0</v>
      </c>
      <c r="J72" s="1043">
        <v>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10" ht="12.75" customHeight="1">
      <c r="A73" s="1356" t="s">
        <v>276</v>
      </c>
      <c r="B73" s="1032"/>
      <c r="C73" s="642" t="s">
        <v>252</v>
      </c>
      <c r="D73" s="1067"/>
      <c r="E73" s="1043">
        <v>505008</v>
      </c>
      <c r="F73" s="1043">
        <v>435723</v>
      </c>
      <c r="G73" s="1043">
        <v>435723</v>
      </c>
      <c r="H73" s="1043">
        <v>585492</v>
      </c>
      <c r="I73" s="1043">
        <v>585492</v>
      </c>
      <c r="J73" s="1043">
        <v>655878</v>
      </c>
    </row>
    <row r="74" spans="1:10" ht="12.75" customHeight="1">
      <c r="A74" s="1199" t="s">
        <v>277</v>
      </c>
      <c r="B74" s="1040" t="s">
        <v>1233</v>
      </c>
      <c r="C74" s="1073" t="s">
        <v>642</v>
      </c>
      <c r="D74" s="501"/>
      <c r="E74" s="1045">
        <f aca="true" t="shared" si="10" ref="E74:J74">SUM(E75:E76)</f>
        <v>8209104</v>
      </c>
      <c r="F74" s="1045">
        <f t="shared" si="10"/>
        <v>8251931</v>
      </c>
      <c r="G74" s="1045">
        <f t="shared" si="10"/>
        <v>8432007</v>
      </c>
      <c r="H74" s="1045">
        <f t="shared" si="10"/>
        <v>8432007</v>
      </c>
      <c r="I74" s="1045">
        <f t="shared" si="10"/>
        <v>8835048</v>
      </c>
      <c r="J74" s="1045">
        <f t="shared" si="10"/>
        <v>8830789</v>
      </c>
    </row>
    <row r="75" spans="1:10" ht="12.75" customHeight="1">
      <c r="A75" s="1199" t="s">
        <v>278</v>
      </c>
      <c r="B75" s="1046"/>
      <c r="C75" s="1043" t="s">
        <v>516</v>
      </c>
      <c r="D75" s="1065"/>
      <c r="E75" s="1043">
        <v>8209104</v>
      </c>
      <c r="F75" s="1043">
        <v>8251931</v>
      </c>
      <c r="G75" s="1043">
        <v>8432007</v>
      </c>
      <c r="H75" s="1043">
        <v>8432007</v>
      </c>
      <c r="I75" s="1043">
        <v>8835048</v>
      </c>
      <c r="J75" s="1043">
        <v>8830789</v>
      </c>
    </row>
    <row r="76" spans="1:10" ht="12.75" customHeight="1">
      <c r="A76" s="1199" t="s">
        <v>279</v>
      </c>
      <c r="B76" s="1042"/>
      <c r="C76" s="1066" t="s">
        <v>472</v>
      </c>
      <c r="D76" s="1067"/>
      <c r="E76" s="1043"/>
      <c r="F76" s="1043"/>
      <c r="G76" s="1043"/>
      <c r="H76" s="1043"/>
      <c r="I76" s="1043"/>
      <c r="J76" s="1043"/>
    </row>
    <row r="77" spans="1:10" ht="12.75" customHeight="1">
      <c r="A77" s="1200" t="s">
        <v>280</v>
      </c>
      <c r="B77" s="1044" t="s">
        <v>518</v>
      </c>
      <c r="C77" s="1073" t="s">
        <v>953</v>
      </c>
      <c r="D77" s="501"/>
      <c r="E77" s="1045">
        <f aca="true" t="shared" si="11" ref="E77:J77">SUM(E78:E81)</f>
        <v>20818564</v>
      </c>
      <c r="F77" s="1045">
        <f t="shared" si="11"/>
        <v>16137900</v>
      </c>
      <c r="G77" s="1045">
        <f t="shared" si="11"/>
        <v>16137900</v>
      </c>
      <c r="H77" s="1045">
        <f t="shared" si="11"/>
        <v>16137900</v>
      </c>
      <c r="I77" s="1045">
        <f t="shared" si="11"/>
        <v>16137900</v>
      </c>
      <c r="J77" s="1045">
        <f t="shared" si="11"/>
        <v>16154900</v>
      </c>
    </row>
    <row r="78" spans="1:10" ht="12.75" customHeight="1">
      <c r="A78" s="1199" t="s">
        <v>281</v>
      </c>
      <c r="B78" s="962"/>
      <c r="C78" s="1072" t="s">
        <v>250</v>
      </c>
      <c r="D78" s="1067"/>
      <c r="E78" s="1043">
        <v>12991088</v>
      </c>
      <c r="F78" s="1043">
        <v>8628000</v>
      </c>
      <c r="G78" s="1043">
        <v>8628000</v>
      </c>
      <c r="H78" s="1043">
        <v>8628000</v>
      </c>
      <c r="I78" s="1043">
        <v>8628000</v>
      </c>
      <c r="J78" s="1043">
        <v>8691000</v>
      </c>
    </row>
    <row r="79" spans="1:10" ht="12.75" customHeight="1">
      <c r="A79" s="1199" t="s">
        <v>282</v>
      </c>
      <c r="B79" s="1068"/>
      <c r="C79" s="1350" t="s">
        <v>251</v>
      </c>
      <c r="D79" s="1067"/>
      <c r="E79" s="1043">
        <v>2522516</v>
      </c>
      <c r="F79" s="1043">
        <v>1509900</v>
      </c>
      <c r="G79" s="1043">
        <v>1509900</v>
      </c>
      <c r="H79" s="1043">
        <v>1509900</v>
      </c>
      <c r="I79" s="1043">
        <v>1509900</v>
      </c>
      <c r="J79" s="1043">
        <v>1463900</v>
      </c>
    </row>
    <row r="80" spans="1:10" ht="12.75" customHeight="1">
      <c r="A80" s="1356" t="s">
        <v>283</v>
      </c>
      <c r="B80" s="1032"/>
      <c r="C80" s="1072" t="s">
        <v>622</v>
      </c>
      <c r="D80" s="1067"/>
      <c r="E80" s="1043">
        <v>3861000</v>
      </c>
      <c r="F80" s="1043">
        <v>6000000</v>
      </c>
      <c r="G80" s="1043">
        <v>6000000</v>
      </c>
      <c r="H80" s="1043">
        <v>6000000</v>
      </c>
      <c r="I80" s="1043">
        <v>6000000</v>
      </c>
      <c r="J80" s="1043">
        <v>6000000</v>
      </c>
    </row>
    <row r="81" spans="1:10" ht="12.75" customHeight="1">
      <c r="A81" s="1356" t="s">
        <v>284</v>
      </c>
      <c r="B81" s="1032"/>
      <c r="C81" s="1072" t="s">
        <v>1054</v>
      </c>
      <c r="D81" s="1067"/>
      <c r="E81" s="1043">
        <v>1443960</v>
      </c>
      <c r="F81" s="1043">
        <v>0</v>
      </c>
      <c r="G81" s="1043">
        <v>0</v>
      </c>
      <c r="H81" s="1043">
        <v>0</v>
      </c>
      <c r="I81" s="1043">
        <v>0</v>
      </c>
      <c r="J81" s="1043">
        <v>0</v>
      </c>
    </row>
    <row r="82" spans="1:10" ht="12.75" customHeight="1">
      <c r="A82" s="1200" t="s">
        <v>285</v>
      </c>
      <c r="B82" s="1040" t="s">
        <v>942</v>
      </c>
      <c r="C82" s="1351" t="s">
        <v>943</v>
      </c>
      <c r="D82" s="501"/>
      <c r="E82" s="1045"/>
      <c r="F82" s="1045"/>
      <c r="G82" s="1045"/>
      <c r="H82" s="1045"/>
      <c r="I82" s="1045"/>
      <c r="J82" s="1045"/>
    </row>
    <row r="83" spans="1:10" ht="12.75" customHeight="1">
      <c r="A83" s="1199" t="s">
        <v>286</v>
      </c>
      <c r="B83" s="1042"/>
      <c r="C83" s="1066" t="s">
        <v>944</v>
      </c>
      <c r="D83" s="1067"/>
      <c r="E83" s="1043"/>
      <c r="F83" s="1043"/>
      <c r="G83" s="1043"/>
      <c r="H83" s="1043"/>
      <c r="I83" s="1043"/>
      <c r="J83" s="1043"/>
    </row>
    <row r="84" spans="1:10" ht="14.25" customHeight="1">
      <c r="A84" s="1200" t="s">
        <v>287</v>
      </c>
      <c r="B84" s="1044" t="s">
        <v>950</v>
      </c>
      <c r="C84" s="1073" t="s">
        <v>946</v>
      </c>
      <c r="D84" s="501"/>
      <c r="E84" s="1045"/>
      <c r="F84" s="1045"/>
      <c r="G84" s="1045"/>
      <c r="H84" s="1045"/>
      <c r="I84" s="1045"/>
      <c r="J84" s="1045"/>
    </row>
    <row r="85" spans="1:10" ht="14.25" customHeight="1">
      <c r="A85" s="1199" t="s">
        <v>289</v>
      </c>
      <c r="B85" s="1042"/>
      <c r="C85" s="1066" t="s">
        <v>944</v>
      </c>
      <c r="D85" s="1067"/>
      <c r="E85" s="1043"/>
      <c r="F85" s="1043"/>
      <c r="G85" s="1043"/>
      <c r="H85" s="1043"/>
      <c r="I85" s="1043"/>
      <c r="J85" s="1043"/>
    </row>
    <row r="86" spans="1:10" s="88" customFormat="1" ht="18" customHeight="1">
      <c r="A86" s="1199" t="s">
        <v>290</v>
      </c>
      <c r="B86" s="1042"/>
      <c r="C86" s="1066" t="s">
        <v>947</v>
      </c>
      <c r="D86" s="1067"/>
      <c r="E86" s="1043"/>
      <c r="F86" s="1043"/>
      <c r="G86" s="1043"/>
      <c r="H86" s="1043"/>
      <c r="I86" s="1043"/>
      <c r="J86" s="1043"/>
    </row>
    <row r="87" spans="1:10" ht="12.75" customHeight="1">
      <c r="A87" s="1200" t="s">
        <v>291</v>
      </c>
      <c r="B87" s="1044" t="s">
        <v>945</v>
      </c>
      <c r="C87" s="1073" t="s">
        <v>910</v>
      </c>
      <c r="D87" s="501"/>
      <c r="E87" s="1045">
        <f aca="true" t="shared" si="12" ref="E87:J87">SUM(E89)</f>
        <v>1500000</v>
      </c>
      <c r="F87" s="1045">
        <f t="shared" si="12"/>
        <v>6480000</v>
      </c>
      <c r="G87" s="1045">
        <f t="shared" si="12"/>
        <v>6480000</v>
      </c>
      <c r="H87" s="1045">
        <f t="shared" si="12"/>
        <v>7810000</v>
      </c>
      <c r="I87" s="1045">
        <f t="shared" si="12"/>
        <v>7990000</v>
      </c>
      <c r="J87" s="1045">
        <f t="shared" si="12"/>
        <v>7990000</v>
      </c>
    </row>
    <row r="88" spans="1:10" ht="12.75" customHeight="1">
      <c r="A88" s="1199" t="s">
        <v>292</v>
      </c>
      <c r="B88" s="1042"/>
      <c r="C88" s="1066" t="s">
        <v>949</v>
      </c>
      <c r="D88" s="1067"/>
      <c r="E88" s="1043"/>
      <c r="F88" s="1043"/>
      <c r="G88" s="1043"/>
      <c r="H88" s="1043"/>
      <c r="I88" s="1043"/>
      <c r="J88" s="1043"/>
    </row>
    <row r="89" spans="1:10" ht="12.75" customHeight="1">
      <c r="A89" s="1199" t="s">
        <v>293</v>
      </c>
      <c r="B89" s="1042"/>
      <c r="C89" s="1066" t="s">
        <v>947</v>
      </c>
      <c r="D89" s="1067"/>
      <c r="E89" s="1043">
        <v>1500000</v>
      </c>
      <c r="F89" s="1043">
        <v>6480000</v>
      </c>
      <c r="G89" s="1043">
        <v>6480000</v>
      </c>
      <c r="H89" s="1043">
        <v>7810000</v>
      </c>
      <c r="I89" s="1043">
        <v>7990000</v>
      </c>
      <c r="J89" s="1043">
        <v>7990000</v>
      </c>
    </row>
    <row r="90" spans="1:10" s="64" customFormat="1" ht="12.75" customHeight="1">
      <c r="A90" s="1200" t="s">
        <v>294</v>
      </c>
      <c r="B90" s="1044" t="s">
        <v>1234</v>
      </c>
      <c r="C90" s="1073" t="s">
        <v>1063</v>
      </c>
      <c r="D90" s="501"/>
      <c r="E90" s="1045">
        <v>1099900</v>
      </c>
      <c r="F90" s="1045">
        <v>0</v>
      </c>
      <c r="G90" s="1045">
        <v>0</v>
      </c>
      <c r="H90" s="1045">
        <v>0</v>
      </c>
      <c r="I90" s="1045">
        <v>0</v>
      </c>
      <c r="J90" s="1045">
        <v>0</v>
      </c>
    </row>
    <row r="91" spans="1:10" ht="12.75" customHeight="1">
      <c r="A91" s="1199" t="s">
        <v>296</v>
      </c>
      <c r="B91" s="1042"/>
      <c r="C91" s="1066" t="s">
        <v>1064</v>
      </c>
      <c r="D91" s="1067"/>
      <c r="E91" s="1043">
        <v>1099900</v>
      </c>
      <c r="F91" s="1043">
        <v>0</v>
      </c>
      <c r="G91" s="1043">
        <v>0</v>
      </c>
      <c r="H91" s="1043">
        <v>0</v>
      </c>
      <c r="I91" s="1043">
        <v>0</v>
      </c>
      <c r="J91" s="1043">
        <v>0</v>
      </c>
    </row>
    <row r="92" spans="1:10" s="64" customFormat="1" ht="12.75" customHeight="1">
      <c r="A92" s="1200" t="s">
        <v>298</v>
      </c>
      <c r="B92" s="1044" t="s">
        <v>1050</v>
      </c>
      <c r="C92" s="1073" t="s">
        <v>1174</v>
      </c>
      <c r="D92" s="501"/>
      <c r="E92" s="1045"/>
      <c r="F92" s="1045"/>
      <c r="G92" s="1045">
        <v>2000000</v>
      </c>
      <c r="H92" s="1045">
        <v>2000000</v>
      </c>
      <c r="I92" s="1045">
        <v>2000000</v>
      </c>
      <c r="J92" s="1045">
        <v>2000000</v>
      </c>
    </row>
    <row r="93" spans="1:10" ht="12.75" customHeight="1">
      <c r="A93" s="1199" t="s">
        <v>300</v>
      </c>
      <c r="B93" s="1042"/>
      <c r="C93" s="1066" t="s">
        <v>1175</v>
      </c>
      <c r="D93" s="1067"/>
      <c r="E93" s="1043"/>
      <c r="F93" s="1043"/>
      <c r="G93" s="1043">
        <v>2000000</v>
      </c>
      <c r="H93" s="1043">
        <v>2000000</v>
      </c>
      <c r="I93" s="1043">
        <v>2000000</v>
      </c>
      <c r="J93" s="1043">
        <v>2000000</v>
      </c>
    </row>
    <row r="94" spans="1:10" ht="12.75" customHeight="1">
      <c r="A94" s="1199" t="s">
        <v>301</v>
      </c>
      <c r="B94" s="1074" t="s">
        <v>1051</v>
      </c>
      <c r="C94" s="1075" t="s">
        <v>610</v>
      </c>
      <c r="D94" s="501"/>
      <c r="E94" s="1045">
        <f>SUM(E95)</f>
        <v>300105338</v>
      </c>
      <c r="F94" s="1045">
        <f>SUM(F95)</f>
        <v>329437179</v>
      </c>
      <c r="G94" s="1045">
        <f>SUM(G95)</f>
        <v>327680648</v>
      </c>
      <c r="H94" s="1045">
        <f>SUM(H95:H99)</f>
        <v>363018533</v>
      </c>
      <c r="I94" s="1045">
        <f>SUM(I95:I99)</f>
        <v>368380993</v>
      </c>
      <c r="J94" s="1045">
        <f>SUM(J95:J99)</f>
        <v>374063181</v>
      </c>
    </row>
    <row r="95" spans="1:10" ht="12.75" customHeight="1">
      <c r="A95" s="1199" t="s">
        <v>302</v>
      </c>
      <c r="B95" s="1076"/>
      <c r="C95" s="1077" t="s">
        <v>288</v>
      </c>
      <c r="D95" s="1070"/>
      <c r="E95" s="1065">
        <f>SUM('19 önkormányzat'!E161)</f>
        <v>300105338</v>
      </c>
      <c r="F95" s="1065">
        <f>SUM('19 önkormányzat'!F161)</f>
        <v>329437179</v>
      </c>
      <c r="G95" s="1065">
        <f>SUM('19 önkormányzat'!G161)</f>
        <v>327680648</v>
      </c>
      <c r="H95" s="1065">
        <f>SUM('19 önkormányzat'!H161)</f>
        <v>327974397</v>
      </c>
      <c r="I95" s="1065">
        <f>SUM('19 önkormányzat'!I161)</f>
        <v>328197753</v>
      </c>
      <c r="J95" s="1065">
        <f>SUM('19 önkormányzat'!J161)</f>
        <v>332155304</v>
      </c>
    </row>
    <row r="96" spans="1:10" ht="12.75" customHeight="1">
      <c r="A96" s="1356" t="s">
        <v>303</v>
      </c>
      <c r="B96" s="1032"/>
      <c r="C96" s="1067" t="s">
        <v>1230</v>
      </c>
      <c r="D96" s="1067"/>
      <c r="E96" s="1067"/>
      <c r="F96" s="1067"/>
      <c r="G96" s="1067"/>
      <c r="H96" s="1067">
        <v>3251899</v>
      </c>
      <c r="I96" s="1067">
        <v>4501932</v>
      </c>
      <c r="J96" s="1067">
        <v>6001932</v>
      </c>
    </row>
    <row r="97" spans="1:10" ht="12.75" customHeight="1">
      <c r="A97" s="1356" t="s">
        <v>304</v>
      </c>
      <c r="B97" s="1032"/>
      <c r="C97" s="1067" t="s">
        <v>1231</v>
      </c>
      <c r="D97" s="1067"/>
      <c r="E97" s="1067"/>
      <c r="F97" s="1067"/>
      <c r="G97" s="1067"/>
      <c r="H97" s="1067">
        <v>6981000</v>
      </c>
      <c r="I97" s="1067">
        <v>6981000</v>
      </c>
      <c r="J97" s="1067">
        <v>6981000</v>
      </c>
    </row>
    <row r="98" spans="1:10" ht="12.75" customHeight="1">
      <c r="A98" s="1356" t="s">
        <v>611</v>
      </c>
      <c r="B98" s="1032"/>
      <c r="C98" s="1067" t="s">
        <v>1232</v>
      </c>
      <c r="D98" s="1067"/>
      <c r="E98" s="1067"/>
      <c r="F98" s="1067"/>
      <c r="G98" s="1067"/>
      <c r="H98" s="1067">
        <v>24461237</v>
      </c>
      <c r="I98" s="1067">
        <v>28350308</v>
      </c>
      <c r="J98" s="1067">
        <v>28674945</v>
      </c>
    </row>
    <row r="99" spans="1:10" ht="12.75" customHeight="1" thickBot="1">
      <c r="A99" s="1661" t="s">
        <v>612</v>
      </c>
      <c r="B99" s="1662"/>
      <c r="C99" s="1070" t="s">
        <v>941</v>
      </c>
      <c r="D99" s="1070"/>
      <c r="E99" s="1070"/>
      <c r="F99" s="1070"/>
      <c r="G99" s="1070"/>
      <c r="H99" s="1070">
        <v>350000</v>
      </c>
      <c r="I99" s="1070">
        <v>350000</v>
      </c>
      <c r="J99" s="1070">
        <v>250000</v>
      </c>
    </row>
    <row r="100" spans="1:10" s="64" customFormat="1" ht="12.75" customHeight="1" thickBot="1">
      <c r="A100" s="1663" t="s">
        <v>306</v>
      </c>
      <c r="B100" s="1664"/>
      <c r="C100" s="1665" t="s">
        <v>236</v>
      </c>
      <c r="D100" s="1665">
        <v>12</v>
      </c>
      <c r="E100" s="1666">
        <f>SUM(E12+E14+E17+E19+E23+E29+E33+E37+E58+E74+E94)+E70+E49+E87+E77+E90</f>
        <v>1242677868</v>
      </c>
      <c r="F100" s="1666">
        <v>949855995</v>
      </c>
      <c r="G100" s="1666">
        <f>SUM(G12+G14+G17+G19+G23+G29+G33+G37+G58+G74+G94)+G70+G49+G87+G77+G90+G92</f>
        <v>1139563474</v>
      </c>
      <c r="H100" s="1667">
        <f>SUM(H12+H14+H17+H19+H23+H29+H33+H37+H58+H74+H94)+H70+H49+H87+H77+H90+H92+H45</f>
        <v>1176285678</v>
      </c>
      <c r="I100" s="1667">
        <f>SUM(I12+I14+I17+I19+I23+I29+I33+I37+I58+I74+I94)+I70+I49+I87+I77+I90+I92+I45</f>
        <v>1179148216</v>
      </c>
      <c r="J100" s="1667">
        <f>SUM(J12+J14+J17+J19+J23+J29+J33+J37+J58+J74+J94)+J70+J49+J87+J77+J90+J92+J45</f>
        <v>1284499498</v>
      </c>
    </row>
    <row r="101" spans="1:10" ht="12.75" customHeight="1">
      <c r="A101" s="1205" t="s">
        <v>307</v>
      </c>
      <c r="B101" s="215"/>
      <c r="C101" s="216" t="s">
        <v>250</v>
      </c>
      <c r="D101" s="216"/>
      <c r="E101" s="216">
        <f aca="true" t="shared" si="13" ref="E101:J101">SUM(E24+E30+E34+E59)+E71+E78</f>
        <v>30665512</v>
      </c>
      <c r="F101" s="216">
        <f t="shared" si="13"/>
        <v>29130568</v>
      </c>
      <c r="G101" s="216">
        <f t="shared" si="13"/>
        <v>27678043</v>
      </c>
      <c r="H101" s="216">
        <f t="shared" si="13"/>
        <v>29604043</v>
      </c>
      <c r="I101" s="216">
        <f t="shared" si="13"/>
        <v>29604043</v>
      </c>
      <c r="J101" s="216">
        <f t="shared" si="13"/>
        <v>29667043</v>
      </c>
    </row>
    <row r="102" spans="1:10" ht="12.75" customHeight="1">
      <c r="A102" s="1199" t="s">
        <v>308</v>
      </c>
      <c r="B102" s="217"/>
      <c r="C102" s="218" t="s">
        <v>251</v>
      </c>
      <c r="D102" s="218"/>
      <c r="E102" s="218">
        <f aca="true" t="shared" si="14" ref="E102:J102">SUM(E25+E35+E60)+E72+E79</f>
        <v>5675164</v>
      </c>
      <c r="F102" s="218">
        <f t="shared" si="14"/>
        <v>5166270</v>
      </c>
      <c r="G102" s="218">
        <f t="shared" si="14"/>
        <v>4866300</v>
      </c>
      <c r="H102" s="218">
        <f t="shared" si="14"/>
        <v>5184156</v>
      </c>
      <c r="I102" s="218">
        <f t="shared" si="14"/>
        <v>5184156</v>
      </c>
      <c r="J102" s="218">
        <f t="shared" si="14"/>
        <v>5138156</v>
      </c>
    </row>
    <row r="103" spans="1:10" ht="12.75" customHeight="1">
      <c r="A103" s="1199" t="s">
        <v>309</v>
      </c>
      <c r="B103" s="217"/>
      <c r="C103" s="218" t="s">
        <v>252</v>
      </c>
      <c r="D103" s="218"/>
      <c r="E103" s="218">
        <v>128183873</v>
      </c>
      <c r="F103" s="218">
        <v>67169794</v>
      </c>
      <c r="G103" s="218">
        <v>60244034</v>
      </c>
      <c r="H103" s="218">
        <v>63900760</v>
      </c>
      <c r="I103" s="218">
        <v>63900760</v>
      </c>
      <c r="J103" s="218">
        <v>142689133</v>
      </c>
    </row>
    <row r="104" spans="1:10" ht="12.75" customHeight="1">
      <c r="A104" s="1199" t="s">
        <v>310</v>
      </c>
      <c r="B104" s="217"/>
      <c r="C104" s="218" t="s">
        <v>647</v>
      </c>
      <c r="D104" s="218"/>
      <c r="E104" s="218">
        <f>SUM(E51)+E57</f>
        <v>4209730</v>
      </c>
      <c r="F104" s="218">
        <v>3453000</v>
      </c>
      <c r="G104" s="218">
        <v>3803000</v>
      </c>
      <c r="H104" s="218">
        <v>3453000</v>
      </c>
      <c r="I104" s="218">
        <v>3453000</v>
      </c>
      <c r="J104" s="218">
        <v>4980000</v>
      </c>
    </row>
    <row r="105" spans="1:10" ht="12.75" customHeight="1">
      <c r="A105" s="1199" t="s">
        <v>311</v>
      </c>
      <c r="B105" s="217"/>
      <c r="C105" s="218" t="s">
        <v>648</v>
      </c>
      <c r="D105" s="218"/>
      <c r="E105" s="218">
        <f aca="true" t="shared" si="15" ref="E105:J105">SUM(E65)</f>
        <v>478765907</v>
      </c>
      <c r="F105" s="218">
        <f t="shared" si="15"/>
        <v>462128007</v>
      </c>
      <c r="G105" s="218">
        <f t="shared" si="15"/>
        <v>570382608</v>
      </c>
      <c r="H105" s="218">
        <f t="shared" si="15"/>
        <v>419046334</v>
      </c>
      <c r="I105" s="218">
        <f t="shared" si="15"/>
        <v>410741663</v>
      </c>
      <c r="J105" s="218">
        <f t="shared" si="15"/>
        <v>376250463</v>
      </c>
    </row>
    <row r="106" spans="1:10" ht="12.75" customHeight="1">
      <c r="A106" s="1199" t="s">
        <v>312</v>
      </c>
      <c r="B106" s="217"/>
      <c r="C106" s="218" t="s">
        <v>649</v>
      </c>
      <c r="D106" s="218"/>
      <c r="E106" s="218">
        <f>SUM(E38)+E89</f>
        <v>44186648</v>
      </c>
      <c r="F106" s="218">
        <v>44771741</v>
      </c>
      <c r="G106" s="218">
        <v>42258999</v>
      </c>
      <c r="H106" s="218">
        <v>46035254</v>
      </c>
      <c r="I106" s="218">
        <v>46035254</v>
      </c>
      <c r="J106" s="218">
        <v>50526275</v>
      </c>
    </row>
    <row r="107" spans="1:10" ht="12.75" customHeight="1">
      <c r="A107" s="1199" t="s">
        <v>313</v>
      </c>
      <c r="B107" s="217"/>
      <c r="C107" s="218" t="s">
        <v>613</v>
      </c>
      <c r="D107" s="218"/>
      <c r="E107" s="218">
        <v>202339945</v>
      </c>
      <c r="F107" s="218">
        <v>2100000</v>
      </c>
      <c r="G107" s="218">
        <v>93863808</v>
      </c>
      <c r="H107" s="218">
        <v>272284650</v>
      </c>
      <c r="I107" s="218">
        <v>272284650</v>
      </c>
      <c r="J107" s="218">
        <v>329868692</v>
      </c>
    </row>
    <row r="108" spans="1:10" ht="12.75" customHeight="1">
      <c r="A108" s="1202" t="s">
        <v>314</v>
      </c>
      <c r="B108" s="803"/>
      <c r="C108" s="804" t="s">
        <v>778</v>
      </c>
      <c r="D108" s="804"/>
      <c r="E108" s="804">
        <v>191564788</v>
      </c>
      <c r="F108" s="804">
        <v>17000000</v>
      </c>
      <c r="G108" s="804">
        <v>93463808</v>
      </c>
      <c r="H108" s="804">
        <v>248842095</v>
      </c>
      <c r="I108" s="804">
        <v>248842095</v>
      </c>
      <c r="J108" s="804">
        <v>314265127</v>
      </c>
    </row>
    <row r="109" spans="1:10" s="88" customFormat="1" ht="36.75" customHeight="1">
      <c r="A109" s="1202" t="s">
        <v>315</v>
      </c>
      <c r="B109" s="803"/>
      <c r="C109" s="804" t="s">
        <v>779</v>
      </c>
      <c r="D109" s="804"/>
      <c r="E109" s="1080">
        <v>10775157</v>
      </c>
      <c r="F109" s="1080">
        <v>400000</v>
      </c>
      <c r="G109" s="1080">
        <v>400000</v>
      </c>
      <c r="H109" s="1080">
        <v>23442555</v>
      </c>
      <c r="I109" s="1080">
        <v>23442555</v>
      </c>
      <c r="J109" s="1080">
        <v>15603565</v>
      </c>
    </row>
    <row r="110" spans="1:10" ht="12.75" customHeight="1">
      <c r="A110" s="1199" t="s">
        <v>316</v>
      </c>
      <c r="B110" s="217"/>
      <c r="C110" s="219" t="s">
        <v>650</v>
      </c>
      <c r="D110" s="218"/>
      <c r="E110" s="218"/>
      <c r="F110" s="218"/>
      <c r="G110" s="218"/>
      <c r="H110" s="218"/>
      <c r="I110" s="218"/>
      <c r="J110" s="218">
        <v>1684766</v>
      </c>
    </row>
    <row r="111" spans="1:10" ht="12.75" customHeight="1">
      <c r="A111" s="1199" t="s">
        <v>317</v>
      </c>
      <c r="B111" s="220"/>
      <c r="C111" s="526" t="s">
        <v>1235</v>
      </c>
      <c r="D111" s="221"/>
      <c r="E111" s="221">
        <f>SUM(E66)</f>
        <v>0</v>
      </c>
      <c r="F111" s="221">
        <f>SUM(F66)</f>
        <v>0</v>
      </c>
      <c r="G111" s="221">
        <f>SUM(G66)</f>
        <v>0</v>
      </c>
      <c r="H111" s="221">
        <v>2017050</v>
      </c>
      <c r="I111" s="221">
        <v>2354850</v>
      </c>
      <c r="J111" s="221">
        <v>2354850</v>
      </c>
    </row>
    <row r="112" spans="1:10" ht="12.75" customHeight="1">
      <c r="A112" s="1199" t="s">
        <v>318</v>
      </c>
      <c r="B112" s="527"/>
      <c r="C112" s="528" t="s">
        <v>694</v>
      </c>
      <c r="D112" s="529"/>
      <c r="E112" s="529">
        <f>SUM(E75)</f>
        <v>8209104</v>
      </c>
      <c r="F112" s="529">
        <v>8251931</v>
      </c>
      <c r="G112" s="529">
        <v>8432007</v>
      </c>
      <c r="H112" s="529">
        <v>8432007</v>
      </c>
      <c r="I112" s="529">
        <v>8432007</v>
      </c>
      <c r="J112" s="529">
        <v>8830789</v>
      </c>
    </row>
    <row r="113" spans="1:10" ht="12.75" customHeight="1">
      <c r="A113" s="1199" t="s">
        <v>320</v>
      </c>
      <c r="B113" s="527"/>
      <c r="C113" s="528" t="s">
        <v>674</v>
      </c>
      <c r="D113" s="529"/>
      <c r="E113" s="529">
        <v>2482037</v>
      </c>
      <c r="F113" s="529"/>
      <c r="G113" s="529">
        <v>354027</v>
      </c>
      <c r="H113" s="529">
        <v>354027</v>
      </c>
      <c r="I113" s="529">
        <v>354027</v>
      </c>
      <c r="J113" s="529">
        <v>354027</v>
      </c>
    </row>
    <row r="114" spans="1:10" ht="12.75" customHeight="1">
      <c r="A114" s="1199" t="s">
        <v>321</v>
      </c>
      <c r="B114" s="527"/>
      <c r="C114" s="528" t="s">
        <v>675</v>
      </c>
      <c r="D114" s="529"/>
      <c r="E114" s="529"/>
      <c r="F114" s="529"/>
      <c r="G114" s="529"/>
      <c r="H114" s="529"/>
      <c r="I114" s="529"/>
      <c r="J114" s="529"/>
    </row>
    <row r="115" spans="1:10" ht="12.75" customHeight="1">
      <c r="A115" s="1199" t="s">
        <v>322</v>
      </c>
      <c r="B115" s="527"/>
      <c r="C115" s="528" t="s">
        <v>676</v>
      </c>
      <c r="D115" s="529"/>
      <c r="E115" s="529"/>
      <c r="F115" s="529"/>
      <c r="G115" s="529"/>
      <c r="H115" s="529"/>
      <c r="I115" s="529"/>
      <c r="J115" s="529"/>
    </row>
    <row r="116" spans="1:10" ht="12.75" customHeight="1" thickBot="1">
      <c r="A116" s="1203" t="s">
        <v>323</v>
      </c>
      <c r="B116" s="1091"/>
      <c r="C116" s="1092" t="s">
        <v>672</v>
      </c>
      <c r="D116" s="1093"/>
      <c r="E116" s="1093">
        <f aca="true" t="shared" si="16" ref="E116:J116">SUM(E95)</f>
        <v>300105338</v>
      </c>
      <c r="F116" s="1093">
        <f t="shared" si="16"/>
        <v>329437179</v>
      </c>
      <c r="G116" s="1093">
        <f t="shared" si="16"/>
        <v>327680648</v>
      </c>
      <c r="H116" s="1093">
        <f t="shared" si="16"/>
        <v>327974397</v>
      </c>
      <c r="I116" s="1093">
        <f t="shared" si="16"/>
        <v>328197753</v>
      </c>
      <c r="J116" s="1093">
        <f t="shared" si="16"/>
        <v>332155304</v>
      </c>
    </row>
    <row r="117" spans="1:10" ht="12.75" customHeight="1">
      <c r="A117" s="1894" t="s">
        <v>305</v>
      </c>
      <c r="B117" s="1895"/>
      <c r="C117" s="1895"/>
      <c r="D117" s="1895"/>
      <c r="E117" s="1193"/>
      <c r="F117" s="1193"/>
      <c r="G117" s="1193"/>
      <c r="H117" s="1193"/>
      <c r="I117" s="1193"/>
      <c r="J117" s="1193"/>
    </row>
    <row r="118" spans="1:10" ht="12.75" customHeight="1">
      <c r="A118" s="1194" t="s">
        <v>324</v>
      </c>
      <c r="B118" s="389"/>
      <c r="C118" s="389" t="s">
        <v>262</v>
      </c>
      <c r="D118" s="416">
        <v>13</v>
      </c>
      <c r="E118" s="607">
        <f aca="true" t="shared" si="17" ref="E118:J118">SUM(E119:E122)</f>
        <v>79448699</v>
      </c>
      <c r="F118" s="607">
        <f t="shared" si="17"/>
        <v>90169179</v>
      </c>
      <c r="G118" s="607">
        <f t="shared" si="17"/>
        <v>96002136</v>
      </c>
      <c r="H118" s="607">
        <f t="shared" si="17"/>
        <v>96002159</v>
      </c>
      <c r="I118" s="607">
        <f t="shared" si="17"/>
        <v>96002168</v>
      </c>
      <c r="J118" s="607">
        <f t="shared" si="17"/>
        <v>91978641</v>
      </c>
    </row>
    <row r="119" spans="1:10" s="64" customFormat="1" ht="12.75" customHeight="1">
      <c r="A119" s="1190" t="s">
        <v>325</v>
      </c>
      <c r="B119" s="1099"/>
      <c r="C119" s="288" t="s">
        <v>250</v>
      </c>
      <c r="D119" s="446"/>
      <c r="E119" s="606">
        <v>55599520</v>
      </c>
      <c r="F119" s="606">
        <f>SUM('17. Hivatal'!F34)</f>
        <v>65521837</v>
      </c>
      <c r="G119" s="606">
        <f>SUM('17. Hivatal'!G34)</f>
        <v>70724296</v>
      </c>
      <c r="H119" s="606">
        <f>SUM('17. Hivatal'!H34)</f>
        <v>70724296</v>
      </c>
      <c r="I119" s="606">
        <f>SUM('17. Hivatal'!I34)</f>
        <v>70724296</v>
      </c>
      <c r="J119" s="606">
        <f>SUM('17. Hivatal'!J34)</f>
        <v>69420547</v>
      </c>
    </row>
    <row r="120" spans="1:10" ht="12.75" customHeight="1">
      <c r="A120" s="1190" t="s">
        <v>326</v>
      </c>
      <c r="B120" s="1099"/>
      <c r="C120" s="288" t="s">
        <v>251</v>
      </c>
      <c r="D120" s="446"/>
      <c r="E120" s="606">
        <v>10842346</v>
      </c>
      <c r="F120" s="606">
        <f>SUM('17. Hivatal'!F35)</f>
        <v>11697342</v>
      </c>
      <c r="G120" s="606">
        <f>SUM('17. Hivatal'!G35)</f>
        <v>12327832</v>
      </c>
      <c r="H120" s="606">
        <f>SUM('17. Hivatal'!H35)</f>
        <v>12327832</v>
      </c>
      <c r="I120" s="606">
        <f>SUM('17. Hivatal'!I35)</f>
        <v>12327832</v>
      </c>
      <c r="J120" s="606">
        <f>SUM('17. Hivatal'!J35)</f>
        <v>11607350</v>
      </c>
    </row>
    <row r="121" spans="1:10" ht="12.75" customHeight="1">
      <c r="A121" s="1190" t="s">
        <v>327</v>
      </c>
      <c r="B121" s="1099"/>
      <c r="C121" s="288" t="s">
        <v>252</v>
      </c>
      <c r="D121" s="446"/>
      <c r="E121" s="606">
        <v>12341153</v>
      </c>
      <c r="F121" s="606">
        <f>SUM('17. Hivatal'!F36)</f>
        <v>12350000</v>
      </c>
      <c r="G121" s="606">
        <f>SUM('17. Hivatal'!G36)</f>
        <v>12350008</v>
      </c>
      <c r="H121" s="606">
        <f>SUM('17. Hivatal'!H36)</f>
        <v>12350031</v>
      </c>
      <c r="I121" s="606">
        <f>SUM('17. Hivatal'!I36)</f>
        <v>12350040</v>
      </c>
      <c r="J121" s="606">
        <f>SUM('17. Hivatal'!J36)</f>
        <v>10409765</v>
      </c>
    </row>
    <row r="122" spans="1:10" ht="12.75" customHeight="1">
      <c r="A122" s="1190" t="s">
        <v>329</v>
      </c>
      <c r="B122" s="1099"/>
      <c r="C122" s="288" t="s">
        <v>249</v>
      </c>
      <c r="D122" s="446"/>
      <c r="E122" s="606">
        <v>665680</v>
      </c>
      <c r="F122" s="606">
        <f>SUM('17. Hivatal'!F37)</f>
        <v>600000</v>
      </c>
      <c r="G122" s="606">
        <f>SUM('17. Hivatal'!G37)</f>
        <v>600000</v>
      </c>
      <c r="H122" s="606">
        <f>SUM('17. Hivatal'!H37)</f>
        <v>600000</v>
      </c>
      <c r="I122" s="606">
        <f>SUM('17. Hivatal'!I37)</f>
        <v>600000</v>
      </c>
      <c r="J122" s="606">
        <f>SUM('17. Hivatal'!J37)</f>
        <v>540979</v>
      </c>
    </row>
    <row r="123" spans="1:10" ht="12.75" customHeight="1">
      <c r="A123" s="1194" t="s">
        <v>330</v>
      </c>
      <c r="B123" s="1100"/>
      <c r="C123" s="389" t="s">
        <v>501</v>
      </c>
      <c r="D123" s="416">
        <v>1</v>
      </c>
      <c r="E123" s="607">
        <f aca="true" t="shared" si="18" ref="E123:J123">SUM(E124:E126)</f>
        <v>5061260</v>
      </c>
      <c r="F123" s="607">
        <f t="shared" si="18"/>
        <v>9049273</v>
      </c>
      <c r="G123" s="607">
        <f t="shared" si="18"/>
        <v>9486373</v>
      </c>
      <c r="H123" s="607">
        <f t="shared" si="18"/>
        <v>9486373</v>
      </c>
      <c r="I123" s="607">
        <f t="shared" si="18"/>
        <v>9486373</v>
      </c>
      <c r="J123" s="607">
        <f t="shared" si="18"/>
        <v>9232902</v>
      </c>
    </row>
    <row r="124" spans="1:10" ht="12.75" customHeight="1">
      <c r="A124" s="1190" t="s">
        <v>331</v>
      </c>
      <c r="B124" s="1099"/>
      <c r="C124" s="288" t="s">
        <v>250</v>
      </c>
      <c r="D124" s="446"/>
      <c r="E124" s="606">
        <f>SUM(4216699)</f>
        <v>4216699</v>
      </c>
      <c r="F124" s="606">
        <f>SUM('17. Hivatal'!F39)</f>
        <v>7702507</v>
      </c>
      <c r="G124" s="606">
        <f>SUM('17. Hivatal'!G39)</f>
        <v>8074507</v>
      </c>
      <c r="H124" s="606">
        <f>SUM('17. Hivatal'!H39)</f>
        <v>8074507</v>
      </c>
      <c r="I124" s="606">
        <f>SUM('17. Hivatal'!I39)</f>
        <v>8074507</v>
      </c>
      <c r="J124" s="606">
        <f>SUM('17. Hivatal'!J39)</f>
        <v>7953959</v>
      </c>
    </row>
    <row r="125" spans="1:10" ht="12.75" customHeight="1">
      <c r="A125" s="1190" t="s">
        <v>332</v>
      </c>
      <c r="B125" s="1099"/>
      <c r="C125" s="288" t="s">
        <v>251</v>
      </c>
      <c r="D125" s="446"/>
      <c r="E125" s="606">
        <f>SUM(844561)</f>
        <v>844561</v>
      </c>
      <c r="F125" s="606">
        <f>SUM('17. Hivatal'!F40)</f>
        <v>1346766</v>
      </c>
      <c r="G125" s="606">
        <f>SUM('17. Hivatal'!G40)</f>
        <v>1411866</v>
      </c>
      <c r="H125" s="606">
        <f>SUM('17. Hivatal'!H40)</f>
        <v>1411866</v>
      </c>
      <c r="I125" s="606">
        <f>SUM('17. Hivatal'!I40)</f>
        <v>1411866</v>
      </c>
      <c r="J125" s="606">
        <f>SUM('17. Hivatal'!J40)</f>
        <v>1278943</v>
      </c>
    </row>
    <row r="126" spans="1:10" ht="12.75" customHeight="1">
      <c r="A126" s="1190" t="s">
        <v>333</v>
      </c>
      <c r="B126" s="1099"/>
      <c r="C126" s="288" t="s">
        <v>252</v>
      </c>
      <c r="D126" s="446"/>
      <c r="E126" s="606">
        <v>0</v>
      </c>
      <c r="F126" s="606">
        <v>0</v>
      </c>
      <c r="G126" s="606">
        <v>0</v>
      </c>
      <c r="H126" s="606">
        <v>0</v>
      </c>
      <c r="I126" s="606">
        <v>0</v>
      </c>
      <c r="J126" s="606">
        <v>0</v>
      </c>
    </row>
    <row r="127" spans="1:10" ht="12.75" customHeight="1">
      <c r="A127" s="1194" t="s">
        <v>335</v>
      </c>
      <c r="B127" s="1100"/>
      <c r="C127" s="389" t="s">
        <v>502</v>
      </c>
      <c r="D127" s="416"/>
      <c r="E127" s="607">
        <f aca="true" t="shared" si="19" ref="E127:J127">SUM(E128:E130)</f>
        <v>0</v>
      </c>
      <c r="F127" s="607">
        <f t="shared" si="19"/>
        <v>0</v>
      </c>
      <c r="G127" s="607">
        <f t="shared" si="19"/>
        <v>0</v>
      </c>
      <c r="H127" s="607">
        <f t="shared" si="19"/>
        <v>0</v>
      </c>
      <c r="I127" s="607">
        <f t="shared" si="19"/>
        <v>0</v>
      </c>
      <c r="J127" s="607">
        <f t="shared" si="19"/>
        <v>0</v>
      </c>
    </row>
    <row r="128" spans="1:10" s="64" customFormat="1" ht="12.75" customHeight="1">
      <c r="A128" s="1190" t="s">
        <v>336</v>
      </c>
      <c r="B128" s="1099"/>
      <c r="C128" s="288" t="s">
        <v>250</v>
      </c>
      <c r="D128" s="446"/>
      <c r="E128" s="606"/>
      <c r="F128" s="606"/>
      <c r="G128" s="606"/>
      <c r="H128" s="606"/>
      <c r="I128" s="606"/>
      <c r="J128" s="606"/>
    </row>
    <row r="129" spans="1:10" ht="12.75" customHeight="1">
      <c r="A129" s="1190" t="s">
        <v>337</v>
      </c>
      <c r="B129" s="1099"/>
      <c r="C129" s="288" t="s">
        <v>251</v>
      </c>
      <c r="D129" s="446"/>
      <c r="E129" s="606"/>
      <c r="F129" s="606"/>
      <c r="G129" s="606"/>
      <c r="H129" s="606"/>
      <c r="I129" s="606"/>
      <c r="J129" s="606"/>
    </row>
    <row r="130" spans="1:10" ht="12.75" customHeight="1">
      <c r="A130" s="1195" t="s">
        <v>338</v>
      </c>
      <c r="B130" s="1101"/>
      <c r="C130" s="309" t="s">
        <v>252</v>
      </c>
      <c r="D130" s="463"/>
      <c r="E130" s="729"/>
      <c r="F130" s="729"/>
      <c r="G130" s="729"/>
      <c r="H130" s="729"/>
      <c r="I130" s="729"/>
      <c r="J130" s="729"/>
    </row>
    <row r="131" spans="1:10" s="64" customFormat="1" ht="12.75" customHeight="1">
      <c r="A131" s="1194" t="s">
        <v>340</v>
      </c>
      <c r="B131" s="1100"/>
      <c r="C131" s="389" t="s">
        <v>1020</v>
      </c>
      <c r="D131" s="416"/>
      <c r="E131" s="607">
        <v>1368484</v>
      </c>
      <c r="F131" s="607">
        <v>0</v>
      </c>
      <c r="G131" s="607">
        <v>0</v>
      </c>
      <c r="H131" s="607">
        <v>0</v>
      </c>
      <c r="I131" s="607">
        <v>0</v>
      </c>
      <c r="J131" s="607">
        <v>0</v>
      </c>
    </row>
    <row r="132" spans="1:10" ht="12.75" customHeight="1">
      <c r="A132" s="1190" t="s">
        <v>341</v>
      </c>
      <c r="B132" s="1099"/>
      <c r="C132" s="288" t="s">
        <v>250</v>
      </c>
      <c r="D132" s="446"/>
      <c r="E132" s="606">
        <v>1043973</v>
      </c>
      <c r="F132" s="606">
        <v>0</v>
      </c>
      <c r="G132" s="606">
        <v>0</v>
      </c>
      <c r="H132" s="606">
        <v>0</v>
      </c>
      <c r="I132" s="606">
        <v>0</v>
      </c>
      <c r="J132" s="606">
        <v>0</v>
      </c>
    </row>
    <row r="133" spans="1:10" ht="12.75" customHeight="1">
      <c r="A133" s="1190" t="s">
        <v>342</v>
      </c>
      <c r="B133" s="1099"/>
      <c r="C133" s="288" t="s">
        <v>251</v>
      </c>
      <c r="D133" s="446"/>
      <c r="E133" s="606">
        <v>209229</v>
      </c>
      <c r="F133" s="606">
        <v>0</v>
      </c>
      <c r="G133" s="606">
        <v>0</v>
      </c>
      <c r="H133" s="606">
        <v>0</v>
      </c>
      <c r="I133" s="606">
        <v>0</v>
      </c>
      <c r="J133" s="606">
        <v>0</v>
      </c>
    </row>
    <row r="134" spans="1:10" ht="12.75" customHeight="1">
      <c r="A134" s="1190" t="s">
        <v>343</v>
      </c>
      <c r="B134" s="1099"/>
      <c r="C134" s="288" t="s">
        <v>252</v>
      </c>
      <c r="D134" s="446"/>
      <c r="E134" s="606">
        <v>115282</v>
      </c>
      <c r="F134" s="606">
        <v>0</v>
      </c>
      <c r="G134" s="606">
        <v>0</v>
      </c>
      <c r="H134" s="606">
        <v>0</v>
      </c>
      <c r="I134" s="606">
        <v>0</v>
      </c>
      <c r="J134" s="606">
        <v>0</v>
      </c>
    </row>
    <row r="135" spans="1:10" ht="12.75" customHeight="1">
      <c r="A135" s="1190" t="s">
        <v>344</v>
      </c>
      <c r="B135" s="1099"/>
      <c r="C135" s="389" t="s">
        <v>1055</v>
      </c>
      <c r="D135" s="446"/>
      <c r="E135" s="607">
        <f aca="true" t="shared" si="20" ref="E135:J135">SUM(E136:E138)</f>
        <v>1774928</v>
      </c>
      <c r="F135" s="607">
        <f t="shared" si="20"/>
        <v>0</v>
      </c>
      <c r="G135" s="607">
        <f t="shared" si="20"/>
        <v>0</v>
      </c>
      <c r="H135" s="607">
        <f t="shared" si="20"/>
        <v>0</v>
      </c>
      <c r="I135" s="607">
        <f t="shared" si="20"/>
        <v>0</v>
      </c>
      <c r="J135" s="607">
        <f t="shared" si="20"/>
        <v>0</v>
      </c>
    </row>
    <row r="136" spans="1:10" ht="12.75" customHeight="1">
      <c r="A136" s="1190" t="s">
        <v>346</v>
      </c>
      <c r="B136" s="1099"/>
      <c r="C136" s="288" t="s">
        <v>250</v>
      </c>
      <c r="D136" s="446"/>
      <c r="E136" s="606">
        <v>1357453</v>
      </c>
      <c r="F136" s="606">
        <v>0</v>
      </c>
      <c r="G136" s="606">
        <v>0</v>
      </c>
      <c r="H136" s="606">
        <v>0</v>
      </c>
      <c r="I136" s="606">
        <v>0</v>
      </c>
      <c r="J136" s="606">
        <v>0</v>
      </c>
    </row>
    <row r="137" spans="1:10" ht="12.75" customHeight="1">
      <c r="A137" s="1190" t="s">
        <v>347</v>
      </c>
      <c r="B137" s="1099"/>
      <c r="C137" s="288" t="s">
        <v>251</v>
      </c>
      <c r="D137" s="446"/>
      <c r="E137" s="606">
        <v>255484</v>
      </c>
      <c r="F137" s="606">
        <v>0</v>
      </c>
      <c r="G137" s="606">
        <v>0</v>
      </c>
      <c r="H137" s="606">
        <v>0</v>
      </c>
      <c r="I137" s="606">
        <v>0</v>
      </c>
      <c r="J137" s="606">
        <v>0</v>
      </c>
    </row>
    <row r="138" spans="1:10" ht="12.75" customHeight="1">
      <c r="A138" s="1190" t="s">
        <v>348</v>
      </c>
      <c r="B138" s="1099"/>
      <c r="C138" s="288" t="s">
        <v>252</v>
      </c>
      <c r="D138" s="446"/>
      <c r="E138" s="606">
        <v>161991</v>
      </c>
      <c r="F138" s="606">
        <v>0</v>
      </c>
      <c r="G138" s="606">
        <v>0</v>
      </c>
      <c r="H138" s="606">
        <v>0</v>
      </c>
      <c r="I138" s="606">
        <v>0</v>
      </c>
      <c r="J138" s="606">
        <v>0</v>
      </c>
    </row>
    <row r="139" spans="1:10" ht="18" customHeight="1" thickBot="1">
      <c r="A139" s="1896"/>
      <c r="B139" s="1897"/>
      <c r="C139" s="1325" t="s">
        <v>238</v>
      </c>
      <c r="D139" s="1326">
        <f>SUM(D118:D123)</f>
        <v>14</v>
      </c>
      <c r="E139" s="1327">
        <f aca="true" t="shared" si="21" ref="E139:J139">SUM(E140:E143)</f>
        <v>87653371</v>
      </c>
      <c r="F139" s="1327">
        <f t="shared" si="21"/>
        <v>99218452</v>
      </c>
      <c r="G139" s="1327">
        <f t="shared" si="21"/>
        <v>105488509</v>
      </c>
      <c r="H139" s="1327">
        <f t="shared" si="21"/>
        <v>105488532</v>
      </c>
      <c r="I139" s="1327">
        <f t="shared" si="21"/>
        <v>105488541</v>
      </c>
      <c r="J139" s="1327">
        <f t="shared" si="21"/>
        <v>101211543</v>
      </c>
    </row>
    <row r="140" spans="1:10" ht="12.75" customHeight="1">
      <c r="A140" s="1196" t="s">
        <v>350</v>
      </c>
      <c r="B140" s="1135"/>
      <c r="C140" s="1136" t="s">
        <v>250</v>
      </c>
      <c r="D140" s="182"/>
      <c r="E140" s="1137">
        <f aca="true" t="shared" si="22" ref="E140:G141">SUM(E119+E124)+E128+E132+E136</f>
        <v>62217645</v>
      </c>
      <c r="F140" s="1137">
        <f t="shared" si="22"/>
        <v>73224344</v>
      </c>
      <c r="G140" s="1137">
        <f t="shared" si="22"/>
        <v>78798803</v>
      </c>
      <c r="H140" s="1137">
        <f aca="true" t="shared" si="23" ref="H140:J141">SUM(H119+H124)+H128+H132+H136</f>
        <v>78798803</v>
      </c>
      <c r="I140" s="1137">
        <f t="shared" si="23"/>
        <v>78798803</v>
      </c>
      <c r="J140" s="1137">
        <f t="shared" si="23"/>
        <v>77374506</v>
      </c>
    </row>
    <row r="141" spans="1:10" ht="12.75" customHeight="1">
      <c r="A141" s="1189" t="s">
        <v>351</v>
      </c>
      <c r="B141" s="1099"/>
      <c r="C141" s="1102" t="s">
        <v>251</v>
      </c>
      <c r="D141" s="765"/>
      <c r="E141" s="790">
        <f t="shared" si="22"/>
        <v>12151620</v>
      </c>
      <c r="F141" s="790">
        <f t="shared" si="22"/>
        <v>13044108</v>
      </c>
      <c r="G141" s="790">
        <f t="shared" si="22"/>
        <v>13739698</v>
      </c>
      <c r="H141" s="790">
        <f t="shared" si="23"/>
        <v>13739698</v>
      </c>
      <c r="I141" s="790">
        <f t="shared" si="23"/>
        <v>13739698</v>
      </c>
      <c r="J141" s="790">
        <f t="shared" si="23"/>
        <v>12886293</v>
      </c>
    </row>
    <row r="142" spans="1:10" ht="12.75" customHeight="1">
      <c r="A142" s="1189" t="s">
        <v>352</v>
      </c>
      <c r="B142" s="1099"/>
      <c r="C142" s="1103" t="s">
        <v>252</v>
      </c>
      <c r="D142" s="767"/>
      <c r="E142" s="788">
        <v>12618426</v>
      </c>
      <c r="F142" s="788">
        <v>12350000</v>
      </c>
      <c r="G142" s="788">
        <v>12350008</v>
      </c>
      <c r="H142" s="788">
        <v>12350031</v>
      </c>
      <c r="I142" s="788">
        <v>12350040</v>
      </c>
      <c r="J142" s="788">
        <f>SUM(J126+J121)</f>
        <v>10409765</v>
      </c>
    </row>
    <row r="143" spans="1:10" ht="12.75" customHeight="1">
      <c r="A143" s="1189" t="s">
        <v>353</v>
      </c>
      <c r="B143" s="1099"/>
      <c r="C143" s="1103" t="s">
        <v>259</v>
      </c>
      <c r="D143" s="767"/>
      <c r="E143" s="788">
        <f aca="true" t="shared" si="24" ref="E143:J143">SUM(E122)</f>
        <v>665680</v>
      </c>
      <c r="F143" s="788">
        <f t="shared" si="24"/>
        <v>600000</v>
      </c>
      <c r="G143" s="788">
        <f t="shared" si="24"/>
        <v>600000</v>
      </c>
      <c r="H143" s="788">
        <f t="shared" si="24"/>
        <v>600000</v>
      </c>
      <c r="I143" s="788">
        <f t="shared" si="24"/>
        <v>600000</v>
      </c>
      <c r="J143" s="788">
        <f t="shared" si="24"/>
        <v>540979</v>
      </c>
    </row>
    <row r="144" spans="1:10" ht="12.75" customHeight="1">
      <c r="A144" s="1206" t="s">
        <v>354</v>
      </c>
      <c r="B144" s="1104"/>
      <c r="C144" s="1085" t="s">
        <v>778</v>
      </c>
      <c r="D144" s="769"/>
      <c r="E144" s="791">
        <v>665680</v>
      </c>
      <c r="F144" s="791">
        <v>600000</v>
      </c>
      <c r="G144" s="791">
        <v>600000</v>
      </c>
      <c r="H144" s="791">
        <v>600000</v>
      </c>
      <c r="I144" s="791">
        <v>600000</v>
      </c>
      <c r="J144" s="791">
        <v>540979</v>
      </c>
    </row>
    <row r="145" spans="1:10" ht="12.75" customHeight="1" thickBot="1">
      <c r="A145" s="1207" t="s">
        <v>355</v>
      </c>
      <c r="B145" s="1134"/>
      <c r="C145" s="1086" t="s">
        <v>779</v>
      </c>
      <c r="D145" s="786"/>
      <c r="E145" s="792"/>
      <c r="F145" s="792"/>
      <c r="G145" s="792"/>
      <c r="H145" s="792"/>
      <c r="I145" s="792"/>
      <c r="J145" s="792"/>
    </row>
    <row r="146" spans="1:10" ht="19.5" customHeight="1" thickBot="1">
      <c r="A146" s="1898" t="s">
        <v>962</v>
      </c>
      <c r="B146" s="1882"/>
      <c r="C146" s="1882"/>
      <c r="D146" s="1882"/>
      <c r="E146" s="5"/>
      <c r="F146" s="5"/>
      <c r="G146" s="5"/>
      <c r="H146" s="5"/>
      <c r="I146" s="5"/>
      <c r="J146" s="5"/>
    </row>
    <row r="147" spans="1:10" ht="12.75" customHeight="1">
      <c r="A147" s="1208" t="s">
        <v>356</v>
      </c>
      <c r="B147" s="1138" t="s">
        <v>164</v>
      </c>
      <c r="C147" s="1139" t="s">
        <v>319</v>
      </c>
      <c r="D147" s="1140">
        <v>1</v>
      </c>
      <c r="E147" s="1141">
        <f aca="true" t="shared" si="25" ref="E147:J147">SUM(E148:E150)</f>
        <v>18885094</v>
      </c>
      <c r="F147" s="1141">
        <f t="shared" si="25"/>
        <v>19116299</v>
      </c>
      <c r="G147" s="1141">
        <f t="shared" si="25"/>
        <v>14423910</v>
      </c>
      <c r="H147" s="1141">
        <f t="shared" si="25"/>
        <v>14710910</v>
      </c>
      <c r="I147" s="1141">
        <f t="shared" si="25"/>
        <v>14710910</v>
      </c>
      <c r="J147" s="1141">
        <f t="shared" si="25"/>
        <v>14710910</v>
      </c>
    </row>
    <row r="148" spans="1:10" ht="12.75" customHeight="1">
      <c r="A148" s="1209" t="s">
        <v>357</v>
      </c>
      <c r="B148" s="133"/>
      <c r="C148" s="17" t="s">
        <v>250</v>
      </c>
      <c r="D148" s="134"/>
      <c r="E148" s="423">
        <v>2397618</v>
      </c>
      <c r="F148" s="423">
        <v>2634846</v>
      </c>
      <c r="G148" s="423">
        <v>2634846</v>
      </c>
      <c r="H148" s="423">
        <v>2634846</v>
      </c>
      <c r="I148" s="423">
        <v>2634846</v>
      </c>
      <c r="J148" s="423">
        <v>2634846</v>
      </c>
    </row>
    <row r="149" spans="1:10" ht="12.75" customHeight="1">
      <c r="A149" s="1209" t="s">
        <v>358</v>
      </c>
      <c r="B149" s="133"/>
      <c r="C149" s="17" t="s">
        <v>251</v>
      </c>
      <c r="D149" s="134"/>
      <c r="E149" s="423">
        <v>487476</v>
      </c>
      <c r="F149" s="423">
        <v>481453</v>
      </c>
      <c r="G149" s="423">
        <v>481453</v>
      </c>
      <c r="H149" s="423">
        <v>481453</v>
      </c>
      <c r="I149" s="423">
        <v>481453</v>
      </c>
      <c r="J149" s="423">
        <v>481453</v>
      </c>
    </row>
    <row r="150" spans="1:10" ht="12.75" customHeight="1">
      <c r="A150" s="1209" t="s">
        <v>360</v>
      </c>
      <c r="B150" s="133"/>
      <c r="C150" s="17" t="s">
        <v>252</v>
      </c>
      <c r="D150" s="134"/>
      <c r="E150" s="424">
        <v>16000000</v>
      </c>
      <c r="F150" s="424">
        <v>16000000</v>
      </c>
      <c r="G150" s="424">
        <v>11307611</v>
      </c>
      <c r="H150" s="424">
        <v>11594611</v>
      </c>
      <c r="I150" s="424">
        <v>11594611</v>
      </c>
      <c r="J150" s="424">
        <v>11594611</v>
      </c>
    </row>
    <row r="151" spans="1:10" ht="12.75" customHeight="1">
      <c r="A151" s="1210" t="s">
        <v>361</v>
      </c>
      <c r="B151" s="130" t="s">
        <v>166</v>
      </c>
      <c r="C151" s="9" t="s">
        <v>485</v>
      </c>
      <c r="D151" s="131"/>
      <c r="E151" s="421">
        <f aca="true" t="shared" si="26" ref="E151:J151">SUM(E152:E154)</f>
        <v>4842080</v>
      </c>
      <c r="F151" s="421">
        <f t="shared" si="26"/>
        <v>4850107</v>
      </c>
      <c r="G151" s="421">
        <f t="shared" si="26"/>
        <v>4350107</v>
      </c>
      <c r="H151" s="421">
        <f t="shared" si="26"/>
        <v>4350107</v>
      </c>
      <c r="I151" s="421">
        <f t="shared" si="26"/>
        <v>4350107</v>
      </c>
      <c r="J151" s="421">
        <f t="shared" si="26"/>
        <v>4350107</v>
      </c>
    </row>
    <row r="152" spans="1:10" ht="12.75" customHeight="1">
      <c r="A152" s="1209" t="s">
        <v>362</v>
      </c>
      <c r="B152" s="133"/>
      <c r="C152" s="17" t="s">
        <v>250</v>
      </c>
      <c r="D152" s="134"/>
      <c r="E152" s="423">
        <v>284281</v>
      </c>
      <c r="F152" s="423">
        <v>296017</v>
      </c>
      <c r="G152" s="423">
        <v>296017</v>
      </c>
      <c r="H152" s="423">
        <v>296017</v>
      </c>
      <c r="I152" s="423">
        <v>296017</v>
      </c>
      <c r="J152" s="423">
        <v>296017</v>
      </c>
    </row>
    <row r="153" spans="1:10" ht="12.75" customHeight="1">
      <c r="A153" s="1209" t="s">
        <v>363</v>
      </c>
      <c r="B153" s="133"/>
      <c r="C153" s="136" t="s">
        <v>251</v>
      </c>
      <c r="D153" s="195"/>
      <c r="E153" s="425">
        <v>57799</v>
      </c>
      <c r="F153" s="425">
        <v>54090</v>
      </c>
      <c r="G153" s="425">
        <v>54090</v>
      </c>
      <c r="H153" s="425">
        <v>54090</v>
      </c>
      <c r="I153" s="425">
        <v>54090</v>
      </c>
      <c r="J153" s="425">
        <v>54090</v>
      </c>
    </row>
    <row r="154" spans="1:10" ht="12.75" customHeight="1">
      <c r="A154" s="1209" t="s">
        <v>364</v>
      </c>
      <c r="B154" s="133"/>
      <c r="C154" s="288" t="s">
        <v>252</v>
      </c>
      <c r="D154" s="416"/>
      <c r="E154" s="426">
        <v>4500000</v>
      </c>
      <c r="F154" s="426">
        <v>4500000</v>
      </c>
      <c r="G154" s="426">
        <v>4000000</v>
      </c>
      <c r="H154" s="426">
        <v>4000000</v>
      </c>
      <c r="I154" s="426">
        <v>4000000</v>
      </c>
      <c r="J154" s="426">
        <v>4000000</v>
      </c>
    </row>
    <row r="155" spans="1:10" ht="12.75" customHeight="1">
      <c r="A155" s="1210" t="s">
        <v>365</v>
      </c>
      <c r="B155" s="130" t="s">
        <v>173</v>
      </c>
      <c r="C155" s="389" t="s">
        <v>486</v>
      </c>
      <c r="D155" s="416"/>
      <c r="E155" s="412">
        <f aca="true" t="shared" si="27" ref="E155:J155">SUM(E156:E158)</f>
        <v>0</v>
      </c>
      <c r="F155" s="412">
        <f t="shared" si="27"/>
        <v>0</v>
      </c>
      <c r="G155" s="412">
        <f t="shared" si="27"/>
        <v>0</v>
      </c>
      <c r="H155" s="412">
        <f t="shared" si="27"/>
        <v>0</v>
      </c>
      <c r="I155" s="412">
        <f t="shared" si="27"/>
        <v>0</v>
      </c>
      <c r="J155" s="412">
        <f t="shared" si="27"/>
        <v>0</v>
      </c>
    </row>
    <row r="156" spans="1:10" ht="12.75" customHeight="1">
      <c r="A156" s="1209" t="s">
        <v>366</v>
      </c>
      <c r="B156" s="133"/>
      <c r="C156" s="288" t="s">
        <v>250</v>
      </c>
      <c r="D156" s="416"/>
      <c r="E156" s="426">
        <v>0</v>
      </c>
      <c r="F156" s="426">
        <v>0</v>
      </c>
      <c r="G156" s="426">
        <v>0</v>
      </c>
      <c r="H156" s="426">
        <v>0</v>
      </c>
      <c r="I156" s="426">
        <v>0</v>
      </c>
      <c r="J156" s="426">
        <v>0</v>
      </c>
    </row>
    <row r="157" spans="1:10" ht="12.75" customHeight="1">
      <c r="A157" s="1209" t="s">
        <v>367</v>
      </c>
      <c r="B157" s="133"/>
      <c r="C157" s="120" t="s">
        <v>251</v>
      </c>
      <c r="D157" s="178"/>
      <c r="E157" s="427">
        <v>0</v>
      </c>
      <c r="F157" s="427">
        <v>0</v>
      </c>
      <c r="G157" s="427">
        <v>0</v>
      </c>
      <c r="H157" s="427">
        <v>0</v>
      </c>
      <c r="I157" s="427">
        <v>0</v>
      </c>
      <c r="J157" s="427">
        <v>0</v>
      </c>
    </row>
    <row r="158" spans="1:10" ht="12.75" customHeight="1">
      <c r="A158" s="1209" t="s">
        <v>368</v>
      </c>
      <c r="B158" s="133"/>
      <c r="C158" s="17" t="s">
        <v>252</v>
      </c>
      <c r="D158" s="131"/>
      <c r="E158" s="423">
        <v>0</v>
      </c>
      <c r="F158" s="423">
        <v>0</v>
      </c>
      <c r="G158" s="423">
        <v>0</v>
      </c>
      <c r="H158" s="423">
        <v>0</v>
      </c>
      <c r="I158" s="423">
        <v>0</v>
      </c>
      <c r="J158" s="423">
        <v>0</v>
      </c>
    </row>
    <row r="159" spans="1:10" ht="12.75" customHeight="1">
      <c r="A159" s="1210" t="s">
        <v>369</v>
      </c>
      <c r="B159" s="130" t="s">
        <v>182</v>
      </c>
      <c r="C159" s="9" t="s">
        <v>328</v>
      </c>
      <c r="D159" s="131">
        <v>16</v>
      </c>
      <c r="E159" s="421">
        <f aca="true" t="shared" si="28" ref="E159:J159">SUM(E160:E162)</f>
        <v>64660655</v>
      </c>
      <c r="F159" s="421">
        <f t="shared" si="28"/>
        <v>62675906</v>
      </c>
      <c r="G159" s="421">
        <f t="shared" si="28"/>
        <v>62675906</v>
      </c>
      <c r="H159" s="421">
        <f t="shared" si="28"/>
        <v>62675906</v>
      </c>
      <c r="I159" s="421">
        <f t="shared" si="28"/>
        <v>62675906</v>
      </c>
      <c r="J159" s="421">
        <f t="shared" si="28"/>
        <v>72607185</v>
      </c>
    </row>
    <row r="160" spans="1:10" s="138" customFormat="1" ht="19.5" customHeight="1">
      <c r="A160" s="1209" t="s">
        <v>370</v>
      </c>
      <c r="B160" s="133"/>
      <c r="C160" s="17" t="s">
        <v>250</v>
      </c>
      <c r="D160" s="131"/>
      <c r="E160" s="423">
        <v>53356156</v>
      </c>
      <c r="F160" s="423">
        <v>51801670</v>
      </c>
      <c r="G160" s="423">
        <v>51801670</v>
      </c>
      <c r="H160" s="423">
        <v>51801670</v>
      </c>
      <c r="I160" s="423">
        <v>51801670</v>
      </c>
      <c r="J160" s="423">
        <v>59077057</v>
      </c>
    </row>
    <row r="161" spans="1:10" ht="12.75" customHeight="1">
      <c r="A161" s="1209" t="s">
        <v>371</v>
      </c>
      <c r="B161" s="133"/>
      <c r="C161" s="17" t="s">
        <v>251</v>
      </c>
      <c r="D161" s="131"/>
      <c r="E161" s="423">
        <v>9863094</v>
      </c>
      <c r="F161" s="423">
        <v>9432831</v>
      </c>
      <c r="G161" s="423">
        <v>9432831</v>
      </c>
      <c r="H161" s="423">
        <v>9432831</v>
      </c>
      <c r="I161" s="423">
        <v>9432831</v>
      </c>
      <c r="J161" s="423">
        <v>10518712</v>
      </c>
    </row>
    <row r="162" spans="1:10" ht="12.75" customHeight="1">
      <c r="A162" s="1209" t="s">
        <v>963</v>
      </c>
      <c r="B162" s="133"/>
      <c r="C162" s="17" t="s">
        <v>252</v>
      </c>
      <c r="D162" s="131"/>
      <c r="E162" s="423">
        <v>1441405</v>
      </c>
      <c r="F162" s="423">
        <v>1441405</v>
      </c>
      <c r="G162" s="423">
        <v>1441405</v>
      </c>
      <c r="H162" s="423">
        <v>1441405</v>
      </c>
      <c r="I162" s="423">
        <v>1441405</v>
      </c>
      <c r="J162" s="423">
        <v>3011416</v>
      </c>
    </row>
    <row r="163" spans="1:10" ht="12.75" customHeight="1">
      <c r="A163" s="1211" t="s">
        <v>964</v>
      </c>
      <c r="B163" s="1082"/>
      <c r="C163" s="57" t="s">
        <v>952</v>
      </c>
      <c r="D163" s="1084"/>
      <c r="E163" s="691">
        <v>300000</v>
      </c>
      <c r="F163" s="691">
        <v>60000</v>
      </c>
      <c r="G163" s="691">
        <v>60000</v>
      </c>
      <c r="H163" s="691">
        <v>150000</v>
      </c>
      <c r="I163" s="691">
        <v>150000</v>
      </c>
      <c r="J163" s="691">
        <v>150000</v>
      </c>
    </row>
    <row r="164" spans="1:10" ht="12.75" customHeight="1">
      <c r="A164" s="1209" t="s">
        <v>372</v>
      </c>
      <c r="B164" s="133"/>
      <c r="C164" s="17" t="s">
        <v>15</v>
      </c>
      <c r="D164" s="131"/>
      <c r="E164" s="423">
        <v>0</v>
      </c>
      <c r="F164" s="423">
        <v>0</v>
      </c>
      <c r="G164" s="423">
        <v>0</v>
      </c>
      <c r="H164" s="423">
        <v>0</v>
      </c>
      <c r="I164" s="423">
        <v>0</v>
      </c>
      <c r="J164" s="423">
        <v>0</v>
      </c>
    </row>
    <row r="165" spans="1:10" ht="12.75" customHeight="1">
      <c r="A165" s="1210" t="s">
        <v>374</v>
      </c>
      <c r="B165" s="130" t="s">
        <v>183</v>
      </c>
      <c r="C165" s="9" t="s">
        <v>487</v>
      </c>
      <c r="D165" s="131"/>
      <c r="E165" s="421">
        <f aca="true" t="shared" si="29" ref="E165:J165">SUM(E166:E168)</f>
        <v>394000</v>
      </c>
      <c r="F165" s="421">
        <f t="shared" si="29"/>
        <v>0</v>
      </c>
      <c r="G165" s="421">
        <f t="shared" si="29"/>
        <v>0</v>
      </c>
      <c r="H165" s="421">
        <f t="shared" si="29"/>
        <v>0</v>
      </c>
      <c r="I165" s="421">
        <f t="shared" si="29"/>
        <v>0</v>
      </c>
      <c r="J165" s="421">
        <f t="shared" si="29"/>
        <v>0</v>
      </c>
    </row>
    <row r="166" spans="1:10" ht="12.75" customHeight="1">
      <c r="A166" s="1209" t="s">
        <v>375</v>
      </c>
      <c r="B166" s="133"/>
      <c r="C166" s="17" t="s">
        <v>250</v>
      </c>
      <c r="D166" s="131"/>
      <c r="E166" s="423">
        <v>330000</v>
      </c>
      <c r="F166" s="423">
        <v>0</v>
      </c>
      <c r="G166" s="423">
        <v>0</v>
      </c>
      <c r="H166" s="423">
        <v>0</v>
      </c>
      <c r="I166" s="423">
        <v>0</v>
      </c>
      <c r="J166" s="423">
        <v>0</v>
      </c>
    </row>
    <row r="167" spans="1:10" ht="12.75" customHeight="1">
      <c r="A167" s="1209" t="s">
        <v>376</v>
      </c>
      <c r="B167" s="133"/>
      <c r="C167" s="17" t="s">
        <v>251</v>
      </c>
      <c r="D167" s="131"/>
      <c r="E167" s="423">
        <v>64000</v>
      </c>
      <c r="F167" s="423">
        <v>0</v>
      </c>
      <c r="G167" s="423">
        <v>0</v>
      </c>
      <c r="H167" s="423">
        <v>0</v>
      </c>
      <c r="I167" s="423">
        <v>0</v>
      </c>
      <c r="J167" s="423">
        <v>0</v>
      </c>
    </row>
    <row r="168" spans="1:10" ht="12.75" customHeight="1">
      <c r="A168" s="1209" t="s">
        <v>377</v>
      </c>
      <c r="B168" s="133"/>
      <c r="C168" s="17" t="s">
        <v>252</v>
      </c>
      <c r="D168" s="131"/>
      <c r="E168" s="423">
        <v>0</v>
      </c>
      <c r="F168" s="423">
        <v>0</v>
      </c>
      <c r="G168" s="423">
        <v>0</v>
      </c>
      <c r="H168" s="423">
        <v>0</v>
      </c>
      <c r="I168" s="423">
        <v>0</v>
      </c>
      <c r="J168" s="423">
        <v>0</v>
      </c>
    </row>
    <row r="169" spans="1:10" ht="12.75" customHeight="1">
      <c r="A169" s="1210" t="s">
        <v>379</v>
      </c>
      <c r="B169" s="130" t="s">
        <v>184</v>
      </c>
      <c r="C169" s="9" t="s">
        <v>334</v>
      </c>
      <c r="D169" s="131"/>
      <c r="E169" s="421">
        <f aca="true" t="shared" si="30" ref="E169:J169">SUM(E170:E172)</f>
        <v>13206641</v>
      </c>
      <c r="F169" s="421">
        <f t="shared" si="30"/>
        <v>15594465</v>
      </c>
      <c r="G169" s="421">
        <f t="shared" si="30"/>
        <v>15629711</v>
      </c>
      <c r="H169" s="421">
        <f t="shared" si="30"/>
        <v>15629711</v>
      </c>
      <c r="I169" s="421">
        <f t="shared" si="30"/>
        <v>15629711</v>
      </c>
      <c r="J169" s="421">
        <f t="shared" si="30"/>
        <v>15629711</v>
      </c>
    </row>
    <row r="170" spans="1:10" s="64" customFormat="1" ht="12.75" customHeight="1">
      <c r="A170" s="1209" t="s">
        <v>380</v>
      </c>
      <c r="B170" s="133"/>
      <c r="C170" s="17" t="s">
        <v>250</v>
      </c>
      <c r="D170" s="131">
        <v>3</v>
      </c>
      <c r="E170" s="423">
        <v>10350140</v>
      </c>
      <c r="F170" s="423">
        <v>12647110</v>
      </c>
      <c r="G170" s="423">
        <v>12647110</v>
      </c>
      <c r="H170" s="423">
        <v>12647110</v>
      </c>
      <c r="I170" s="423">
        <v>12647110</v>
      </c>
      <c r="J170" s="423">
        <v>12647110</v>
      </c>
    </row>
    <row r="171" spans="1:10" ht="12.75" customHeight="1">
      <c r="A171" s="1209" t="s">
        <v>381</v>
      </c>
      <c r="B171" s="133"/>
      <c r="C171" s="17" t="s">
        <v>251</v>
      </c>
      <c r="D171" s="131"/>
      <c r="E171" s="423">
        <v>2170318</v>
      </c>
      <c r="F171" s="423">
        <v>2257355</v>
      </c>
      <c r="G171" s="423">
        <v>2257355</v>
      </c>
      <c r="H171" s="423">
        <v>2257355</v>
      </c>
      <c r="I171" s="423">
        <v>2257355</v>
      </c>
      <c r="J171" s="423">
        <v>2257355</v>
      </c>
    </row>
    <row r="172" spans="1:10" ht="12.75" customHeight="1">
      <c r="A172" s="1209" t="s">
        <v>382</v>
      </c>
      <c r="B172" s="133"/>
      <c r="C172" s="17" t="s">
        <v>252</v>
      </c>
      <c r="D172" s="131"/>
      <c r="E172" s="423">
        <v>686183</v>
      </c>
      <c r="F172" s="423">
        <v>690000</v>
      </c>
      <c r="G172" s="423">
        <v>725246</v>
      </c>
      <c r="H172" s="423">
        <v>725246</v>
      </c>
      <c r="I172" s="423">
        <v>725246</v>
      </c>
      <c r="J172" s="423">
        <v>725246</v>
      </c>
    </row>
    <row r="173" spans="1:10" ht="12.75" customHeight="1">
      <c r="A173" s="1210" t="s">
        <v>384</v>
      </c>
      <c r="B173" s="130" t="s">
        <v>186</v>
      </c>
      <c r="C173" s="9" t="s">
        <v>339</v>
      </c>
      <c r="D173" s="131">
        <v>7</v>
      </c>
      <c r="E173" s="421">
        <f aca="true" t="shared" si="31" ref="E173:J173">SUM(E174:E176)</f>
        <v>20133362</v>
      </c>
      <c r="F173" s="421">
        <f t="shared" si="31"/>
        <v>23890051</v>
      </c>
      <c r="G173" s="421">
        <f t="shared" si="31"/>
        <v>23908851</v>
      </c>
      <c r="H173" s="421">
        <f t="shared" si="31"/>
        <v>23908851</v>
      </c>
      <c r="I173" s="421">
        <f t="shared" si="31"/>
        <v>23908851</v>
      </c>
      <c r="J173" s="421">
        <f t="shared" si="31"/>
        <v>23908851</v>
      </c>
    </row>
    <row r="174" spans="1:10" s="64" customFormat="1" ht="12.75" customHeight="1">
      <c r="A174" s="1209" t="s">
        <v>385</v>
      </c>
      <c r="B174" s="133"/>
      <c r="C174" s="17" t="s">
        <v>250</v>
      </c>
      <c r="D174" s="131"/>
      <c r="E174" s="423">
        <v>15644463</v>
      </c>
      <c r="F174" s="423">
        <v>19090690</v>
      </c>
      <c r="G174" s="423">
        <v>19106690</v>
      </c>
      <c r="H174" s="423">
        <v>19106690</v>
      </c>
      <c r="I174" s="423">
        <v>19106690</v>
      </c>
      <c r="J174" s="423">
        <v>19106690</v>
      </c>
    </row>
    <row r="175" spans="1:10" ht="12.75" customHeight="1">
      <c r="A175" s="1209" t="s">
        <v>386</v>
      </c>
      <c r="B175" s="133"/>
      <c r="C175" s="17" t="s">
        <v>251</v>
      </c>
      <c r="D175" s="134"/>
      <c r="E175" s="423">
        <v>3188899</v>
      </c>
      <c r="F175" s="423">
        <v>3499361</v>
      </c>
      <c r="G175" s="423">
        <v>3502161</v>
      </c>
      <c r="H175" s="423">
        <v>3502161</v>
      </c>
      <c r="I175" s="423">
        <v>3502161</v>
      </c>
      <c r="J175" s="423">
        <v>3502161</v>
      </c>
    </row>
    <row r="176" spans="1:10" ht="12.75" customHeight="1">
      <c r="A176" s="1209" t="s">
        <v>387</v>
      </c>
      <c r="B176" s="133"/>
      <c r="C176" s="17" t="s">
        <v>622</v>
      </c>
      <c r="D176" s="134"/>
      <c r="E176" s="423">
        <v>1300000</v>
      </c>
      <c r="F176" s="423">
        <v>1300000</v>
      </c>
      <c r="G176" s="423">
        <v>1300000</v>
      </c>
      <c r="H176" s="423">
        <v>1300000</v>
      </c>
      <c r="I176" s="423">
        <v>1300000</v>
      </c>
      <c r="J176" s="423">
        <v>1300000</v>
      </c>
    </row>
    <row r="177" spans="1:10" ht="12.75" customHeight="1">
      <c r="A177" s="1211" t="s">
        <v>388</v>
      </c>
      <c r="B177" s="1082"/>
      <c r="C177" s="57" t="s">
        <v>951</v>
      </c>
      <c r="D177" s="1083"/>
      <c r="E177" s="691">
        <v>240000</v>
      </c>
      <c r="F177" s="691">
        <v>0</v>
      </c>
      <c r="G177" s="691">
        <v>0</v>
      </c>
      <c r="H177" s="691">
        <v>0</v>
      </c>
      <c r="I177" s="691">
        <v>0</v>
      </c>
      <c r="J177" s="691">
        <v>0</v>
      </c>
    </row>
    <row r="178" spans="1:10" ht="12.75" customHeight="1">
      <c r="A178" s="1209" t="s">
        <v>389</v>
      </c>
      <c r="B178" s="133"/>
      <c r="C178" s="17" t="s">
        <v>15</v>
      </c>
      <c r="D178" s="134"/>
      <c r="E178" s="423">
        <v>0</v>
      </c>
      <c r="F178" s="423">
        <v>0</v>
      </c>
      <c r="G178" s="423">
        <v>0</v>
      </c>
      <c r="H178" s="423">
        <v>0</v>
      </c>
      <c r="I178" s="423">
        <v>0</v>
      </c>
      <c r="J178" s="423">
        <v>0</v>
      </c>
    </row>
    <row r="179" spans="1:10" ht="26.25" customHeight="1">
      <c r="A179" s="1210" t="s">
        <v>390</v>
      </c>
      <c r="B179" s="130" t="s">
        <v>189</v>
      </c>
      <c r="C179" s="9" t="s">
        <v>345</v>
      </c>
      <c r="D179" s="131">
        <v>0</v>
      </c>
      <c r="E179" s="421">
        <f aca="true" t="shared" si="32" ref="E179:J179">SUM(E180:E183)</f>
        <v>4656232</v>
      </c>
      <c r="F179" s="421">
        <f t="shared" si="32"/>
        <v>4500000</v>
      </c>
      <c r="G179" s="421">
        <f t="shared" si="32"/>
        <v>4059000</v>
      </c>
      <c r="H179" s="421">
        <f t="shared" si="32"/>
        <v>4059034</v>
      </c>
      <c r="I179" s="421">
        <f t="shared" si="32"/>
        <v>4059044</v>
      </c>
      <c r="J179" s="421">
        <f t="shared" si="32"/>
        <v>3892803</v>
      </c>
    </row>
    <row r="180" spans="1:10" ht="12.75" customHeight="1">
      <c r="A180" s="1209" t="s">
        <v>391</v>
      </c>
      <c r="B180" s="133"/>
      <c r="C180" s="17" t="s">
        <v>488</v>
      </c>
      <c r="D180" s="134"/>
      <c r="E180" s="423">
        <v>500000</v>
      </c>
      <c r="F180" s="423">
        <v>0</v>
      </c>
      <c r="G180" s="423">
        <v>0</v>
      </c>
      <c r="H180" s="423">
        <v>0</v>
      </c>
      <c r="I180" s="423">
        <v>0</v>
      </c>
      <c r="J180" s="423">
        <v>0</v>
      </c>
    </row>
    <row r="181" spans="1:10" ht="12.75" customHeight="1">
      <c r="A181" s="1209" t="s">
        <v>392</v>
      </c>
      <c r="B181" s="133"/>
      <c r="C181" s="17" t="s">
        <v>489</v>
      </c>
      <c r="D181" s="134"/>
      <c r="E181" s="423">
        <v>97500</v>
      </c>
      <c r="F181" s="423">
        <v>0</v>
      </c>
      <c r="G181" s="423">
        <v>0</v>
      </c>
      <c r="H181" s="423">
        <v>0</v>
      </c>
      <c r="I181" s="423">
        <v>0</v>
      </c>
      <c r="J181" s="423">
        <v>0</v>
      </c>
    </row>
    <row r="182" spans="1:10" ht="12.75" customHeight="1">
      <c r="A182" s="1209" t="s">
        <v>393</v>
      </c>
      <c r="B182" s="133"/>
      <c r="C182" s="17" t="s">
        <v>447</v>
      </c>
      <c r="D182" s="134"/>
      <c r="E182" s="423">
        <v>3251110</v>
      </c>
      <c r="F182" s="423">
        <v>4000000</v>
      </c>
      <c r="G182" s="423">
        <v>3559000</v>
      </c>
      <c r="H182" s="423">
        <v>3559034</v>
      </c>
      <c r="I182" s="423">
        <v>3559044</v>
      </c>
      <c r="J182" s="423">
        <v>3559044</v>
      </c>
    </row>
    <row r="183" spans="1:10" ht="12.75" customHeight="1" thickBot="1">
      <c r="A183" s="1212" t="s">
        <v>394</v>
      </c>
      <c r="B183" s="1142"/>
      <c r="C183" s="1143" t="s">
        <v>15</v>
      </c>
      <c r="D183" s="1144"/>
      <c r="E183" s="1145">
        <v>807622</v>
      </c>
      <c r="F183" s="1145">
        <v>500000</v>
      </c>
      <c r="G183" s="1145">
        <v>500000</v>
      </c>
      <c r="H183" s="1145">
        <v>500000</v>
      </c>
      <c r="I183" s="1145">
        <v>500000</v>
      </c>
      <c r="J183" s="1145">
        <v>333759</v>
      </c>
    </row>
    <row r="184" spans="1:10" ht="19.5" customHeight="1" thickBot="1">
      <c r="A184" s="1146" t="s">
        <v>395</v>
      </c>
      <c r="B184" s="1147" t="s">
        <v>191</v>
      </c>
      <c r="C184" s="1148" t="s">
        <v>490</v>
      </c>
      <c r="D184" s="1149">
        <v>27</v>
      </c>
      <c r="E184" s="1150">
        <f aca="true" t="shared" si="33" ref="E184:J184">SUM(E147+E151+E159+E169+E173+E179)+E165+E155</f>
        <v>126778064</v>
      </c>
      <c r="F184" s="1150">
        <f t="shared" si="33"/>
        <v>130626828</v>
      </c>
      <c r="G184" s="1150">
        <f t="shared" si="33"/>
        <v>125047485</v>
      </c>
      <c r="H184" s="1150">
        <f t="shared" si="33"/>
        <v>125334519</v>
      </c>
      <c r="I184" s="1150">
        <f t="shared" si="33"/>
        <v>125334529</v>
      </c>
      <c r="J184" s="1150">
        <f t="shared" si="33"/>
        <v>135099567</v>
      </c>
    </row>
    <row r="185" spans="1:10" s="64" customFormat="1" ht="24" customHeight="1">
      <c r="A185" s="1213">
        <v>171</v>
      </c>
      <c r="B185" s="1151"/>
      <c r="C185" s="789" t="s">
        <v>250</v>
      </c>
      <c r="D185" s="1159"/>
      <c r="E185" s="1449">
        <f aca="true" t="shared" si="34" ref="E185:J185">SUM(E148+E152+E160+E170+E174)+E166+E180</f>
        <v>82862658</v>
      </c>
      <c r="F185" s="1152">
        <f t="shared" si="34"/>
        <v>86470333</v>
      </c>
      <c r="G185" s="1152">
        <f t="shared" si="34"/>
        <v>86486333</v>
      </c>
      <c r="H185" s="1152">
        <f t="shared" si="34"/>
        <v>86486333</v>
      </c>
      <c r="I185" s="1152">
        <f t="shared" si="34"/>
        <v>86486333</v>
      </c>
      <c r="J185" s="1152">
        <f t="shared" si="34"/>
        <v>93761720</v>
      </c>
    </row>
    <row r="186" spans="1:10" ht="12.75" customHeight="1">
      <c r="A186" s="1209" t="s">
        <v>396</v>
      </c>
      <c r="B186" s="145"/>
      <c r="C186" s="147" t="s">
        <v>251</v>
      </c>
      <c r="D186" s="1160"/>
      <c r="E186" s="1181">
        <f aca="true" t="shared" si="35" ref="E186:J186">SUM(E149+E161+E171+E175)+E153+E167+E181</f>
        <v>15929086</v>
      </c>
      <c r="F186" s="904">
        <f t="shared" si="35"/>
        <v>15725090</v>
      </c>
      <c r="G186" s="904">
        <f t="shared" si="35"/>
        <v>15727890</v>
      </c>
      <c r="H186" s="904">
        <f t="shared" si="35"/>
        <v>15727890</v>
      </c>
      <c r="I186" s="904">
        <f t="shared" si="35"/>
        <v>15727890</v>
      </c>
      <c r="J186" s="904">
        <f t="shared" si="35"/>
        <v>16813771</v>
      </c>
    </row>
    <row r="187" spans="1:10" ht="12.75" customHeight="1">
      <c r="A187" s="1209" t="s">
        <v>686</v>
      </c>
      <c r="B187" s="145"/>
      <c r="C187" s="147" t="s">
        <v>252</v>
      </c>
      <c r="D187" s="1160"/>
      <c r="E187" s="1181">
        <f aca="true" t="shared" si="36" ref="E187:J187">SUM(E150+E154+E162+E172+E176+E182)</f>
        <v>27178698</v>
      </c>
      <c r="F187" s="904">
        <f t="shared" si="36"/>
        <v>27931405</v>
      </c>
      <c r="G187" s="904">
        <f t="shared" si="36"/>
        <v>22333262</v>
      </c>
      <c r="H187" s="904">
        <f t="shared" si="36"/>
        <v>22620296</v>
      </c>
      <c r="I187" s="904">
        <f t="shared" si="36"/>
        <v>22620306</v>
      </c>
      <c r="J187" s="904">
        <f t="shared" si="36"/>
        <v>24190317</v>
      </c>
    </row>
    <row r="188" spans="1:10" ht="12.75" customHeight="1">
      <c r="A188" s="1214" t="s">
        <v>687</v>
      </c>
      <c r="B188" s="763"/>
      <c r="C188" s="764" t="s">
        <v>15</v>
      </c>
      <c r="D188" s="1161"/>
      <c r="E188" s="1181">
        <f aca="true" t="shared" si="37" ref="E188:J188">SUM(E178+E183)+E164</f>
        <v>807622</v>
      </c>
      <c r="F188" s="1153">
        <f t="shared" si="37"/>
        <v>500000</v>
      </c>
      <c r="G188" s="1153">
        <f t="shared" si="37"/>
        <v>500000</v>
      </c>
      <c r="H188" s="1153">
        <f t="shared" si="37"/>
        <v>500000</v>
      </c>
      <c r="I188" s="1153">
        <f t="shared" si="37"/>
        <v>500000</v>
      </c>
      <c r="J188" s="1153">
        <f t="shared" si="37"/>
        <v>333759</v>
      </c>
    </row>
    <row r="189" spans="1:10" ht="12.75" customHeight="1">
      <c r="A189" s="1215" t="s">
        <v>688</v>
      </c>
      <c r="B189" s="768"/>
      <c r="C189" s="769" t="s">
        <v>778</v>
      </c>
      <c r="D189" s="1162"/>
      <c r="E189" s="1448">
        <v>807622</v>
      </c>
      <c r="F189" s="1154">
        <v>500000</v>
      </c>
      <c r="G189" s="1154">
        <v>500000</v>
      </c>
      <c r="H189" s="1154">
        <v>500000</v>
      </c>
      <c r="I189" s="1154">
        <v>500000</v>
      </c>
      <c r="J189" s="1154">
        <v>333759</v>
      </c>
    </row>
    <row r="190" spans="1:10" ht="13.5" thickBot="1">
      <c r="A190" s="1207" t="s">
        <v>689</v>
      </c>
      <c r="B190" s="786"/>
      <c r="C190" s="786" t="s">
        <v>779</v>
      </c>
      <c r="D190" s="1163"/>
      <c r="E190" s="1450"/>
      <c r="F190" s="1155"/>
      <c r="G190" s="1155"/>
      <c r="H190" s="1155"/>
      <c r="I190" s="1155"/>
      <c r="J190" s="1155"/>
    </row>
    <row r="191" spans="1:10" ht="13.5" thickBot="1">
      <c r="A191" s="1898" t="s">
        <v>1015</v>
      </c>
      <c r="B191" s="1882"/>
      <c r="C191" s="1882"/>
      <c r="D191" s="1882"/>
      <c r="E191" s="5"/>
      <c r="F191" s="5"/>
      <c r="G191" s="5"/>
      <c r="H191" s="5"/>
      <c r="I191" s="5"/>
      <c r="J191" s="5"/>
    </row>
    <row r="192" spans="1:10" ht="12.75" customHeight="1">
      <c r="A192" s="1216" t="s">
        <v>397</v>
      </c>
      <c r="B192" s="585" t="s">
        <v>164</v>
      </c>
      <c r="C192" s="586" t="s">
        <v>359</v>
      </c>
      <c r="D192" s="1166">
        <v>5</v>
      </c>
      <c r="E192" s="1171">
        <f aca="true" t="shared" si="38" ref="E192:J192">SUM(E193+E194+E195+E198)</f>
        <v>25234175</v>
      </c>
      <c r="F192" s="1171">
        <f t="shared" si="38"/>
        <v>26857406</v>
      </c>
      <c r="G192" s="1171">
        <f t="shared" si="38"/>
        <v>22972792</v>
      </c>
      <c r="H192" s="1171">
        <f t="shared" si="38"/>
        <v>23253582</v>
      </c>
      <c r="I192" s="1171">
        <f t="shared" si="38"/>
        <v>23621277</v>
      </c>
      <c r="J192" s="1171">
        <f t="shared" si="38"/>
        <v>22921489</v>
      </c>
    </row>
    <row r="193" spans="1:10" ht="12.75" customHeight="1">
      <c r="A193" s="1189" t="s">
        <v>399</v>
      </c>
      <c r="B193" s="287"/>
      <c r="C193" s="288" t="s">
        <v>250</v>
      </c>
      <c r="D193" s="1167"/>
      <c r="E193" s="1172">
        <v>11818516</v>
      </c>
      <c r="F193" s="1172">
        <v>11927834</v>
      </c>
      <c r="G193" s="1172">
        <v>12026035</v>
      </c>
      <c r="H193" s="1172">
        <v>12222435</v>
      </c>
      <c r="I193" s="1172">
        <v>12376285</v>
      </c>
      <c r="J193" s="1172">
        <v>13184023</v>
      </c>
    </row>
    <row r="194" spans="1:10" ht="12.75" customHeight="1">
      <c r="A194" s="1189" t="s">
        <v>400</v>
      </c>
      <c r="B194" s="287"/>
      <c r="C194" s="288" t="s">
        <v>251</v>
      </c>
      <c r="D194" s="1167"/>
      <c r="E194" s="1172">
        <v>2031672</v>
      </c>
      <c r="F194" s="1172">
        <v>2129572</v>
      </c>
      <c r="G194" s="1172">
        <v>2146757</v>
      </c>
      <c r="H194" s="1172">
        <v>2181127</v>
      </c>
      <c r="I194" s="1172">
        <v>2204974</v>
      </c>
      <c r="J194" s="1172">
        <v>2234109</v>
      </c>
    </row>
    <row r="195" spans="1:10" ht="29.25" customHeight="1">
      <c r="A195" s="1189" t="s">
        <v>401</v>
      </c>
      <c r="B195" s="287"/>
      <c r="C195" s="288" t="s">
        <v>252</v>
      </c>
      <c r="D195" s="1167"/>
      <c r="E195" s="1172">
        <v>11297156</v>
      </c>
      <c r="F195" s="1172">
        <v>12300000</v>
      </c>
      <c r="G195" s="1172">
        <v>8300000</v>
      </c>
      <c r="H195" s="1172">
        <v>8350020</v>
      </c>
      <c r="I195" s="1172">
        <v>8540018</v>
      </c>
      <c r="J195" s="1172">
        <v>7258576</v>
      </c>
    </row>
    <row r="196" spans="1:10" ht="12.75" customHeight="1">
      <c r="A196" s="1217" t="s">
        <v>402</v>
      </c>
      <c r="B196" s="447"/>
      <c r="C196" s="307" t="s">
        <v>631</v>
      </c>
      <c r="D196" s="1168"/>
      <c r="E196" s="1173">
        <v>4929886</v>
      </c>
      <c r="F196" s="1173">
        <v>6000000</v>
      </c>
      <c r="G196" s="1173">
        <v>3320000</v>
      </c>
      <c r="H196" s="1173">
        <v>3320000</v>
      </c>
      <c r="I196" s="1173">
        <v>3320000</v>
      </c>
      <c r="J196" s="1173">
        <v>1469662</v>
      </c>
    </row>
    <row r="197" spans="1:10" ht="12.75" customHeight="1">
      <c r="A197" s="1217" t="s">
        <v>403</v>
      </c>
      <c r="B197" s="447"/>
      <c r="C197" s="307" t="s">
        <v>912</v>
      </c>
      <c r="D197" s="1168"/>
      <c r="E197" s="1173">
        <v>300000</v>
      </c>
      <c r="F197" s="1173">
        <v>100000</v>
      </c>
      <c r="G197" s="1173">
        <v>100000</v>
      </c>
      <c r="H197" s="1173">
        <v>100000</v>
      </c>
      <c r="I197" s="1173">
        <v>100000</v>
      </c>
      <c r="J197" s="1173">
        <v>52460</v>
      </c>
    </row>
    <row r="198" spans="1:10" ht="12.75" customHeight="1">
      <c r="A198" s="1189" t="s">
        <v>404</v>
      </c>
      <c r="B198" s="287"/>
      <c r="C198" s="288" t="s">
        <v>249</v>
      </c>
      <c r="D198" s="1167"/>
      <c r="E198" s="1172">
        <v>86831</v>
      </c>
      <c r="F198" s="1172">
        <v>500000</v>
      </c>
      <c r="G198" s="1172">
        <v>500000</v>
      </c>
      <c r="H198" s="1172">
        <v>500000</v>
      </c>
      <c r="I198" s="1172">
        <v>500000</v>
      </c>
      <c r="J198" s="1172">
        <v>244781</v>
      </c>
    </row>
    <row r="199" spans="1:10" ht="12.75" customHeight="1">
      <c r="A199" s="1218" t="s">
        <v>405</v>
      </c>
      <c r="B199" s="388" t="s">
        <v>166</v>
      </c>
      <c r="C199" s="389" t="s">
        <v>495</v>
      </c>
      <c r="D199" s="1169"/>
      <c r="E199" s="1174">
        <f>SUM(E200:E202)</f>
        <v>210210</v>
      </c>
      <c r="F199" s="1174">
        <f>SUM(F200:F202)</f>
        <v>220000</v>
      </c>
      <c r="G199" s="1174">
        <f>SUM(G200:G202)</f>
        <v>220000</v>
      </c>
      <c r="H199" s="1174">
        <f>SUM(H200:H202)</f>
        <v>220000</v>
      </c>
      <c r="I199" s="1174">
        <f>SUM(I200:I202)</f>
        <v>220000</v>
      </c>
      <c r="J199" s="1174">
        <v>0</v>
      </c>
    </row>
    <row r="200" spans="1:10" s="64" customFormat="1" ht="12.75" customHeight="1">
      <c r="A200" s="1189" t="s">
        <v>407</v>
      </c>
      <c r="B200" s="287"/>
      <c r="C200" s="288" t="s">
        <v>250</v>
      </c>
      <c r="D200" s="1167"/>
      <c r="E200" s="1172">
        <v>0</v>
      </c>
      <c r="F200" s="1172">
        <v>0</v>
      </c>
      <c r="G200" s="1172">
        <v>0</v>
      </c>
      <c r="H200" s="1172">
        <v>0</v>
      </c>
      <c r="I200" s="1172">
        <v>0</v>
      </c>
      <c r="J200" s="1172">
        <v>0</v>
      </c>
    </row>
    <row r="201" spans="1:10" ht="12.75" customHeight="1">
      <c r="A201" s="1189" t="s">
        <v>408</v>
      </c>
      <c r="B201" s="287"/>
      <c r="C201" s="288" t="s">
        <v>251</v>
      </c>
      <c r="D201" s="1167"/>
      <c r="E201" s="1172">
        <v>0</v>
      </c>
      <c r="F201" s="1172">
        <v>0</v>
      </c>
      <c r="G201" s="1172">
        <v>0</v>
      </c>
      <c r="H201" s="1172">
        <v>0</v>
      </c>
      <c r="I201" s="1172">
        <v>0</v>
      </c>
      <c r="J201" s="1172">
        <v>0</v>
      </c>
    </row>
    <row r="202" spans="1:10" ht="12.75" customHeight="1">
      <c r="A202" s="1189" t="s">
        <v>409</v>
      </c>
      <c r="B202" s="287"/>
      <c r="C202" s="288" t="s">
        <v>252</v>
      </c>
      <c r="D202" s="1167"/>
      <c r="E202" s="1172">
        <v>210210</v>
      </c>
      <c r="F202" s="1172">
        <v>220000</v>
      </c>
      <c r="G202" s="1172">
        <v>220000</v>
      </c>
      <c r="H202" s="1172">
        <v>220000</v>
      </c>
      <c r="I202" s="1172">
        <v>220000</v>
      </c>
      <c r="J202" s="1172">
        <v>0</v>
      </c>
    </row>
    <row r="203" spans="1:10" s="64" customFormat="1" ht="12.75" customHeight="1">
      <c r="A203" s="1219" t="s">
        <v>410</v>
      </c>
      <c r="B203" s="388" t="s">
        <v>173</v>
      </c>
      <c r="C203" s="445" t="s">
        <v>496</v>
      </c>
      <c r="D203" s="1169"/>
      <c r="E203" s="1174">
        <f aca="true" t="shared" si="39" ref="E203:J203">SUM(E204:E206)</f>
        <v>1148825</v>
      </c>
      <c r="F203" s="1174">
        <f t="shared" si="39"/>
        <v>1100000</v>
      </c>
      <c r="G203" s="1174">
        <f t="shared" si="39"/>
        <v>1100000</v>
      </c>
      <c r="H203" s="1174">
        <f t="shared" si="39"/>
        <v>1100000</v>
      </c>
      <c r="I203" s="1174">
        <f t="shared" si="39"/>
        <v>1100000</v>
      </c>
      <c r="J203" s="1174">
        <f t="shared" si="39"/>
        <v>922538</v>
      </c>
    </row>
    <row r="204" spans="1:10" ht="12.75" customHeight="1">
      <c r="A204" s="1189" t="s">
        <v>411</v>
      </c>
      <c r="B204" s="287"/>
      <c r="C204" s="288" t="s">
        <v>250</v>
      </c>
      <c r="D204" s="1167"/>
      <c r="E204" s="1172">
        <v>0</v>
      </c>
      <c r="F204" s="1172">
        <v>0</v>
      </c>
      <c r="G204" s="1172">
        <v>0</v>
      </c>
      <c r="H204" s="1172">
        <v>0</v>
      </c>
      <c r="I204" s="1172">
        <v>0</v>
      </c>
      <c r="J204" s="1172">
        <v>0</v>
      </c>
    </row>
    <row r="205" spans="1:10" s="64" customFormat="1" ht="12.75" customHeight="1">
      <c r="A205" s="1189" t="s">
        <v>412</v>
      </c>
      <c r="B205" s="287"/>
      <c r="C205" s="288" t="s">
        <v>251</v>
      </c>
      <c r="D205" s="1167"/>
      <c r="E205" s="1172">
        <v>0</v>
      </c>
      <c r="F205" s="1172">
        <v>0</v>
      </c>
      <c r="G205" s="1172">
        <v>0</v>
      </c>
      <c r="H205" s="1172">
        <v>0</v>
      </c>
      <c r="I205" s="1172">
        <v>0</v>
      </c>
      <c r="J205" s="1172">
        <v>0</v>
      </c>
    </row>
    <row r="206" spans="1:10" ht="12.75" customHeight="1" thickBot="1">
      <c r="A206" s="1220" t="s">
        <v>413</v>
      </c>
      <c r="B206" s="1164"/>
      <c r="C206" s="1165" t="s">
        <v>252</v>
      </c>
      <c r="D206" s="1170"/>
      <c r="E206" s="1175">
        <v>1148825</v>
      </c>
      <c r="F206" s="1175">
        <v>1100000</v>
      </c>
      <c r="G206" s="1175">
        <v>1100000</v>
      </c>
      <c r="H206" s="1175">
        <v>1100000</v>
      </c>
      <c r="I206" s="1175">
        <v>1100000</v>
      </c>
      <c r="J206" s="1175">
        <v>922538</v>
      </c>
    </row>
    <row r="207" spans="1:10" ht="41.25" customHeight="1" thickBot="1">
      <c r="A207" s="1221" t="s">
        <v>414</v>
      </c>
      <c r="B207" s="1096" t="s">
        <v>183</v>
      </c>
      <c r="C207" s="1097" t="s">
        <v>1008</v>
      </c>
      <c r="D207" s="1094">
        <f>SUM(D190:D198)</f>
        <v>5</v>
      </c>
      <c r="E207" s="1098">
        <f aca="true" t="shared" si="40" ref="E207:J207">SUM(E208:E211)</f>
        <v>26593210</v>
      </c>
      <c r="F207" s="1098">
        <f t="shared" si="40"/>
        <v>28177406</v>
      </c>
      <c r="G207" s="1098">
        <f t="shared" si="40"/>
        <v>24292792</v>
      </c>
      <c r="H207" s="1098">
        <f t="shared" si="40"/>
        <v>24573582</v>
      </c>
      <c r="I207" s="1098">
        <f t="shared" si="40"/>
        <v>24941277</v>
      </c>
      <c r="J207" s="1098">
        <f t="shared" si="40"/>
        <v>23844027</v>
      </c>
    </row>
    <row r="208" spans="1:10" ht="12.75" customHeight="1">
      <c r="A208" s="1222" t="s">
        <v>415</v>
      </c>
      <c r="B208" s="777"/>
      <c r="C208" s="778" t="s">
        <v>250</v>
      </c>
      <c r="D208" s="779"/>
      <c r="E208" s="780">
        <f aca="true" t="shared" si="41" ref="E208:F210">E193+E200+E204</f>
        <v>11818516</v>
      </c>
      <c r="F208" s="780">
        <f t="shared" si="41"/>
        <v>11927834</v>
      </c>
      <c r="G208" s="780">
        <f aca="true" t="shared" si="42" ref="G208:H210">G193+G200+G204</f>
        <v>12026035</v>
      </c>
      <c r="H208" s="780">
        <f t="shared" si="42"/>
        <v>12222435</v>
      </c>
      <c r="I208" s="780">
        <f aca="true" t="shared" si="43" ref="I208:J210">I193+I200+I204</f>
        <v>12376285</v>
      </c>
      <c r="J208" s="780">
        <f t="shared" si="43"/>
        <v>13184023</v>
      </c>
    </row>
    <row r="209" spans="1:10" ht="12.75" customHeight="1">
      <c r="A209" s="1189" t="s">
        <v>416</v>
      </c>
      <c r="B209" s="766"/>
      <c r="C209" s="392" t="s">
        <v>251</v>
      </c>
      <c r="D209" s="767"/>
      <c r="E209" s="781">
        <f t="shared" si="41"/>
        <v>2031672</v>
      </c>
      <c r="F209" s="781">
        <f t="shared" si="41"/>
        <v>2129572</v>
      </c>
      <c r="G209" s="781">
        <f t="shared" si="42"/>
        <v>2146757</v>
      </c>
      <c r="H209" s="781">
        <f t="shared" si="42"/>
        <v>2181127</v>
      </c>
      <c r="I209" s="781">
        <f t="shared" si="43"/>
        <v>2204974</v>
      </c>
      <c r="J209" s="781">
        <f t="shared" si="43"/>
        <v>2234109</v>
      </c>
    </row>
    <row r="210" spans="1:10" s="64" customFormat="1" ht="12.75" customHeight="1">
      <c r="A210" s="1189" t="s">
        <v>417</v>
      </c>
      <c r="B210" s="766"/>
      <c r="C210" s="392" t="s">
        <v>252</v>
      </c>
      <c r="D210" s="767"/>
      <c r="E210" s="781">
        <f t="shared" si="41"/>
        <v>12656191</v>
      </c>
      <c r="F210" s="781">
        <f t="shared" si="41"/>
        <v>13620000</v>
      </c>
      <c r="G210" s="781">
        <f t="shared" si="42"/>
        <v>9620000</v>
      </c>
      <c r="H210" s="781">
        <f t="shared" si="42"/>
        <v>9670020</v>
      </c>
      <c r="I210" s="781">
        <f t="shared" si="43"/>
        <v>9860018</v>
      </c>
      <c r="J210" s="781">
        <f t="shared" si="43"/>
        <v>8181114</v>
      </c>
    </row>
    <row r="211" spans="1:10" ht="12.75" customHeight="1">
      <c r="A211" s="1189" t="s">
        <v>418</v>
      </c>
      <c r="B211" s="766"/>
      <c r="C211" s="392" t="s">
        <v>249</v>
      </c>
      <c r="D211" s="767"/>
      <c r="E211" s="782">
        <f aca="true" t="shared" si="44" ref="E211:J211">SUM(E198)</f>
        <v>86831</v>
      </c>
      <c r="F211" s="782">
        <f t="shared" si="44"/>
        <v>500000</v>
      </c>
      <c r="G211" s="782">
        <f t="shared" si="44"/>
        <v>500000</v>
      </c>
      <c r="H211" s="782">
        <f t="shared" si="44"/>
        <v>500000</v>
      </c>
      <c r="I211" s="782">
        <f t="shared" si="44"/>
        <v>500000</v>
      </c>
      <c r="J211" s="782">
        <f t="shared" si="44"/>
        <v>244781</v>
      </c>
    </row>
    <row r="212" spans="1:10" s="10" customFormat="1" ht="14.25" customHeight="1">
      <c r="A212" s="1206" t="s">
        <v>419</v>
      </c>
      <c r="B212" s="769"/>
      <c r="C212" s="769" t="s">
        <v>778</v>
      </c>
      <c r="D212" s="769"/>
      <c r="E212" s="784">
        <v>86831</v>
      </c>
      <c r="F212" s="784">
        <v>500000</v>
      </c>
      <c r="G212" s="784">
        <v>500000</v>
      </c>
      <c r="H212" s="784">
        <v>500000</v>
      </c>
      <c r="I212" s="784">
        <v>500000</v>
      </c>
      <c r="J212" s="784">
        <v>244781</v>
      </c>
    </row>
    <row r="213" spans="1:240" ht="12.75" customHeight="1" thickBot="1">
      <c r="A213" s="1207" t="s">
        <v>420</v>
      </c>
      <c r="B213" s="786"/>
      <c r="C213" s="786" t="s">
        <v>779</v>
      </c>
      <c r="D213" s="786"/>
      <c r="E213" s="787"/>
      <c r="F213" s="787"/>
      <c r="G213" s="787"/>
      <c r="H213" s="787"/>
      <c r="I213" s="787"/>
      <c r="J213" s="787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</row>
    <row r="214" spans="1:240" ht="12.75" customHeight="1" thickBot="1">
      <c r="A214" s="1899" t="s">
        <v>242</v>
      </c>
      <c r="B214" s="1900"/>
      <c r="C214" s="1900"/>
      <c r="D214" s="1900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</row>
    <row r="215" spans="1:240" ht="12.75" customHeight="1">
      <c r="A215" s="1223" t="s">
        <v>421</v>
      </c>
      <c r="B215" s="1176" t="s">
        <v>164</v>
      </c>
      <c r="C215" s="1177" t="s">
        <v>373</v>
      </c>
      <c r="D215" s="1178">
        <v>5</v>
      </c>
      <c r="E215" s="533">
        <f aca="true" t="shared" si="45" ref="E215:J215">SUM(E216:E218)</f>
        <v>36066279</v>
      </c>
      <c r="F215" s="533">
        <f t="shared" si="45"/>
        <v>37122932</v>
      </c>
      <c r="G215" s="533">
        <f t="shared" si="45"/>
        <v>33949106</v>
      </c>
      <c r="H215" s="533">
        <f t="shared" si="45"/>
        <v>33949106</v>
      </c>
      <c r="I215" s="533">
        <f t="shared" si="45"/>
        <v>33949106</v>
      </c>
      <c r="J215" s="533">
        <f t="shared" si="45"/>
        <v>33949106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</row>
    <row r="216" spans="1:240" ht="12.75" customHeight="1">
      <c r="A216" s="1224" t="s">
        <v>422</v>
      </c>
      <c r="B216" s="79"/>
      <c r="C216" s="17" t="s">
        <v>250</v>
      </c>
      <c r="D216" s="141"/>
      <c r="E216" s="534">
        <v>11685043</v>
      </c>
      <c r="F216" s="534">
        <v>13005271</v>
      </c>
      <c r="G216" s="534">
        <v>13005271</v>
      </c>
      <c r="H216" s="534">
        <v>13005271</v>
      </c>
      <c r="I216" s="534">
        <v>13005271</v>
      </c>
      <c r="J216" s="534">
        <v>13005271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</row>
    <row r="217" spans="1:240" ht="12.75" customHeight="1">
      <c r="A217" s="1224" t="s">
        <v>423</v>
      </c>
      <c r="B217" s="79"/>
      <c r="C217" s="17" t="s">
        <v>251</v>
      </c>
      <c r="D217" s="141"/>
      <c r="E217" s="534">
        <v>2381236</v>
      </c>
      <c r="F217" s="534">
        <v>2117661</v>
      </c>
      <c r="G217" s="534">
        <v>2117661</v>
      </c>
      <c r="H217" s="534">
        <v>2117661</v>
      </c>
      <c r="I217" s="534">
        <v>2117661</v>
      </c>
      <c r="J217" s="534">
        <v>2117661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</row>
    <row r="218" spans="1:240" ht="12.75" customHeight="1">
      <c r="A218" s="1224" t="s">
        <v>424</v>
      </c>
      <c r="B218" s="79"/>
      <c r="C218" s="17" t="s">
        <v>252</v>
      </c>
      <c r="D218" s="141"/>
      <c r="E218" s="534">
        <v>22000000</v>
      </c>
      <c r="F218" s="534">
        <v>22000000</v>
      </c>
      <c r="G218" s="534">
        <v>18826174</v>
      </c>
      <c r="H218" s="534">
        <v>18826174</v>
      </c>
      <c r="I218" s="534">
        <v>18826174</v>
      </c>
      <c r="J218" s="534">
        <v>18826174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</row>
    <row r="219" spans="1:240" ht="12.75" customHeight="1">
      <c r="A219" s="1224" t="s">
        <v>685</v>
      </c>
      <c r="B219" s="79"/>
      <c r="C219" s="17" t="s">
        <v>613</v>
      </c>
      <c r="D219" s="141"/>
      <c r="E219" s="534">
        <v>0</v>
      </c>
      <c r="F219" s="534">
        <v>0</v>
      </c>
      <c r="G219" s="534">
        <v>0</v>
      </c>
      <c r="H219" s="534">
        <v>0</v>
      </c>
      <c r="I219" s="534">
        <v>0</v>
      </c>
      <c r="J219" s="534">
        <v>0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</row>
    <row r="220" spans="1:240" s="64" customFormat="1" ht="12.75" customHeight="1">
      <c r="A220" s="1224" t="s">
        <v>965</v>
      </c>
      <c r="B220" s="61" t="s">
        <v>166</v>
      </c>
      <c r="C220" s="139" t="s">
        <v>505</v>
      </c>
      <c r="D220" s="140">
        <v>1</v>
      </c>
      <c r="E220" s="535">
        <f aca="true" t="shared" si="46" ref="E220:J220">SUM(E221:E224)</f>
        <v>9729409</v>
      </c>
      <c r="F220" s="535">
        <f t="shared" si="46"/>
        <v>10619798</v>
      </c>
      <c r="G220" s="535">
        <f t="shared" si="46"/>
        <v>10619798</v>
      </c>
      <c r="H220" s="535">
        <f t="shared" si="46"/>
        <v>10619798</v>
      </c>
      <c r="I220" s="535">
        <f t="shared" si="46"/>
        <v>10619798</v>
      </c>
      <c r="J220" s="535">
        <f t="shared" si="46"/>
        <v>10619798</v>
      </c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</row>
    <row r="221" spans="1:240" ht="12.75" customHeight="1">
      <c r="A221" s="1224" t="s">
        <v>966</v>
      </c>
      <c r="B221" s="79"/>
      <c r="C221" s="17" t="s">
        <v>250</v>
      </c>
      <c r="D221" s="141"/>
      <c r="E221" s="534">
        <v>3094751</v>
      </c>
      <c r="F221" s="534">
        <v>3972889</v>
      </c>
      <c r="G221" s="534">
        <v>3972889</v>
      </c>
      <c r="H221" s="534">
        <v>3972889</v>
      </c>
      <c r="I221" s="534">
        <v>3972889</v>
      </c>
      <c r="J221" s="534">
        <v>3972889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</row>
    <row r="222" spans="1:240" ht="12.75" customHeight="1">
      <c r="A222" s="1224" t="s">
        <v>967</v>
      </c>
      <c r="B222" s="79"/>
      <c r="C222" s="17" t="s">
        <v>251</v>
      </c>
      <c r="D222" s="141"/>
      <c r="E222" s="534">
        <v>634658</v>
      </c>
      <c r="F222" s="534">
        <v>646909</v>
      </c>
      <c r="G222" s="534">
        <v>646909</v>
      </c>
      <c r="H222" s="534">
        <v>646909</v>
      </c>
      <c r="I222" s="534">
        <v>646909</v>
      </c>
      <c r="J222" s="534">
        <v>646909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</row>
    <row r="223" spans="1:240" ht="12.75" customHeight="1">
      <c r="A223" s="1224" t="s">
        <v>968</v>
      </c>
      <c r="B223" s="79"/>
      <c r="C223" s="17" t="s">
        <v>252</v>
      </c>
      <c r="D223" s="141"/>
      <c r="E223" s="534">
        <v>6000000</v>
      </c>
      <c r="F223" s="534">
        <v>6000000</v>
      </c>
      <c r="G223" s="534">
        <v>6000000</v>
      </c>
      <c r="H223" s="534">
        <v>6000000</v>
      </c>
      <c r="I223" s="534">
        <v>6000000</v>
      </c>
      <c r="J223" s="534">
        <v>6000000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</row>
    <row r="224" spans="1:10" ht="30" customHeight="1">
      <c r="A224" s="1224" t="s">
        <v>969</v>
      </c>
      <c r="B224" s="79"/>
      <c r="C224" s="17" t="s">
        <v>613</v>
      </c>
      <c r="D224" s="141"/>
      <c r="E224" s="534"/>
      <c r="F224" s="534"/>
      <c r="G224" s="534"/>
      <c r="H224" s="534"/>
      <c r="I224" s="534"/>
      <c r="J224" s="534"/>
    </row>
    <row r="225" spans="1:10" ht="12.75" customHeight="1">
      <c r="A225" s="1224" t="s">
        <v>970</v>
      </c>
      <c r="B225" s="61" t="s">
        <v>173</v>
      </c>
      <c r="C225" s="139" t="s">
        <v>383</v>
      </c>
      <c r="D225" s="140">
        <v>0</v>
      </c>
      <c r="E225" s="535">
        <f aca="true" t="shared" si="47" ref="E225:J225">SUM(E226:E229)</f>
        <v>0</v>
      </c>
      <c r="F225" s="535">
        <f t="shared" si="47"/>
        <v>0</v>
      </c>
      <c r="G225" s="535">
        <f t="shared" si="47"/>
        <v>0</v>
      </c>
      <c r="H225" s="535">
        <f t="shared" si="47"/>
        <v>0</v>
      </c>
      <c r="I225" s="535">
        <f t="shared" si="47"/>
        <v>0</v>
      </c>
      <c r="J225" s="535">
        <f t="shared" si="47"/>
        <v>0</v>
      </c>
    </row>
    <row r="226" spans="1:10" ht="12.75" customHeight="1">
      <c r="A226" s="1224" t="s">
        <v>971</v>
      </c>
      <c r="B226" s="79"/>
      <c r="C226" s="17" t="s">
        <v>250</v>
      </c>
      <c r="D226" s="141"/>
      <c r="E226" s="534">
        <v>0</v>
      </c>
      <c r="F226" s="534">
        <v>0</v>
      </c>
      <c r="G226" s="534">
        <v>0</v>
      </c>
      <c r="H226" s="534">
        <v>0</v>
      </c>
      <c r="I226" s="534">
        <v>0</v>
      </c>
      <c r="J226" s="534">
        <v>0</v>
      </c>
    </row>
    <row r="227" spans="1:10" ht="12.75" customHeight="1">
      <c r="A227" s="1224" t="s">
        <v>1024</v>
      </c>
      <c r="B227" s="79"/>
      <c r="C227" s="17" t="s">
        <v>251</v>
      </c>
      <c r="D227" s="141"/>
      <c r="E227" s="534">
        <v>0</v>
      </c>
      <c r="F227" s="534">
        <v>0</v>
      </c>
      <c r="G227" s="534">
        <v>0</v>
      </c>
      <c r="H227" s="534">
        <v>0</v>
      </c>
      <c r="I227" s="534">
        <v>0</v>
      </c>
      <c r="J227" s="534">
        <v>0</v>
      </c>
    </row>
    <row r="228" spans="1:10" ht="12.75" customHeight="1">
      <c r="A228" s="1224" t="s">
        <v>972</v>
      </c>
      <c r="B228" s="79"/>
      <c r="C228" s="17" t="s">
        <v>252</v>
      </c>
      <c r="D228" s="141"/>
      <c r="E228" s="534">
        <v>0</v>
      </c>
      <c r="F228" s="534">
        <v>0</v>
      </c>
      <c r="G228" s="534">
        <v>0</v>
      </c>
      <c r="H228" s="534">
        <v>0</v>
      </c>
      <c r="I228" s="534">
        <v>0</v>
      </c>
      <c r="J228" s="534">
        <v>0</v>
      </c>
    </row>
    <row r="229" spans="1:10" ht="37.5" customHeight="1">
      <c r="A229" s="1224" t="s">
        <v>973</v>
      </c>
      <c r="B229" s="79"/>
      <c r="C229" s="17" t="s">
        <v>613</v>
      </c>
      <c r="D229" s="141"/>
      <c r="E229" s="534">
        <v>0</v>
      </c>
      <c r="F229" s="534">
        <v>0</v>
      </c>
      <c r="G229" s="534">
        <v>0</v>
      </c>
      <c r="H229" s="534">
        <v>0</v>
      </c>
      <c r="I229" s="534">
        <v>0</v>
      </c>
      <c r="J229" s="534">
        <v>0</v>
      </c>
    </row>
    <row r="230" spans="1:10" ht="12.75" customHeight="1">
      <c r="A230" s="1224" t="s">
        <v>974</v>
      </c>
      <c r="B230" s="61" t="s">
        <v>182</v>
      </c>
      <c r="C230" s="139" t="s">
        <v>506</v>
      </c>
      <c r="D230" s="140">
        <v>0</v>
      </c>
      <c r="E230" s="535">
        <f aca="true" t="shared" si="48" ref="E230:J230">SUM(E233:E234)</f>
        <v>500000</v>
      </c>
      <c r="F230" s="535">
        <f t="shared" si="48"/>
        <v>500000</v>
      </c>
      <c r="G230" s="535">
        <f t="shared" si="48"/>
        <v>500000</v>
      </c>
      <c r="H230" s="535">
        <f t="shared" si="48"/>
        <v>500000</v>
      </c>
      <c r="I230" s="535">
        <f t="shared" si="48"/>
        <v>500000</v>
      </c>
      <c r="J230" s="535">
        <f t="shared" si="48"/>
        <v>500000</v>
      </c>
    </row>
    <row r="231" spans="1:10" ht="12.75" customHeight="1">
      <c r="A231" s="1224" t="s">
        <v>975</v>
      </c>
      <c r="B231" s="61"/>
      <c r="C231" s="17" t="s">
        <v>445</v>
      </c>
      <c r="D231" s="140"/>
      <c r="E231" s="534">
        <v>0</v>
      </c>
      <c r="F231" s="534">
        <v>0</v>
      </c>
      <c r="G231" s="534">
        <v>0</v>
      </c>
      <c r="H231" s="534">
        <v>0</v>
      </c>
      <c r="I231" s="534">
        <v>0</v>
      </c>
      <c r="J231" s="534">
        <v>0</v>
      </c>
    </row>
    <row r="232" spans="1:10" ht="12.75" customHeight="1">
      <c r="A232" s="1224" t="s">
        <v>976</v>
      </c>
      <c r="B232" s="79"/>
      <c r="C232" s="17" t="s">
        <v>251</v>
      </c>
      <c r="D232" s="141"/>
      <c r="E232" s="534">
        <v>0</v>
      </c>
      <c r="F232" s="534">
        <v>0</v>
      </c>
      <c r="G232" s="534">
        <v>0</v>
      </c>
      <c r="H232" s="534">
        <v>0</v>
      </c>
      <c r="I232" s="534">
        <v>0</v>
      </c>
      <c r="J232" s="534">
        <v>0</v>
      </c>
    </row>
    <row r="233" spans="1:10" ht="24.75" customHeight="1">
      <c r="A233" s="1224" t="s">
        <v>977</v>
      </c>
      <c r="B233" s="79"/>
      <c r="C233" s="17" t="s">
        <v>252</v>
      </c>
      <c r="D233" s="141"/>
      <c r="E233" s="534">
        <v>500000</v>
      </c>
      <c r="F233" s="534">
        <v>500000</v>
      </c>
      <c r="G233" s="534">
        <v>500000</v>
      </c>
      <c r="H233" s="534">
        <v>500000</v>
      </c>
      <c r="I233" s="534">
        <v>500000</v>
      </c>
      <c r="J233" s="534">
        <v>500000</v>
      </c>
    </row>
    <row r="234" spans="1:10" ht="12.75" customHeight="1">
      <c r="A234" s="1224" t="s">
        <v>978</v>
      </c>
      <c r="B234" s="79"/>
      <c r="C234" s="17" t="s">
        <v>613</v>
      </c>
      <c r="D234" s="141"/>
      <c r="E234" s="534">
        <v>0</v>
      </c>
      <c r="F234" s="534">
        <v>0</v>
      </c>
      <c r="G234" s="534">
        <v>0</v>
      </c>
      <c r="H234" s="534">
        <v>0</v>
      </c>
      <c r="I234" s="534">
        <v>0</v>
      </c>
      <c r="J234" s="534">
        <v>0</v>
      </c>
    </row>
    <row r="235" spans="1:10" ht="12.75" customHeight="1">
      <c r="A235" s="1224" t="s">
        <v>979</v>
      </c>
      <c r="B235" s="61" t="s">
        <v>183</v>
      </c>
      <c r="C235" s="139" t="s">
        <v>507</v>
      </c>
      <c r="D235" s="140">
        <v>0</v>
      </c>
      <c r="E235" s="535">
        <f aca="true" t="shared" si="49" ref="E235:J235">SUM(E236:E239)</f>
        <v>430000</v>
      </c>
      <c r="F235" s="535">
        <f t="shared" si="49"/>
        <v>430000</v>
      </c>
      <c r="G235" s="535">
        <f t="shared" si="49"/>
        <v>430000</v>
      </c>
      <c r="H235" s="535">
        <f t="shared" si="49"/>
        <v>430000</v>
      </c>
      <c r="I235" s="535">
        <f t="shared" si="49"/>
        <v>430000</v>
      </c>
      <c r="J235" s="535">
        <f t="shared" si="49"/>
        <v>430000</v>
      </c>
    </row>
    <row r="236" spans="1:10" ht="12.75" customHeight="1">
      <c r="A236" s="1224" t="s">
        <v>980</v>
      </c>
      <c r="B236" s="61"/>
      <c r="C236" s="17" t="s">
        <v>250</v>
      </c>
      <c r="D236" s="140"/>
      <c r="E236" s="534">
        <v>0</v>
      </c>
      <c r="F236" s="534">
        <v>0</v>
      </c>
      <c r="G236" s="534">
        <v>0</v>
      </c>
      <c r="H236" s="534">
        <v>0</v>
      </c>
      <c r="I236" s="534">
        <v>0</v>
      </c>
      <c r="J236" s="534">
        <v>0</v>
      </c>
    </row>
    <row r="237" spans="1:10" ht="12.75" customHeight="1">
      <c r="A237" s="1224" t="s">
        <v>981</v>
      </c>
      <c r="B237" s="79"/>
      <c r="C237" s="17" t="s">
        <v>251</v>
      </c>
      <c r="D237" s="205"/>
      <c r="E237" s="534">
        <v>0</v>
      </c>
      <c r="F237" s="534">
        <v>0</v>
      </c>
      <c r="G237" s="534">
        <v>0</v>
      </c>
      <c r="H237" s="534">
        <v>0</v>
      </c>
      <c r="I237" s="534">
        <v>0</v>
      </c>
      <c r="J237" s="534">
        <v>0</v>
      </c>
    </row>
    <row r="238" spans="1:10" ht="25.5" customHeight="1">
      <c r="A238" s="1224" t="s">
        <v>983</v>
      </c>
      <c r="B238" s="79"/>
      <c r="C238" s="17" t="s">
        <v>252</v>
      </c>
      <c r="D238" s="205"/>
      <c r="E238" s="534">
        <v>430000</v>
      </c>
      <c r="F238" s="534">
        <v>430000</v>
      </c>
      <c r="G238" s="534">
        <v>430000</v>
      </c>
      <c r="H238" s="534">
        <v>430000</v>
      </c>
      <c r="I238" s="534">
        <v>430000</v>
      </c>
      <c r="J238" s="534">
        <v>430000</v>
      </c>
    </row>
    <row r="239" spans="1:10" ht="12.75" customHeight="1">
      <c r="A239" s="1224" t="s">
        <v>982</v>
      </c>
      <c r="B239" s="79"/>
      <c r="C239" s="17" t="s">
        <v>613</v>
      </c>
      <c r="D239" s="205"/>
      <c r="E239" s="534">
        <v>0</v>
      </c>
      <c r="F239" s="534">
        <v>0</v>
      </c>
      <c r="G239" s="534">
        <v>0</v>
      </c>
      <c r="H239" s="534">
        <v>0</v>
      </c>
      <c r="I239" s="534">
        <v>0</v>
      </c>
      <c r="J239" s="534">
        <v>0</v>
      </c>
    </row>
    <row r="240" spans="1:10" ht="12.75" customHeight="1">
      <c r="A240" s="1224" t="s">
        <v>1003</v>
      </c>
      <c r="B240" s="61" t="s">
        <v>184</v>
      </c>
      <c r="C240" s="139" t="s">
        <v>508</v>
      </c>
      <c r="D240" s="206">
        <v>12</v>
      </c>
      <c r="E240" s="535">
        <f aca="true" t="shared" si="50" ref="E240:J240">SUM(E241:E244)</f>
        <v>45132676</v>
      </c>
      <c r="F240" s="535">
        <f t="shared" si="50"/>
        <v>52889995</v>
      </c>
      <c r="G240" s="535">
        <f t="shared" si="50"/>
        <v>52923718</v>
      </c>
      <c r="H240" s="535">
        <f t="shared" si="50"/>
        <v>52986750</v>
      </c>
      <c r="I240" s="535">
        <f t="shared" si="50"/>
        <v>54420306</v>
      </c>
      <c r="J240" s="535">
        <f t="shared" si="50"/>
        <v>69731224</v>
      </c>
    </row>
    <row r="241" spans="1:10" ht="12.75" customHeight="1">
      <c r="A241" s="1224" t="s">
        <v>1004</v>
      </c>
      <c r="B241" s="79"/>
      <c r="C241" s="17" t="s">
        <v>250</v>
      </c>
      <c r="D241" s="205"/>
      <c r="E241" s="534">
        <v>24177213</v>
      </c>
      <c r="F241" s="534">
        <v>33961377</v>
      </c>
      <c r="G241" s="534">
        <v>33990077</v>
      </c>
      <c r="H241" s="534">
        <v>34043677</v>
      </c>
      <c r="I241" s="534">
        <v>35284808</v>
      </c>
      <c r="J241" s="534">
        <v>32481878</v>
      </c>
    </row>
    <row r="242" spans="1:10" ht="12.75" customHeight="1">
      <c r="A242" s="1224" t="s">
        <v>984</v>
      </c>
      <c r="B242" s="79"/>
      <c r="C242" s="17" t="s">
        <v>251</v>
      </c>
      <c r="D242" s="205"/>
      <c r="E242" s="534">
        <v>4894374</v>
      </c>
      <c r="F242" s="534">
        <v>5728618</v>
      </c>
      <c r="G242" s="534">
        <v>5733641</v>
      </c>
      <c r="H242" s="534">
        <v>5743020</v>
      </c>
      <c r="I242" s="534">
        <v>5935395</v>
      </c>
      <c r="J242" s="534">
        <v>5942592</v>
      </c>
    </row>
    <row r="243" spans="1:10" ht="12.75" customHeight="1">
      <c r="A243" s="1224" t="s">
        <v>985</v>
      </c>
      <c r="B243" s="79"/>
      <c r="C243" s="17" t="s">
        <v>252</v>
      </c>
      <c r="D243" s="205"/>
      <c r="E243" s="534">
        <v>15557501</v>
      </c>
      <c r="F243" s="534">
        <v>12200000</v>
      </c>
      <c r="G243" s="534">
        <v>12200000</v>
      </c>
      <c r="H243" s="534">
        <v>12200053</v>
      </c>
      <c r="I243" s="534">
        <v>12200103</v>
      </c>
      <c r="J243" s="534">
        <v>24003224</v>
      </c>
    </row>
    <row r="244" spans="1:10" ht="12.75" customHeight="1">
      <c r="A244" s="1224" t="s">
        <v>986</v>
      </c>
      <c r="B244" s="79"/>
      <c r="C244" s="17" t="s">
        <v>249</v>
      </c>
      <c r="D244" s="205"/>
      <c r="E244" s="534">
        <v>503588</v>
      </c>
      <c r="F244" s="534">
        <v>1000000</v>
      </c>
      <c r="G244" s="534">
        <v>1000000</v>
      </c>
      <c r="H244" s="534">
        <v>1000000</v>
      </c>
      <c r="I244" s="534">
        <v>1000000</v>
      </c>
      <c r="J244" s="534">
        <v>7303530</v>
      </c>
    </row>
    <row r="245" spans="1:10" ht="12.75" customHeight="1">
      <c r="A245" s="1224" t="s">
        <v>987</v>
      </c>
      <c r="B245" s="208" t="s">
        <v>186</v>
      </c>
      <c r="C245" s="209" t="s">
        <v>398</v>
      </c>
      <c r="D245" s="210">
        <v>0</v>
      </c>
      <c r="E245" s="535">
        <f aca="true" t="shared" si="51" ref="E245:J245">SUM(E246:E248)</f>
        <v>640000</v>
      </c>
      <c r="F245" s="535">
        <f t="shared" si="51"/>
        <v>640000</v>
      </c>
      <c r="G245" s="535">
        <f t="shared" si="51"/>
        <v>640000</v>
      </c>
      <c r="H245" s="535">
        <f t="shared" si="51"/>
        <v>640000</v>
      </c>
      <c r="I245" s="535">
        <f t="shared" si="51"/>
        <v>640000</v>
      </c>
      <c r="J245" s="535">
        <f t="shared" si="51"/>
        <v>640000</v>
      </c>
    </row>
    <row r="246" spans="1:10" ht="12.75" customHeight="1">
      <c r="A246" s="1224" t="s">
        <v>988</v>
      </c>
      <c r="B246" s="145"/>
      <c r="C246" s="147" t="s">
        <v>250</v>
      </c>
      <c r="D246" s="211"/>
      <c r="E246" s="534">
        <v>0</v>
      </c>
      <c r="F246" s="534">
        <v>0</v>
      </c>
      <c r="G246" s="534">
        <v>0</v>
      </c>
      <c r="H246" s="534">
        <v>0</v>
      </c>
      <c r="I246" s="534">
        <v>0</v>
      </c>
      <c r="J246" s="534">
        <v>0</v>
      </c>
    </row>
    <row r="247" spans="1:10" ht="12.75" customHeight="1">
      <c r="A247" s="1224" t="s">
        <v>989</v>
      </c>
      <c r="B247" s="145"/>
      <c r="C247" s="147" t="s">
        <v>251</v>
      </c>
      <c r="D247" s="211"/>
      <c r="E247" s="534">
        <v>0</v>
      </c>
      <c r="F247" s="534">
        <v>0</v>
      </c>
      <c r="G247" s="534">
        <v>0</v>
      </c>
      <c r="H247" s="534">
        <v>0</v>
      </c>
      <c r="I247" s="534">
        <v>0</v>
      </c>
      <c r="J247" s="534">
        <v>0</v>
      </c>
    </row>
    <row r="248" spans="1:10" ht="12.75" customHeight="1">
      <c r="A248" s="1224" t="s">
        <v>990</v>
      </c>
      <c r="B248" s="145"/>
      <c r="C248" s="147" t="s">
        <v>252</v>
      </c>
      <c r="D248" s="211"/>
      <c r="E248" s="534">
        <v>640000</v>
      </c>
      <c r="F248" s="534">
        <v>640000</v>
      </c>
      <c r="G248" s="534">
        <v>640000</v>
      </c>
      <c r="H248" s="534">
        <v>640000</v>
      </c>
      <c r="I248" s="534">
        <v>640000</v>
      </c>
      <c r="J248" s="534">
        <v>640000</v>
      </c>
    </row>
    <row r="249" spans="1:10" ht="12.75" customHeight="1">
      <c r="A249" s="1224" t="s">
        <v>991</v>
      </c>
      <c r="B249" s="212" t="s">
        <v>189</v>
      </c>
      <c r="C249" s="9" t="s">
        <v>632</v>
      </c>
      <c r="D249" s="140">
        <v>0</v>
      </c>
      <c r="E249" s="535">
        <f aca="true" t="shared" si="52" ref="E249:J249">SUM(E250:E253)</f>
        <v>0</v>
      </c>
      <c r="F249" s="535">
        <f t="shared" si="52"/>
        <v>0</v>
      </c>
      <c r="G249" s="535">
        <f t="shared" si="52"/>
        <v>0</v>
      </c>
      <c r="H249" s="535">
        <f t="shared" si="52"/>
        <v>0</v>
      </c>
      <c r="I249" s="535">
        <f t="shared" si="52"/>
        <v>0</v>
      </c>
      <c r="J249" s="535">
        <f t="shared" si="52"/>
        <v>0</v>
      </c>
    </row>
    <row r="250" spans="1:10" ht="12.75" customHeight="1">
      <c r="A250" s="1224" t="s">
        <v>992</v>
      </c>
      <c r="B250" s="79"/>
      <c r="C250" s="17" t="s">
        <v>250</v>
      </c>
      <c r="D250" s="141"/>
      <c r="E250" s="534"/>
      <c r="F250" s="534"/>
      <c r="G250" s="534"/>
      <c r="H250" s="534"/>
      <c r="I250" s="534"/>
      <c r="J250" s="534"/>
    </row>
    <row r="251" spans="1:10" ht="12.75" customHeight="1">
      <c r="A251" s="1224" t="s">
        <v>993</v>
      </c>
      <c r="B251" s="79"/>
      <c r="C251" s="17" t="s">
        <v>251</v>
      </c>
      <c r="D251" s="141"/>
      <c r="E251" s="534"/>
      <c r="F251" s="534"/>
      <c r="G251" s="534"/>
      <c r="H251" s="534"/>
      <c r="I251" s="534"/>
      <c r="J251" s="534"/>
    </row>
    <row r="252" spans="1:10" ht="12.75" customHeight="1">
      <c r="A252" s="1224" t="s">
        <v>994</v>
      </c>
      <c r="B252" s="79"/>
      <c r="C252" s="17" t="s">
        <v>252</v>
      </c>
      <c r="D252" s="141"/>
      <c r="E252" s="534"/>
      <c r="F252" s="534"/>
      <c r="G252" s="534"/>
      <c r="H252" s="534"/>
      <c r="I252" s="534"/>
      <c r="J252" s="534"/>
    </row>
    <row r="253" spans="1:10" ht="12.75" customHeight="1">
      <c r="A253" s="1224" t="s">
        <v>995</v>
      </c>
      <c r="B253" s="79"/>
      <c r="C253" s="17" t="s">
        <v>613</v>
      </c>
      <c r="D253" s="141"/>
      <c r="E253" s="536"/>
      <c r="F253" s="536"/>
      <c r="G253" s="536"/>
      <c r="H253" s="536"/>
      <c r="I253" s="536"/>
      <c r="J253" s="536"/>
    </row>
    <row r="254" spans="1:10" ht="12.75" customHeight="1">
      <c r="A254" s="1224" t="s">
        <v>996</v>
      </c>
      <c r="B254" s="61" t="s">
        <v>191</v>
      </c>
      <c r="C254" s="9" t="s">
        <v>406</v>
      </c>
      <c r="D254" s="207">
        <v>0</v>
      </c>
      <c r="E254" s="537">
        <f aca="true" t="shared" si="53" ref="E254:J254">SUM(E255:E255)</f>
        <v>720000</v>
      </c>
      <c r="F254" s="537">
        <f t="shared" si="53"/>
        <v>720000</v>
      </c>
      <c r="G254" s="537">
        <f t="shared" si="53"/>
        <v>720000</v>
      </c>
      <c r="H254" s="537">
        <f t="shared" si="53"/>
        <v>720000</v>
      </c>
      <c r="I254" s="537">
        <f t="shared" si="53"/>
        <v>720000</v>
      </c>
      <c r="J254" s="537">
        <f t="shared" si="53"/>
        <v>720000</v>
      </c>
    </row>
    <row r="255" spans="1:10" ht="12.75" customHeight="1">
      <c r="A255" s="1224" t="s">
        <v>997</v>
      </c>
      <c r="B255" s="79"/>
      <c r="C255" s="17" t="s">
        <v>509</v>
      </c>
      <c r="D255" s="141"/>
      <c r="E255" s="536">
        <v>720000</v>
      </c>
      <c r="F255" s="536">
        <v>720000</v>
      </c>
      <c r="G255" s="536">
        <v>720000</v>
      </c>
      <c r="H255" s="536">
        <v>720000</v>
      </c>
      <c r="I255" s="536">
        <v>720000</v>
      </c>
      <c r="J255" s="536">
        <v>720000</v>
      </c>
    </row>
    <row r="256" spans="1:10" ht="12.75" customHeight="1">
      <c r="A256" s="1224" t="s">
        <v>998</v>
      </c>
      <c r="B256" s="61" t="s">
        <v>195</v>
      </c>
      <c r="C256" s="84" t="s">
        <v>275</v>
      </c>
      <c r="D256" s="140">
        <v>1</v>
      </c>
      <c r="E256" s="537">
        <f aca="true" t="shared" si="54" ref="E256:J256">SUM(E257:E259)</f>
        <v>4209988</v>
      </c>
      <c r="F256" s="537">
        <f t="shared" si="54"/>
        <v>250000</v>
      </c>
      <c r="G256" s="537">
        <f t="shared" si="54"/>
        <v>250000</v>
      </c>
      <c r="H256" s="537">
        <f t="shared" si="54"/>
        <v>250000</v>
      </c>
      <c r="I256" s="537">
        <f t="shared" si="54"/>
        <v>250000</v>
      </c>
      <c r="J256" s="537">
        <f t="shared" si="54"/>
        <v>250000</v>
      </c>
    </row>
    <row r="257" spans="1:10" ht="12.75" customHeight="1">
      <c r="A257" s="1224" t="s">
        <v>999</v>
      </c>
      <c r="B257" s="79"/>
      <c r="C257" s="17" t="s">
        <v>250</v>
      </c>
      <c r="D257" s="141"/>
      <c r="E257" s="536">
        <v>3835980</v>
      </c>
      <c r="F257" s="536">
        <v>212766</v>
      </c>
      <c r="G257" s="536">
        <v>212766</v>
      </c>
      <c r="H257" s="536">
        <v>212766</v>
      </c>
      <c r="I257" s="536">
        <v>212766</v>
      </c>
      <c r="J257" s="536">
        <v>212766</v>
      </c>
    </row>
    <row r="258" spans="1:10" ht="12.75" customHeight="1">
      <c r="A258" s="1225" t="s">
        <v>1000</v>
      </c>
      <c r="B258" s="142"/>
      <c r="C258" s="136" t="s">
        <v>251</v>
      </c>
      <c r="D258" s="486"/>
      <c r="E258" s="538">
        <v>374008</v>
      </c>
      <c r="F258" s="538">
        <v>37234</v>
      </c>
      <c r="G258" s="538">
        <v>37234</v>
      </c>
      <c r="H258" s="538">
        <v>37234</v>
      </c>
      <c r="I258" s="538">
        <v>37234</v>
      </c>
      <c r="J258" s="538">
        <v>37234</v>
      </c>
    </row>
    <row r="259" spans="1:10" ht="12.75" customHeight="1">
      <c r="A259" s="1189" t="s">
        <v>1001</v>
      </c>
      <c r="B259" s="287"/>
      <c r="C259" s="288" t="s">
        <v>252</v>
      </c>
      <c r="D259" s="530"/>
      <c r="E259" s="539">
        <v>0</v>
      </c>
      <c r="F259" s="539">
        <v>0</v>
      </c>
      <c r="G259" s="539">
        <v>0</v>
      </c>
      <c r="H259" s="539">
        <v>0</v>
      </c>
      <c r="I259" s="539">
        <v>0</v>
      </c>
      <c r="J259" s="539">
        <v>0</v>
      </c>
    </row>
    <row r="260" spans="1:10" ht="12.75" customHeight="1" thickBot="1">
      <c r="A260" s="1220" t="s">
        <v>1002</v>
      </c>
      <c r="B260" s="1164"/>
      <c r="C260" s="1143" t="s">
        <v>613</v>
      </c>
      <c r="D260" s="1179"/>
      <c r="E260" s="1180">
        <v>0</v>
      </c>
      <c r="F260" s="1180">
        <v>0</v>
      </c>
      <c r="G260" s="1180">
        <v>0</v>
      </c>
      <c r="H260" s="1180">
        <v>0</v>
      </c>
      <c r="I260" s="1180">
        <v>0</v>
      </c>
      <c r="J260" s="1180">
        <v>0</v>
      </c>
    </row>
    <row r="261" spans="1:10" ht="12.75" customHeight="1" thickBot="1">
      <c r="A261" s="549" t="s">
        <v>1016</v>
      </c>
      <c r="B261" s="490"/>
      <c r="C261" s="1893" t="s">
        <v>510</v>
      </c>
      <c r="D261" s="1893"/>
      <c r="E261" s="548">
        <f aca="true" t="shared" si="55" ref="E261:J261">SUM(E215+E220+E225+E230+E235+E240+E245+E249+E254+E256)</f>
        <v>97428352</v>
      </c>
      <c r="F261" s="548">
        <f t="shared" si="55"/>
        <v>103172725</v>
      </c>
      <c r="G261" s="548">
        <f t="shared" si="55"/>
        <v>100032622</v>
      </c>
      <c r="H261" s="548">
        <f t="shared" si="55"/>
        <v>100095654</v>
      </c>
      <c r="I261" s="548">
        <f t="shared" si="55"/>
        <v>101529210</v>
      </c>
      <c r="J261" s="548">
        <f t="shared" si="55"/>
        <v>116840128</v>
      </c>
    </row>
    <row r="262" spans="1:10" ht="12.75" customHeight="1">
      <c r="A262" s="1188" t="s">
        <v>1025</v>
      </c>
      <c r="B262" s="797"/>
      <c r="C262" s="789" t="s">
        <v>488</v>
      </c>
      <c r="D262" s="798">
        <v>19</v>
      </c>
      <c r="E262" s="799">
        <f aca="true" t="shared" si="56" ref="E262:G263">SUM(E216+E221+E226+E231+E236+E241+E246+E250+E257)</f>
        <v>42792987</v>
      </c>
      <c r="F262" s="799">
        <f t="shared" si="56"/>
        <v>51152303</v>
      </c>
      <c r="G262" s="799">
        <f t="shared" si="56"/>
        <v>51181003</v>
      </c>
      <c r="H262" s="799">
        <f aca="true" t="shared" si="57" ref="H262:J263">SUM(H216+H221+H226+H231+H236+H241+H246+H250+H257)</f>
        <v>51234603</v>
      </c>
      <c r="I262" s="799">
        <f t="shared" si="57"/>
        <v>52475734</v>
      </c>
      <c r="J262" s="799">
        <f t="shared" si="57"/>
        <v>49672804</v>
      </c>
    </row>
    <row r="263" spans="1:10" ht="12.75" customHeight="1">
      <c r="A263" s="1225" t="s">
        <v>1026</v>
      </c>
      <c r="B263" s="763"/>
      <c r="C263" s="793" t="s">
        <v>251</v>
      </c>
      <c r="D263" s="765"/>
      <c r="E263" s="794">
        <f t="shared" si="56"/>
        <v>8284276</v>
      </c>
      <c r="F263" s="794">
        <f t="shared" si="56"/>
        <v>8530422</v>
      </c>
      <c r="G263" s="794">
        <f t="shared" si="56"/>
        <v>8535445</v>
      </c>
      <c r="H263" s="794">
        <f t="shared" si="57"/>
        <v>8544824</v>
      </c>
      <c r="I263" s="794">
        <f t="shared" si="57"/>
        <v>8737199</v>
      </c>
      <c r="J263" s="794">
        <f t="shared" si="57"/>
        <v>8744396</v>
      </c>
    </row>
    <row r="264" spans="1:10" ht="12.75" customHeight="1">
      <c r="A264" s="1189" t="s">
        <v>1027</v>
      </c>
      <c r="B264" s="766"/>
      <c r="C264" s="795" t="s">
        <v>622</v>
      </c>
      <c r="D264" s="767"/>
      <c r="E264" s="800">
        <f aca="true" t="shared" si="58" ref="E264:J264">SUM(E218+E223+E228+E233+E238+E243+E248+E252+E259)+E255</f>
        <v>45847501</v>
      </c>
      <c r="F264" s="800">
        <f t="shared" si="58"/>
        <v>42490000</v>
      </c>
      <c r="G264" s="800">
        <f t="shared" si="58"/>
        <v>39316174</v>
      </c>
      <c r="H264" s="800">
        <f t="shared" si="58"/>
        <v>39316227</v>
      </c>
      <c r="I264" s="800">
        <f t="shared" si="58"/>
        <v>39316277</v>
      </c>
      <c r="J264" s="800">
        <f t="shared" si="58"/>
        <v>51119398</v>
      </c>
    </row>
    <row r="265" spans="1:10" ht="12.75" customHeight="1">
      <c r="A265" s="1189" t="s">
        <v>1028</v>
      </c>
      <c r="B265" s="766"/>
      <c r="C265" s="392" t="s">
        <v>249</v>
      </c>
      <c r="D265" s="767"/>
      <c r="E265" s="800">
        <f aca="true" t="shared" si="59" ref="E265:J265">SUM(E219+E224+E229+E234+E239+E244+E253)</f>
        <v>503588</v>
      </c>
      <c r="F265" s="800">
        <f t="shared" si="59"/>
        <v>1000000</v>
      </c>
      <c r="G265" s="800">
        <f t="shared" si="59"/>
        <v>1000000</v>
      </c>
      <c r="H265" s="800">
        <f t="shared" si="59"/>
        <v>1000000</v>
      </c>
      <c r="I265" s="800">
        <f t="shared" si="59"/>
        <v>1000000</v>
      </c>
      <c r="J265" s="800">
        <f t="shared" si="59"/>
        <v>7303530</v>
      </c>
    </row>
    <row r="266" spans="1:10" ht="12.75" customHeight="1">
      <c r="A266" s="1226" t="s">
        <v>1056</v>
      </c>
      <c r="B266" s="734"/>
      <c r="C266" s="734" t="s">
        <v>778</v>
      </c>
      <c r="D266" s="734"/>
      <c r="E266" s="802">
        <v>1000000</v>
      </c>
      <c r="F266" s="802">
        <v>1000000</v>
      </c>
      <c r="G266" s="802">
        <v>1000000</v>
      </c>
      <c r="H266" s="802">
        <v>1000000</v>
      </c>
      <c r="I266" s="802">
        <v>1000000</v>
      </c>
      <c r="J266" s="802">
        <v>7303530</v>
      </c>
    </row>
    <row r="267" spans="1:10" ht="12.75" customHeight="1" thickBot="1">
      <c r="A267" s="1207" t="s">
        <v>1057</v>
      </c>
      <c r="B267" s="786"/>
      <c r="C267" s="786" t="s">
        <v>779</v>
      </c>
      <c r="D267" s="786"/>
      <c r="E267" s="792"/>
      <c r="F267" s="792"/>
      <c r="G267" s="792"/>
      <c r="H267" s="792"/>
      <c r="I267" s="792"/>
      <c r="J267" s="792"/>
    </row>
    <row r="268" spans="1:10" ht="12.75" customHeight="1">
      <c r="A268" s="1227" t="s">
        <v>1058</v>
      </c>
      <c r="B268" s="95"/>
      <c r="C268" s="263" t="s">
        <v>565</v>
      </c>
      <c r="D268" s="95"/>
      <c r="E268" s="78"/>
      <c r="F268" s="78"/>
      <c r="G268" s="78"/>
      <c r="H268" s="78"/>
      <c r="I268" s="78"/>
      <c r="J268" s="78"/>
    </row>
    <row r="269" spans="1:10" ht="12.75" customHeight="1">
      <c r="A269" s="1227" t="s">
        <v>1059</v>
      </c>
      <c r="B269" s="95"/>
      <c r="C269" s="170" t="s">
        <v>566</v>
      </c>
      <c r="D269" s="95"/>
      <c r="E269" s="78">
        <f>SUM('ÖNK ÖSSZESITŐ'!E90)</f>
        <v>230357318</v>
      </c>
      <c r="F269" s="78">
        <f>SUM('ÖNK ÖSSZESITŐ'!F90)</f>
        <v>250452857</v>
      </c>
      <c r="G269" s="78">
        <f>SUM('ÖNK ÖSSZESITŐ'!G90)</f>
        <v>256170217</v>
      </c>
      <c r="H269" s="78">
        <f>SUM('ÖNK ÖSSZESITŐ'!H90)</f>
        <v>258346217</v>
      </c>
      <c r="I269" s="78">
        <f>SUM('ÖNK ÖSSZESITŐ'!I90)</f>
        <v>259741198</v>
      </c>
      <c r="J269" s="78">
        <f>SUM('ÖNK ÖSSZESITŐ'!J90)</f>
        <v>263660096</v>
      </c>
    </row>
    <row r="270" spans="1:10" ht="12.75" customHeight="1">
      <c r="A270" s="1227" t="s">
        <v>1060</v>
      </c>
      <c r="B270" s="95"/>
      <c r="C270" s="170" t="s">
        <v>567</v>
      </c>
      <c r="D270" s="95"/>
      <c r="E270" s="78">
        <f>SUM('ÖNK ÖSSZESITŐ'!E91)</f>
        <v>44071818</v>
      </c>
      <c r="F270" s="78">
        <f>SUM('ÖNK ÖSSZESITŐ'!F91)</f>
        <v>44295492</v>
      </c>
      <c r="G270" s="78">
        <f>SUM('ÖNK ÖSSZESITŐ'!G91)</f>
        <v>45016090</v>
      </c>
      <c r="H270" s="78">
        <f>SUM('ÖNK ÖSSZESITŐ'!H91)</f>
        <v>45377695</v>
      </c>
      <c r="I270" s="78">
        <f>SUM('ÖNK ÖSSZESITŐ'!I91)</f>
        <v>45593917</v>
      </c>
      <c r="J270" s="78">
        <f>SUM('ÖNK ÖSSZESITŐ'!J91)</f>
        <v>45816725</v>
      </c>
    </row>
    <row r="271" spans="1:10" ht="12.75" customHeight="1">
      <c r="A271" s="1227" t="s">
        <v>1065</v>
      </c>
      <c r="B271" s="95"/>
      <c r="C271" s="170" t="s">
        <v>568</v>
      </c>
      <c r="D271" s="95"/>
      <c r="E271" s="78">
        <f>SUM('ÖNK ÖSSZESITŐ'!E92)</f>
        <v>263067627.2</v>
      </c>
      <c r="F271" s="78">
        <f>SUM('ÖNK ÖSSZESITŐ'!F92)</f>
        <v>163561199.3</v>
      </c>
      <c r="G271" s="78">
        <f>SUM('ÖNK ÖSSZESITŐ'!G92)</f>
        <v>143863478.3</v>
      </c>
      <c r="H271" s="78">
        <f>SUM('ÖNK ÖSSZESITŐ'!H92)</f>
        <v>147857334.3</v>
      </c>
      <c r="I271" s="78">
        <f>SUM('ÖNK ÖSSZESITŐ'!I92)</f>
        <v>151209528.3</v>
      </c>
      <c r="J271" s="78">
        <f>SUM('ÖNK ÖSSZESITŐ'!J92)</f>
        <v>236589727.2</v>
      </c>
    </row>
    <row r="272" spans="1:10" ht="12.75" customHeight="1">
      <c r="A272" s="1228" t="s">
        <v>1066</v>
      </c>
      <c r="B272" s="94"/>
      <c r="C272" s="264" t="s">
        <v>25</v>
      </c>
      <c r="D272" s="82"/>
      <c r="E272" s="78">
        <f>SUM('ÖNK ÖSSZESITŐ'!E93)</f>
        <v>537496763.2</v>
      </c>
      <c r="F272" s="78">
        <f>SUM('ÖNK ÖSSZESITŐ'!F93)</f>
        <v>458309548.3</v>
      </c>
      <c r="G272" s="78">
        <f>SUM('ÖNK ÖSSZESITŐ'!G93)</f>
        <v>445049785.3</v>
      </c>
      <c r="H272" s="78">
        <f>SUM('ÖNK ÖSSZESITŐ'!H93)</f>
        <v>451581246.3</v>
      </c>
      <c r="I272" s="78">
        <f>SUM('ÖNK ÖSSZESITŐ'!I93)</f>
        <v>456544643.3</v>
      </c>
      <c r="J272" s="78">
        <f>SUM('ÖNK ÖSSZESITŐ'!J93)</f>
        <v>546066548.2</v>
      </c>
    </row>
    <row r="273" spans="1:10" ht="12.75" customHeight="1">
      <c r="A273" s="1227" t="s">
        <v>1236</v>
      </c>
      <c r="B273" s="94"/>
      <c r="C273" s="170" t="s">
        <v>256</v>
      </c>
      <c r="D273" s="94"/>
      <c r="E273" s="78">
        <f>SUM('ÖNK ÖSSZESITŐ'!E94)</f>
        <v>44186648</v>
      </c>
      <c r="F273" s="78">
        <f>SUM('ÖNK ÖSSZESITŐ'!F94)</f>
        <v>44771741</v>
      </c>
      <c r="G273" s="78">
        <f>SUM('ÖNK ÖSSZESITŐ'!G94)</f>
        <v>42258999</v>
      </c>
      <c r="H273" s="78">
        <f>SUM('ÖNK ÖSSZESITŐ'!H94)</f>
        <v>46035254</v>
      </c>
      <c r="I273" s="78">
        <f>SUM('ÖNK ÖSSZESITŐ'!I94)</f>
        <v>49185271</v>
      </c>
      <c r="J273" s="78">
        <f>SUM('ÖNK ÖSSZESITŐ'!J94)</f>
        <v>50526275</v>
      </c>
    </row>
    <row r="274" spans="1:10" ht="12.75" customHeight="1">
      <c r="A274" s="1227" t="s">
        <v>1237</v>
      </c>
      <c r="B274" s="94"/>
      <c r="C274" s="170" t="s">
        <v>295</v>
      </c>
      <c r="D274" s="94"/>
      <c r="E274" s="78">
        <f>SUM('ÖNK ÖSSZESITŐ'!E95)</f>
        <v>4209730</v>
      </c>
      <c r="F274" s="78">
        <f>SUM('ÖNK ÖSSZESITŐ'!F95)</f>
        <v>3453000</v>
      </c>
      <c r="G274" s="78">
        <f>SUM('ÖNK ÖSSZESITŐ'!G95)</f>
        <v>3803000</v>
      </c>
      <c r="H274" s="78">
        <f>SUM('ÖNK ÖSSZESITŐ'!H95)</f>
        <v>3453000</v>
      </c>
      <c r="I274" s="78">
        <f>SUM('ÖNK ÖSSZESITŐ'!I95)</f>
        <v>3453000</v>
      </c>
      <c r="J274" s="78">
        <f>SUM('ÖNK ÖSSZESITŐ'!J95)</f>
        <v>4980000</v>
      </c>
    </row>
    <row r="275" spans="1:10" ht="12.75" customHeight="1">
      <c r="A275" s="1227" t="s">
        <v>1238</v>
      </c>
      <c r="B275" s="94"/>
      <c r="C275" s="170" t="s">
        <v>297</v>
      </c>
      <c r="D275" s="94"/>
      <c r="E275" s="78">
        <v>205675338</v>
      </c>
      <c r="F275" s="78">
        <f>SUM('ÖNK ÖSSZESITŐ'!F96)</f>
        <v>4700000</v>
      </c>
      <c r="G275" s="78">
        <f>SUM('ÖNK ÖSSZESITŐ'!G96)</f>
        <v>96463808</v>
      </c>
      <c r="H275" s="78">
        <f>SUM('ÖNK ÖSSZESITŐ'!H96)</f>
        <v>274884650</v>
      </c>
      <c r="I275" s="78">
        <f>SUM('ÖNK ÖSSZESITŐ'!I96)</f>
        <v>275090752</v>
      </c>
      <c r="J275" s="78">
        <f>SUM('ÖNK ÖSSZESITŐ'!J96)</f>
        <v>338291741</v>
      </c>
    </row>
    <row r="276" spans="1:10" ht="12.75" customHeight="1">
      <c r="A276" s="1227" t="s">
        <v>1239</v>
      </c>
      <c r="B276" s="94"/>
      <c r="C276" s="170" t="s">
        <v>299</v>
      </c>
      <c r="D276" s="94"/>
      <c r="E276" s="78">
        <f>SUM('ÖNK ÖSSZESITŐ'!E97)</f>
        <v>300105338</v>
      </c>
      <c r="F276" s="78">
        <f>SUM('ÖNK ÖSSZESITŐ'!F97)</f>
        <v>329437179</v>
      </c>
      <c r="G276" s="78">
        <f>SUM('ÖNK ÖSSZESITŐ'!G97)</f>
        <v>327680648</v>
      </c>
      <c r="H276" s="78">
        <f>SUM('ÖNK ÖSSZESITŐ'!H97)</f>
        <v>327974397</v>
      </c>
      <c r="I276" s="78">
        <f>SUM('ÖNK ÖSSZESITŐ'!I97)</f>
        <v>328197753</v>
      </c>
      <c r="J276" s="78">
        <f>SUM('ÖNK ÖSSZESITŐ'!J97)</f>
        <v>332155304</v>
      </c>
    </row>
    <row r="277" spans="1:10" ht="12.75" customHeight="1">
      <c r="A277" s="1227" t="s">
        <v>1240</v>
      </c>
      <c r="B277" s="94"/>
      <c r="C277" s="170" t="s">
        <v>515</v>
      </c>
      <c r="D277" s="94"/>
      <c r="E277" s="78">
        <f>SUM('ÖNK ÖSSZESITŐ'!E98)</f>
        <v>478765907</v>
      </c>
      <c r="F277" s="78">
        <f>SUM('ÖNK ÖSSZESITŐ'!F98)</f>
        <v>462128007</v>
      </c>
      <c r="G277" s="78">
        <f>SUM('ÖNK ÖSSZESITŐ'!G98)</f>
        <v>570382608</v>
      </c>
      <c r="H277" s="78">
        <f>SUM('ÖNK ÖSSZESITŐ'!H98)</f>
        <v>419046334</v>
      </c>
      <c r="I277" s="78">
        <f>SUM('ÖNK ÖSSZESITŐ'!I98)</f>
        <v>410741663</v>
      </c>
      <c r="J277" s="78">
        <f>SUM('ÖNK ÖSSZESITŐ'!J98)</f>
        <v>376250463</v>
      </c>
    </row>
    <row r="278" spans="1:10" ht="12.75" customHeight="1">
      <c r="A278" s="1227" t="s">
        <v>1241</v>
      </c>
      <c r="B278" s="94"/>
      <c r="C278" s="17" t="s">
        <v>678</v>
      </c>
      <c r="D278" s="94"/>
      <c r="E278" s="78">
        <f>SUM('ÖNK ÖSSZESITŐ'!E99)</f>
        <v>2482037</v>
      </c>
      <c r="F278" s="78">
        <f>SUM('ÖNK ÖSSZESITŐ'!F99)</f>
        <v>0</v>
      </c>
      <c r="G278" s="78">
        <f>SUM('ÖNK ÖSSZESITŐ'!G99)</f>
        <v>354027</v>
      </c>
      <c r="H278" s="78">
        <f>SUM('ÖNK ÖSSZESITŐ'!H99)</f>
        <v>354027</v>
      </c>
      <c r="I278" s="78">
        <f>SUM('ÖNK ÖSSZESITŐ'!I99)</f>
        <v>354027</v>
      </c>
      <c r="J278" s="78">
        <f>SUM('ÖNK ÖSSZESITŐ'!J99)</f>
        <v>354027</v>
      </c>
    </row>
    <row r="279" spans="1:10" ht="12.75" customHeight="1">
      <c r="A279" s="1227" t="s">
        <v>1242</v>
      </c>
      <c r="B279" s="94"/>
      <c r="C279" s="115" t="s">
        <v>680</v>
      </c>
      <c r="D279" s="94"/>
      <c r="E279" s="78">
        <f>SUM('ÖNK ÖSSZESITŐ'!E101)</f>
        <v>0</v>
      </c>
      <c r="F279" s="78">
        <f>SUM('ÖNK ÖSSZESITŐ'!F101)</f>
        <v>0</v>
      </c>
      <c r="G279" s="78">
        <f>SUM('ÖNK ÖSSZESITŐ'!G101)</f>
        <v>0</v>
      </c>
      <c r="H279" s="78">
        <f>SUM('ÖNK ÖSSZESITŐ'!H101)</f>
        <v>0</v>
      </c>
      <c r="I279" s="78">
        <f>SUM('ÖNK ÖSSZESITŐ'!I101)</f>
        <v>1684766</v>
      </c>
      <c r="J279" s="78">
        <f>SUM('ÖNK ÖSSZESITŐ'!J101)</f>
        <v>1684766</v>
      </c>
    </row>
    <row r="280" spans="1:10" ht="12.75" customHeight="1">
      <c r="A280" s="1227" t="s">
        <v>1243</v>
      </c>
      <c r="B280" s="94"/>
      <c r="C280" s="115" t="s">
        <v>679</v>
      </c>
      <c r="D280" s="94"/>
      <c r="E280" s="78">
        <f>SUM('ÖNK ÖSSZESITŐ'!E102)</f>
        <v>0</v>
      </c>
      <c r="F280" s="78">
        <f>SUM('ÖNK ÖSSZESITŐ'!F102)</f>
        <v>0</v>
      </c>
      <c r="G280" s="78">
        <f>SUM('ÖNK ÖSSZESITŐ'!G102)</f>
        <v>0</v>
      </c>
      <c r="H280" s="78">
        <f>SUM('ÖNK ÖSSZESITŐ'!H102)</f>
        <v>0</v>
      </c>
      <c r="I280" s="78">
        <f>SUM('ÖNK ÖSSZESITŐ'!I102)</f>
        <v>0</v>
      </c>
      <c r="J280" s="78">
        <f>SUM('ÖNK ÖSSZESITŐ'!J102)</f>
        <v>0</v>
      </c>
    </row>
    <row r="281" spans="1:10" ht="12.75" customHeight="1">
      <c r="A281" s="1227" t="s">
        <v>1244</v>
      </c>
      <c r="B281" s="94"/>
      <c r="C281" s="170" t="s">
        <v>269</v>
      </c>
      <c r="D281" s="94"/>
      <c r="E281" s="78">
        <v>8209104</v>
      </c>
      <c r="F281" s="78">
        <f>SUM('ÖNK ÖSSZESITŐ'!F103)</f>
        <v>8251931</v>
      </c>
      <c r="G281" s="78">
        <f>SUM('ÖNK ÖSSZESITŐ'!G103)</f>
        <v>8432007</v>
      </c>
      <c r="H281" s="78">
        <f>SUM('ÖNK ÖSSZESITŐ'!H103)</f>
        <v>8432007</v>
      </c>
      <c r="I281" s="78">
        <f>SUM('ÖNK ÖSSZESITŐ'!I103)</f>
        <v>8835048</v>
      </c>
      <c r="J281" s="78">
        <f>SUM('ÖNK ÖSSZESITŐ'!J103)</f>
        <v>8830789</v>
      </c>
    </row>
    <row r="282" spans="1:10" ht="12.75" customHeight="1">
      <c r="A282" s="1227" t="s">
        <v>1245</v>
      </c>
      <c r="B282" s="94"/>
      <c r="C282" s="170" t="s">
        <v>1224</v>
      </c>
      <c r="D282" s="94"/>
      <c r="E282" s="78"/>
      <c r="F282" s="78"/>
      <c r="G282" s="78"/>
      <c r="H282" s="78">
        <v>2017050</v>
      </c>
      <c r="I282" s="78">
        <v>2354850</v>
      </c>
      <c r="J282" s="78">
        <v>2354850</v>
      </c>
    </row>
    <row r="283" spans="1:10" ht="12.75" customHeight="1">
      <c r="A283" s="1227" t="s">
        <v>1246</v>
      </c>
      <c r="B283" s="261"/>
      <c r="C283" s="265" t="s">
        <v>539</v>
      </c>
      <c r="D283" s="261"/>
      <c r="E283" s="262">
        <f aca="true" t="shared" si="60" ref="E283:J283">SUM(E272:E282)</f>
        <v>1581130865.2</v>
      </c>
      <c r="F283" s="262">
        <f t="shared" si="60"/>
        <v>1311051406.3</v>
      </c>
      <c r="G283" s="262">
        <f t="shared" si="60"/>
        <v>1494424882.3</v>
      </c>
      <c r="H283" s="262">
        <f t="shared" si="60"/>
        <v>1533777965.3</v>
      </c>
      <c r="I283" s="262">
        <f t="shared" si="60"/>
        <v>1536441773.3</v>
      </c>
      <c r="J283" s="262">
        <f t="shared" si="60"/>
        <v>1661494763.2</v>
      </c>
    </row>
  </sheetData>
  <sheetProtection selectLockedCells="1" selectUnlockedCells="1"/>
  <mergeCells count="11">
    <mergeCell ref="A10:B11"/>
    <mergeCell ref="D4:G4"/>
    <mergeCell ref="A5:J7"/>
    <mergeCell ref="A2:J3"/>
    <mergeCell ref="A1:I1"/>
    <mergeCell ref="C261:D261"/>
    <mergeCell ref="A117:D117"/>
    <mergeCell ref="A139:B139"/>
    <mergeCell ref="A146:D146"/>
    <mergeCell ref="A191:D191"/>
    <mergeCell ref="A214:D214"/>
  </mergeCells>
  <printOptions horizontalCentered="1"/>
  <pageMargins left="0.31496062992125984" right="0.2362204724409449" top="0.4724409448818898" bottom="0.6299212598425197" header="0.5118110236220472" footer="0.2362204724409449"/>
  <pageSetup firstPageNumber="1" useFirstPageNumber="1" horizontalDpi="600" verticalDpi="600" orientation="portrait" paperSize="9" scale="55" r:id="rId1"/>
  <headerFooter alignWithMargins="0">
    <oddFooter>&amp;C&amp;P. oldal</oddFooter>
  </headerFooter>
  <rowBreaks count="3" manualBreakCount="3">
    <brk id="83" max="9" man="1"/>
    <brk id="164" max="9" man="1"/>
    <brk id="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kolonics.krisztina</cp:lastModifiedBy>
  <cp:lastPrinted>2021-02-09T06:50:02Z</cp:lastPrinted>
  <dcterms:created xsi:type="dcterms:W3CDTF">2017-01-11T11:20:02Z</dcterms:created>
  <dcterms:modified xsi:type="dcterms:W3CDTF">2021-02-09T06:50:23Z</dcterms:modified>
  <cp:category/>
  <cp:version/>
  <cp:contentType/>
  <cp:contentStatus/>
</cp:coreProperties>
</file>