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" activeTab="2"/>
  </bookViews>
  <sheets>
    <sheet name="ÖSSZEFÜGGÉSEK" sheetId="1" state="hidden" r:id="rId1"/>
    <sheet name="1" sheetId="2" state="hidden" r:id="rId2"/>
    <sheet name="2" sheetId="3" r:id="rId3"/>
    <sheet name="3" sheetId="4" state="hidden" r:id="rId4"/>
    <sheet name="4" sheetId="5" r:id="rId5"/>
    <sheet name="4.1" sheetId="6" r:id="rId6"/>
    <sheet name="4.2" sheetId="7" r:id="rId7"/>
    <sheet name="4.3" sheetId="8" r:id="rId8"/>
    <sheet name="5.1" sheetId="9" r:id="rId9"/>
    <sheet name="5.2" sheetId="10" r:id="rId10"/>
    <sheet name="ELLENŐRZÉS-1.sz.2.a.sz.2.b.sz." sheetId="11" state="hidden" r:id="rId11"/>
    <sheet name="6" sheetId="12" r:id="rId12"/>
    <sheet name="7" sheetId="13" r:id="rId13"/>
    <sheet name="8" sheetId="14" r:id="rId14"/>
    <sheet name="9" sheetId="15" r:id="rId15"/>
    <sheet name="Ö1" sheetId="16" state="hidden" r:id="rId16"/>
    <sheet name="Ö2" sheetId="17" state="hidden" r:id="rId17"/>
    <sheet name="Ö3" sheetId="18" state="hidden" r:id="rId18"/>
    <sheet name="9.1" sheetId="19" r:id="rId19"/>
    <sheet name="9.2" sheetId="20" r:id="rId20"/>
    <sheet name="9.3" sheetId="21" r:id="rId21"/>
    <sheet name="10" sheetId="22" r:id="rId22"/>
    <sheet name="K1" sheetId="23" state="hidden" r:id="rId23"/>
    <sheet name="K2" sheetId="24" state="hidden" r:id="rId24"/>
    <sheet name="K3" sheetId="25" state="hidden" r:id="rId25"/>
    <sheet name="10.1" sheetId="26" r:id="rId26"/>
    <sheet name="10.2" sheetId="27" r:id="rId27"/>
    <sheet name="10.3" sheetId="28" r:id="rId28"/>
    <sheet name="11" sheetId="29" r:id="rId29"/>
    <sheet name="11.1" sheetId="30" r:id="rId30"/>
    <sheet name="11.2" sheetId="31" r:id="rId31"/>
    <sheet name="11.3" sheetId="32" r:id="rId32"/>
    <sheet name="12" sheetId="33" r:id="rId33"/>
    <sheet name="12.1" sheetId="34" r:id="rId34"/>
    <sheet name="12.2" sheetId="35" r:id="rId35"/>
    <sheet name="12.3" sheetId="36" r:id="rId36"/>
    <sheet name="13" sheetId="37" r:id="rId37"/>
    <sheet name="13.1" sheetId="38" r:id="rId38"/>
    <sheet name="13.2" sheetId="39" r:id="rId39"/>
    <sheet name="13.3" sheetId="40" r:id="rId40"/>
    <sheet name="14" sheetId="41" r:id="rId41"/>
    <sheet name="14.1" sheetId="42" r:id="rId42"/>
    <sheet name="14.2" sheetId="43" r:id="rId43"/>
    <sheet name="14.3" sheetId="44" r:id="rId44"/>
    <sheet name="15" sheetId="45" state="hidden" r:id="rId45"/>
    <sheet name="16" sheetId="46" r:id="rId46"/>
    <sheet name="17" sheetId="47" r:id="rId47"/>
    <sheet name="18" sheetId="48" r:id="rId48"/>
    <sheet name="19" sheetId="49" state="hidden" r:id="rId49"/>
    <sheet name="20" sheetId="50" state="hidden" r:id="rId50"/>
    <sheet name="21" sheetId="51" state="hidden" r:id="rId51"/>
    <sheet name="22" sheetId="52" state="hidden" r:id="rId52"/>
    <sheet name="23" sheetId="53" state="hidden" r:id="rId53"/>
    <sheet name="24" sheetId="54" state="hidden" r:id="rId54"/>
    <sheet name="25" sheetId="55" state="hidden" r:id="rId55"/>
    <sheet name="5.sz.mell." sheetId="56" state="hidden" r:id="rId56"/>
    <sheet name="1. sz tájékoztató t." sheetId="57" state="hidden" r:id="rId57"/>
    <sheet name="6.sz tájékoztató t." sheetId="58" state="hidden" r:id="rId58"/>
    <sheet name="Munka1" sheetId="59" r:id="rId59"/>
  </sheets>
  <externalReferences>
    <externalReference r:id="rId62"/>
    <externalReference r:id="rId63"/>
    <externalReference r:id="rId64"/>
    <externalReference r:id="rId65"/>
  </externalReferences>
  <definedNames>
    <definedName name="_xlnm.Print_Titles" localSheetId="21">'10'!$1:$6</definedName>
    <definedName name="_xlnm.Print_Titles" localSheetId="25">'10.1'!$1:$6</definedName>
    <definedName name="_xlnm.Print_Titles" localSheetId="26">'10.2'!$1:$6</definedName>
    <definedName name="_xlnm.Print_Titles" localSheetId="27">'10.3'!$1:$6</definedName>
    <definedName name="_xlnm.Print_Titles" localSheetId="28">'11'!$1:$6</definedName>
    <definedName name="_xlnm.Print_Titles" localSheetId="29">'11.1'!$1:$6</definedName>
    <definedName name="_xlnm.Print_Titles" localSheetId="30">'11.2'!$1:$6</definedName>
    <definedName name="_xlnm.Print_Titles" localSheetId="31">'11.3'!$1:$6</definedName>
    <definedName name="_xlnm.Print_Titles" localSheetId="32">'12'!$1:$6</definedName>
    <definedName name="_xlnm.Print_Titles" localSheetId="33">'12.1'!$1:$6</definedName>
    <definedName name="_xlnm.Print_Titles" localSheetId="34">'12.2'!$1:$6</definedName>
    <definedName name="_xlnm.Print_Titles" localSheetId="35">'12.3'!$1:$6</definedName>
    <definedName name="_xlnm.Print_Titles" localSheetId="36">'13'!$1:$6</definedName>
    <definedName name="_xlnm.Print_Titles" localSheetId="37">'13.1'!$1:$6</definedName>
    <definedName name="_xlnm.Print_Titles" localSheetId="38">'13.2'!$1:$6</definedName>
    <definedName name="_xlnm.Print_Titles" localSheetId="39">'13.3'!$1:$6</definedName>
    <definedName name="_xlnm.Print_Titles" localSheetId="40">'14'!$1:$6</definedName>
    <definedName name="_xlnm.Print_Titles" localSheetId="41">'14.1'!$1:$6</definedName>
    <definedName name="_xlnm.Print_Titles" localSheetId="42">'14.2'!$1:$6</definedName>
    <definedName name="_xlnm.Print_Titles" localSheetId="43">'14.3'!$1:$6</definedName>
    <definedName name="_xlnm.Print_Titles" localSheetId="11">'6'!$3:$3</definedName>
    <definedName name="_xlnm.Print_Titles" localSheetId="14">'9'!$1:$6</definedName>
    <definedName name="_xlnm.Print_Titles" localSheetId="18">'9.1'!$1:$6</definedName>
    <definedName name="_xlnm.Print_Titles" localSheetId="19">'9.2'!$1:$6</definedName>
    <definedName name="_xlnm.Print_Titles" localSheetId="20">'9.3'!$1:$6</definedName>
    <definedName name="_xlnm.Print_Area" localSheetId="56">'1. sz tájékoztató t.'!$A$1:$E$155</definedName>
    <definedName name="_xlnm.Print_Area" localSheetId="21">'10'!$A$1:$C$61</definedName>
    <definedName name="_xlnm.Print_Area" localSheetId="28">'11'!$A$1:$C$60</definedName>
    <definedName name="_xlnm.Print_Area" localSheetId="32">'12'!$A$1:$C$60</definedName>
    <definedName name="_xlnm.Print_Area" localSheetId="36">'13'!$A$1:$C$60</definedName>
    <definedName name="_xlnm.Print_Area" localSheetId="40">'14'!$A$1:$C$60</definedName>
    <definedName name="_xlnm.Print_Area" localSheetId="54">'25'!$A$1:$E$37</definedName>
    <definedName name="_xlnm.Print_Area" localSheetId="4">'4'!$A$1:$C$159</definedName>
    <definedName name="_xlnm.Print_Area" localSheetId="5">'4.1'!$A$1:$C$159</definedName>
    <definedName name="_xlnm.Print_Area" localSheetId="6">'4.2'!$A$1:$C$159</definedName>
    <definedName name="_xlnm.Print_Area" localSheetId="7">'4.3'!$A$1:$C$159</definedName>
    <definedName name="_xlnm.Print_Area" localSheetId="8">'5.1'!$A$1:$E$32</definedName>
    <definedName name="_xlnm.Print_Area" localSheetId="9">'5.2'!$A$1:$E$33</definedName>
    <definedName name="_xlnm.Print_Area" localSheetId="11">'6'!$A$1:$C$175</definedName>
    <definedName name="_xlnm.Print_Area" localSheetId="13">'8'!$A$1:$E$243</definedName>
    <definedName name="_xlnm.Print_Area" localSheetId="14">'9'!$A$1:$C$158</definedName>
    <definedName name="_xlnm.Print_Area" localSheetId="22">'K1'!$A$1:$O$104</definedName>
    <definedName name="_xlnm.Print_Area" localSheetId="15">'Ö1'!$A$1:$Q$238</definedName>
  </definedNames>
  <calcPr fullCalcOnLoad="1"/>
</workbook>
</file>

<file path=xl/sharedStrings.xml><?xml version="1.0" encoding="utf-8"?>
<sst xmlns="http://schemas.openxmlformats.org/spreadsheetml/2006/main" count="7448" uniqueCount="1371">
  <si>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</si>
  <si>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</si>
  <si>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</si>
  <si>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</si>
  <si>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</si>
  <si>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</si>
  <si>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</si>
  <si>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</si>
  <si>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</si>
  <si>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</si>
  <si>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</si>
  <si>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</si>
  <si>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</si>
  <si>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</si>
  <si>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</si>
  <si>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</si>
  <si>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</si>
  <si>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</si>
  <si>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</si>
  <si>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</si>
  <si>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</si>
  <si>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</si>
  <si>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</si>
  <si>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</si>
  <si>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</si>
  <si>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</si>
  <si>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</si>
  <si>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</si>
  <si>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</si>
  <si>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</si>
  <si>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</si>
  <si>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</si>
  <si>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</si>
  <si>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</si>
  <si>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</si>
  <si>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</si>
  <si>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</si>
  <si>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</si>
  <si>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</si>
  <si>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</si>
  <si>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</si>
  <si>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</si>
  <si>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</si>
  <si>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</si>
  <si>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</si>
  <si>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</si>
  <si>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</si>
  <si>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</si>
  <si>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</si>
  <si>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</si>
  <si>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</si>
  <si>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</si>
  <si>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</si>
  <si>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</si>
  <si>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</si>
  <si>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</si>
  <si>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</si>
  <si>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</si>
  <si>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</si>
  <si>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</si>
  <si>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</si>
  <si>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</si>
  <si>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</si>
  <si>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</si>
  <si>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</si>
  <si>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</si>
  <si>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</si>
  <si>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</si>
  <si>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</si>
  <si>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</si>
  <si>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</si>
  <si>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</si>
  <si>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</si>
  <si>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</si>
  <si>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</si>
  <si>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</si>
  <si>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</si>
  <si>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</si>
  <si>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</si>
  <si>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</si>
  <si>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</si>
  <si>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</si>
  <si>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</si>
  <si>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</si>
  <si>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</si>
  <si>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</si>
  <si>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</si>
  <si>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</si>
  <si>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</si>
  <si>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</si>
  <si>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</si>
  <si>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</si>
  <si>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</si>
  <si>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</si>
  <si>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</si>
  <si>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</si>
  <si>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</si>
  <si>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</si>
  <si>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</si>
  <si>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</si>
  <si>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</si>
  <si>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</si>
  <si>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</si>
  <si>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</si>
  <si>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</si>
  <si>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</si>
  <si>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</si>
  <si>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</si>
  <si>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</si>
  <si>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</si>
  <si>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</si>
  <si>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</si>
  <si>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</si>
  <si>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</si>
  <si>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</si>
  <si>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</si>
  <si>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</si>
  <si>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</si>
  <si>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</si>
  <si>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</si>
  <si>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</si>
  <si>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</si>
  <si>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</si>
  <si>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</si>
  <si>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</si>
  <si>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</si>
  <si>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</si>
  <si>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</si>
  <si>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</si>
  <si>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</si>
  <si>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</si>
  <si>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</si>
  <si>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</si>
  <si>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</si>
  <si>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</si>
  <si>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</si>
  <si>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</si>
  <si>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</si>
  <si>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</si>
  <si>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</si>
  <si>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</si>
  <si>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</si>
  <si>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</si>
  <si>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</si>
  <si>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</si>
  <si>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</si>
  <si>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</si>
  <si>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</si>
  <si>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</si>
  <si>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</si>
  <si>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</si>
  <si>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</si>
  <si>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</si>
  <si>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</si>
  <si>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</si>
  <si>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</si>
  <si>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</si>
  <si>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</si>
  <si>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</si>
  <si>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</si>
  <si>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</si>
  <si>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</si>
  <si>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</si>
  <si>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</si>
  <si>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</si>
  <si>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</si>
  <si>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</si>
  <si>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</si>
  <si>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</si>
  <si>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</si>
  <si>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</si>
  <si>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</si>
  <si>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</si>
  <si>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</si>
  <si>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</si>
  <si>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</si>
  <si>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</si>
  <si>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</si>
  <si>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</si>
  <si>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</si>
  <si>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</si>
  <si>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</si>
  <si>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</si>
  <si>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</si>
  <si>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</si>
  <si>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</si>
  <si>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</si>
  <si>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</si>
  <si>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</si>
  <si>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</si>
  <si>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</si>
  <si>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</si>
  <si>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</si>
  <si>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</si>
  <si>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</si>
  <si>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</si>
  <si>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</si>
  <si>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</si>
  <si>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</si>
  <si>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</si>
  <si>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</si>
  <si>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</si>
  <si>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</si>
  <si>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</si>
  <si>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</si>
  <si>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</si>
  <si>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</si>
  <si>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</si>
  <si>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</si>
  <si>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</si>
  <si>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</si>
  <si>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</si>
  <si>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</si>
  <si>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</si>
  <si>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</si>
  <si>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</si>
  <si>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</si>
  <si>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</si>
  <si>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</si>
  <si>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</si>
  <si>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</si>
  <si>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</si>
  <si>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</si>
  <si>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</si>
  <si>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</si>
  <si>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</si>
  <si>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</si>
  <si>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</si>
  <si>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</si>
  <si>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</si>
  <si>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</si>
  <si>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</si>
  <si>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</si>
  <si>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</si>
  <si>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</si>
  <si>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</si>
  <si>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</si>
  <si>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</si>
  <si>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</si>
  <si>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</si>
  <si>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</si>
  <si>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</si>
  <si>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</si>
  <si>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</si>
  <si>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</si>
  <si>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</si>
  <si>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</si>
  <si>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</si>
  <si>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</si>
  <si>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</si>
  <si>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</si>
  <si>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</si>
  <si>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</si>
  <si>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</si>
  <si>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</si>
  <si>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</si>
  <si>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</si>
  <si>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</si>
  <si>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</si>
  <si>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</si>
  <si>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</si>
  <si>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</si>
  <si>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</si>
  <si>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</si>
  <si>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</si>
  <si>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</si>
  <si>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</si>
  <si>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</si>
  <si>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</si>
  <si>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</si>
  <si>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</si>
  <si>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</si>
  <si>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</si>
  <si>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</si>
  <si>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</si>
  <si>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</si>
  <si>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</si>
  <si>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</si>
  <si>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</si>
  <si>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</si>
  <si>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</si>
  <si>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</si>
  <si>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</si>
  <si>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</si>
  <si>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</si>
  <si>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</si>
  <si>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</si>
  <si>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</si>
  <si>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</si>
  <si>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</si>
  <si>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</si>
  <si>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</si>
  <si>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</si>
  <si>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</si>
  <si>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</si>
  <si>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</si>
  <si>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</si>
  <si>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</si>
  <si>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</si>
  <si>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</si>
  <si>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</si>
  <si>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</si>
  <si>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</si>
  <si>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</si>
  <si>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</si>
  <si>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</si>
  <si>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</si>
  <si>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</si>
  <si>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</si>
  <si>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</si>
  <si>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</si>
  <si>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</si>
  <si>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</si>
  <si>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</si>
  <si>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</si>
  <si>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</si>
  <si>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</si>
  <si>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</si>
  <si>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</si>
  <si>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</si>
  <si>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</si>
  <si>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</si>
  <si>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</si>
  <si>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</si>
  <si>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</si>
  <si>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</si>
  <si>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</si>
  <si>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</si>
  <si>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</si>
  <si>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</si>
  <si>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</si>
  <si>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</si>
  <si>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</si>
  <si>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</si>
  <si>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</si>
  <si>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</si>
  <si>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</si>
  <si>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</si>
  <si>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</si>
  <si>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</si>
  <si>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</si>
  <si>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</si>
  <si>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</si>
  <si>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</si>
  <si>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</si>
  <si>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</si>
  <si>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</si>
  <si>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</si>
  <si>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</si>
  <si>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</si>
  <si>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</si>
  <si>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</si>
  <si>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</si>
  <si>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</si>
  <si>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</si>
  <si>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</si>
  <si>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</si>
  <si>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</si>
  <si>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</si>
  <si>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</si>
  <si>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</si>
  <si>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</si>
  <si>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</si>
  <si>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</si>
  <si>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</si>
  <si>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</si>
  <si>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</si>
  <si>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</si>
  <si>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</si>
  <si>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</si>
  <si>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</si>
  <si>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</si>
  <si>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</si>
  <si>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</si>
  <si>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</si>
  <si>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</si>
  <si>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</si>
  <si>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</si>
  <si>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</si>
  <si>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</si>
  <si>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</si>
  <si>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</si>
  <si>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</si>
  <si>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</si>
  <si>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</si>
  <si>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</si>
  <si>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</si>
  <si>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</si>
  <si>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</si>
  <si>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</si>
  <si>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</si>
  <si>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</si>
  <si>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</si>
  <si>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</si>
  <si>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</si>
  <si>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</si>
  <si>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</si>
  <si>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</si>
  <si>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</si>
  <si>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</si>
  <si>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</si>
  <si>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</si>
  <si>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</si>
  <si>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</si>
  <si>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</si>
  <si>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</si>
  <si>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</si>
  <si>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</si>
  <si>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</si>
  <si>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</si>
  <si>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</si>
  <si>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</si>
  <si>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</si>
  <si>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</si>
  <si>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</si>
  <si>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</si>
  <si>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</si>
  <si>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</si>
  <si>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</si>
  <si>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</si>
  <si>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</si>
  <si>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</si>
  <si>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</si>
  <si>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</si>
  <si>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</si>
  <si>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</si>
  <si>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</si>
  <si>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</si>
  <si>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</si>
  <si>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</si>
  <si>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</si>
  <si>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</si>
  <si>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</si>
  <si>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</si>
  <si>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</si>
  <si>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</si>
  <si>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</si>
  <si>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</si>
  <si>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</si>
  <si>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</si>
  <si>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</si>
  <si>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</si>
  <si>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</si>
  <si>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</si>
  <si>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</si>
  <si>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</si>
  <si>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</si>
  <si>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</si>
  <si>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</si>
  <si>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</si>
  <si>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</si>
  <si>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</si>
  <si>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</si>
  <si>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</si>
  <si>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</si>
  <si>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</si>
  <si>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</si>
  <si>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</si>
  <si>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</si>
  <si>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</si>
  <si>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</si>
  <si>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</si>
  <si>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</si>
  <si>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</si>
  <si>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</si>
  <si>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</si>
  <si>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</si>
  <si>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</si>
  <si>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</si>
  <si>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</si>
  <si>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</si>
  <si>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</si>
  <si>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</si>
  <si>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</si>
  <si>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</si>
  <si>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</si>
  <si>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</si>
  <si>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</si>
  <si>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</si>
  <si>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</si>
  <si>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</si>
  <si>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</si>
  <si>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</si>
  <si>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</si>
  <si>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</si>
  <si>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</si>
  <si>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</si>
  <si>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</si>
  <si>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</si>
  <si>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</si>
  <si>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</si>
  <si>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</si>
  <si>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</si>
  <si>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</si>
  <si>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</si>
  <si>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</si>
  <si>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</si>
  <si>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</si>
  <si>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</si>
  <si>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</si>
  <si>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</si>
  <si>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</si>
  <si>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</si>
  <si>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</si>
  <si>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</si>
  <si>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</si>
  <si>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</si>
  <si>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</si>
  <si>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</si>
  <si>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</si>
  <si>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</si>
  <si>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</si>
  <si>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</si>
  <si>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</si>
  <si>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</si>
  <si>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</si>
  <si>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</si>
  <si>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</si>
  <si>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</si>
  <si>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</si>
  <si>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</si>
  <si>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</si>
  <si>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</si>
  <si>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</si>
  <si>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</si>
  <si>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</si>
  <si>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</si>
  <si>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</si>
  <si>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</si>
  <si>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</si>
  <si>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</si>
  <si>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</si>
  <si>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</si>
  <si>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</si>
  <si>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</si>
  <si>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</si>
  <si>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</si>
  <si>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</si>
  <si>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</si>
  <si>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</si>
  <si>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</si>
  <si>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</si>
  <si>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</si>
  <si>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</si>
  <si>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</si>
  <si>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</si>
  <si>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1. számú melléklet</t>
  </si>
  <si>
    <t xml:space="preserve">Címrend </t>
  </si>
  <si>
    <t>Az önkormányzat önállóan működő és gazdálkodó költségvetési szerve</t>
  </si>
  <si>
    <t>Siófoki Közös Önkormányzati Hivatal</t>
  </si>
  <si>
    <t>Az önkormányzat önállóan működő költségvetési szervei</t>
  </si>
  <si>
    <t>Siófok Város Óvodája és Bölcsődéje</t>
  </si>
  <si>
    <t>Kálmán Imre Kulturális Központ</t>
  </si>
  <si>
    <t>BRTK Könyvtár és Kálmán Imre Emlékház</t>
  </si>
  <si>
    <t>Siófok Város Gondozási Központja</t>
  </si>
  <si>
    <t>Az önkormányzat költségvetésében szereplő nem intézményi kiadások</t>
  </si>
  <si>
    <t>2. számú melléklet</t>
  </si>
  <si>
    <t xml:space="preserve">      A költségvetési hiány belső finanszírozására szolgáló előző évek pénzmaradványa </t>
  </si>
  <si>
    <t>ezerFt</t>
  </si>
  <si>
    <t>Működési cél</t>
  </si>
  <si>
    <t>összeg</t>
  </si>
  <si>
    <t>Felhalmozási cél</t>
  </si>
  <si>
    <t>3. számú melléklet</t>
  </si>
  <si>
    <r>
      <t>A költségvetési hiány külső finanszírozásának bevételei</t>
    </r>
    <r>
      <rPr>
        <sz val="11"/>
        <rFont val="Times New Roman"/>
        <family val="1"/>
      </rPr>
      <t xml:space="preserve"> </t>
    </r>
  </si>
  <si>
    <t xml:space="preserve">vagy a költségvetési többlet felhasználására szolgáló finanszírozási célú pénzügyi műveletek </t>
  </si>
  <si>
    <r>
      <t xml:space="preserve">   Működési költségvetés kiadásai </t>
    </r>
    <r>
      <rPr>
        <sz val="10"/>
        <rFont val="Times New Roman CE"/>
        <family val="0"/>
      </rPr>
      <t>(1.1+…+1.5.+1.18.)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</si>
  <si>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</si>
  <si>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Jövedelemadók (termőföld bérbeadás)</t>
  </si>
  <si>
    <t>Termékek és szolgáltatások adói (4.3.1+4.3.2+4.3.3)</t>
  </si>
  <si>
    <t>4.3.1.</t>
  </si>
  <si>
    <t xml:space="preserve"> - gépjárműadó</t>
  </si>
  <si>
    <t>4.3.2.</t>
  </si>
  <si>
    <t xml:space="preserve"> - értékesítési és forgalmi adók (iparűzési adó)</t>
  </si>
  <si>
    <t>4.3.3.</t>
  </si>
  <si>
    <t xml:space="preserve"> - egyéb áruhasználati és szolgáltatási adók (idegenforgalmi adó, talajterhelési díj)</t>
  </si>
  <si>
    <t>Vagyoni típusú adók (építményadó, épület után fizetett ifa))</t>
  </si>
  <si>
    <t>Siófok Város Önkormányzat</t>
  </si>
  <si>
    <t>Beruházás megnevezése</t>
  </si>
  <si>
    <t>34.</t>
  </si>
  <si>
    <t>35.</t>
  </si>
  <si>
    <t>36.</t>
  </si>
  <si>
    <t>37.</t>
  </si>
  <si>
    <t>38.</t>
  </si>
  <si>
    <t>39.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</si>
  <si>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</si>
  <si>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</si>
  <si>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</si>
  <si>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</si>
  <si>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</si>
  <si>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</si>
  <si>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</si>
  <si>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</si>
  <si>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</si>
  <si>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</si>
  <si>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</si>
  <si>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</si>
  <si>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</si>
  <si>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</si>
  <si>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</si>
  <si>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</si>
  <si>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</si>
  <si>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ÖNKORMÁNYZAT ÖSSZESEN</t>
  </si>
  <si>
    <t>BRTKK ÖSSZESEN</t>
  </si>
  <si>
    <t>GONDOZÁSI KÖZPONT ÖSSZESEN</t>
  </si>
  <si>
    <t>KÁLMÁN IMRE KULTURÁLIS KÖZPONT ÖSSZESEN</t>
  </si>
  <si>
    <t>SIÓFOK VÁROS ÓVODÁJA ÉS BÖLCSŐDÉJE ÖSSZESEN</t>
  </si>
  <si>
    <t>MINDÖSSZESEN:</t>
  </si>
  <si>
    <t>Mindösszesenből EGYÉB FELHALMOZÁSI KIADÁSOK</t>
  </si>
  <si>
    <t>Egyéb felhalmozási kiadás összesen</t>
  </si>
  <si>
    <t>Siófok Város Önkormányzat BERUHÁZÁSI (felhalmozási) kiadásainak 2015. évi előirányzata beruházásonként</t>
  </si>
  <si>
    <t>2015. évi előirányzat</t>
  </si>
  <si>
    <t>Felújítás megnevezése</t>
  </si>
  <si>
    <t>Siófok Város Önkormányzat FELÚJÍTÁSI kiadásainak 2015. évi előirányzata felújításonként</t>
  </si>
  <si>
    <t>2015.</t>
  </si>
  <si>
    <t>2016.</t>
  </si>
  <si>
    <t>2016. után</t>
  </si>
  <si>
    <t>9. számú melléklet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</si>
  <si>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</si>
  <si>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t>9.1. számú melléklet</t>
  </si>
  <si>
    <t>Kötelező feladatok bevételi, kiadásai</t>
  </si>
  <si>
    <t>9.2. számú melléklet</t>
  </si>
  <si>
    <t>Önként vállalt feladatok bevételi, kiadásai</t>
  </si>
  <si>
    <t>9.3. számú melléklet</t>
  </si>
  <si>
    <t>Állami (államigazgatási) feladatok bevételi, kiadásai</t>
  </si>
  <si>
    <t>10. számú melléklet</t>
  </si>
  <si>
    <t>10.1. számú melléklet</t>
  </si>
  <si>
    <t>10.2. számú melléklet</t>
  </si>
  <si>
    <t>Állami (államigazgatási) feladatok bevételei, kiadásai</t>
  </si>
  <si>
    <t>10.3. számú melléklet</t>
  </si>
  <si>
    <t>11. számú melléklet</t>
  </si>
  <si>
    <t>11.1. számú melléklet</t>
  </si>
  <si>
    <t>11.2. számú melléklet</t>
  </si>
  <si>
    <t>11.3. számú melléklet</t>
  </si>
  <si>
    <t>12. számú melléklet</t>
  </si>
  <si>
    <t>12.1. számú melléklet</t>
  </si>
  <si>
    <t>12.2. számú melléklet</t>
  </si>
  <si>
    <t>12.3. számú melléklet</t>
  </si>
  <si>
    <t>13. számú melléklet</t>
  </si>
  <si>
    <t>05</t>
  </si>
  <si>
    <t>13.1. számú melléklet</t>
  </si>
  <si>
    <t>13.2. számú melléklet</t>
  </si>
  <si>
    <t>13.3. számú melléklet</t>
  </si>
  <si>
    <t>14. számú melléklet</t>
  </si>
  <si>
    <t>06</t>
  </si>
  <si>
    <t>14.1. számú melléklet</t>
  </si>
  <si>
    <t>14.2. számú melléklet</t>
  </si>
  <si>
    <t>14.3. számú melléklet</t>
  </si>
  <si>
    <t>15. számú melléklet</t>
  </si>
  <si>
    <t>2014. évi                                         terv</t>
  </si>
  <si>
    <t>Siójuti kirendeltség</t>
  </si>
  <si>
    <t>Balatonvilágosi kirendeltség</t>
  </si>
  <si>
    <t xml:space="preserve">Kálmán Imre Kulturális Központ </t>
  </si>
  <si>
    <t>2015. évi                                         terv</t>
  </si>
  <si>
    <t>Siófok Város önállóan működő, önállóan működő és gazdálkodó szerveinek 2015. évi tervezett létszám előirányzata</t>
  </si>
  <si>
    <t>16. számú melléklet</t>
  </si>
  <si>
    <t>Önkormányzat közfoglalkoztatottak</t>
  </si>
  <si>
    <t>Csodálatos Természet - Természettudományi labor fejlesztése a siófoki Perczel Mór Gimnáziumban TÁMOP-3.1.3-11/2-2012-0038</t>
  </si>
  <si>
    <t>SIÓFOK VÁROS ÖNKORMÁNYZATÁNAK 2015. ÉVI TERVEZETT LÉTSZÁM ELŐIRÁNYZATA</t>
  </si>
  <si>
    <t>2015. évi                terv</t>
  </si>
  <si>
    <t>Tervezett létszám előirányzat                            ( fő  )</t>
  </si>
  <si>
    <t xml:space="preserve"> Tervezett létszám előirányzat ( fő  )</t>
  </si>
  <si>
    <t>Tartalék</t>
  </si>
  <si>
    <t>Kezdeti</t>
  </si>
  <si>
    <t>Céltartalék</t>
  </si>
  <si>
    <t>+</t>
  </si>
  <si>
    <r>
      <t>.</t>
    </r>
    <r>
      <rPr>
        <b/>
        <sz val="9"/>
        <rFont val="Times New Roman"/>
        <family val="1"/>
      </rPr>
      <t>-</t>
    </r>
  </si>
  <si>
    <t>Fejlesztési</t>
  </si>
  <si>
    <t>összesen</t>
  </si>
  <si>
    <t>Működési</t>
  </si>
  <si>
    <t>Alakulása</t>
  </si>
  <si>
    <t>Önkormányzati hivatal működésének támogatása</t>
  </si>
  <si>
    <t>Település-üzemeltetéshez kapcsolódó feladatellátás támogatása</t>
  </si>
  <si>
    <t>Üdülőhelyi feladatok támogatása</t>
  </si>
  <si>
    <t>Nem közművel összegyűjtött háztartási szennyvíz ártalmatlanítása</t>
  </si>
  <si>
    <t>Óvodapedagógusok, és az óvodapedagógusok nevelő munkáját közvetlenül segítők bértámogatása</t>
  </si>
  <si>
    <t>Óvodaműködtetési támogatás</t>
  </si>
  <si>
    <t>Kiegészítő támogatás az óvodapedagógusok minősítéséből adódó többletkiadásokhoz</t>
  </si>
  <si>
    <t>Egyes szociális és gyermekjóléti feladatok támogatása</t>
  </si>
  <si>
    <t>A települési önkormányzatok által biztosított egyes szociális szakosított ellátások, valamint a gyermekek átmeneti gondozásával kapcsolatos feladatok támogatása</t>
  </si>
  <si>
    <t>Gyermekétkeztetési támogatás</t>
  </si>
  <si>
    <t>Siófok Város Önkormányzat saját bevételeinek részletezése az adósságot keletkeztető ügyletből származó tárgyévi fizetési kötelezettség megállapításához</t>
  </si>
  <si>
    <t>Siófok Város Önkormányzat adósságot keletkeztető ügyletekből és kezességvállalásokból fennálló kötelezettségei</t>
  </si>
  <si>
    <t>Hitel, kölcsön</t>
  </si>
  <si>
    <t>Értékpapír (kötvény)</t>
  </si>
  <si>
    <t>Hitel kamata</t>
  </si>
  <si>
    <t>Kötvény kamata</t>
  </si>
  <si>
    <t>1/A. sz. melléklet</t>
  </si>
  <si>
    <t>SIÓFOK VÁROS ÖNKORMÁNYZATÁNAK KÖLTSÉGVETÉSI ÉS FINANSZÍROZÁSI BEVÉTELEI</t>
  </si>
  <si>
    <t xml:space="preserve">                            ezerFt-ban</t>
  </si>
  <si>
    <t>Felhalmozási bevétel</t>
  </si>
  <si>
    <t>Működési bevétel</t>
  </si>
  <si>
    <t>2014. évi</t>
  </si>
  <si>
    <t>2015. évi</t>
  </si>
  <si>
    <t>%</t>
  </si>
  <si>
    <t>terv</t>
  </si>
  <si>
    <t>I.</t>
  </si>
  <si>
    <t>Működési célú támogatások államháztartáson belülről (B1)</t>
  </si>
  <si>
    <t>1./</t>
  </si>
  <si>
    <t>Önkormányzatok működési támogatásai (B11)</t>
  </si>
  <si>
    <t>a)</t>
  </si>
  <si>
    <t>Helyi önkormányzatok működésének általános támogatása (B111)</t>
  </si>
  <si>
    <t>Egyéb önkormányzati feladatok támogatása</t>
  </si>
  <si>
    <t>Lakott külterülettel kapcsolatos feladatok támogatása</t>
  </si>
  <si>
    <t>b)</t>
  </si>
  <si>
    <t>Települési önkormányzatok egyes köznevelési feladatainak támogatása (B112)</t>
  </si>
  <si>
    <t>Óvodaped.ok, és az óvodaped.nevelő munkáját közv.seg.bértám.</t>
  </si>
  <si>
    <t>c)</t>
  </si>
  <si>
    <t>Települési önkormányzatok szociális, gyermekjóléti és gyermekétkeztetési feladatainak támogatása (B113)</t>
  </si>
  <si>
    <t>Az idősek átm.és tartós, vmint a hajl.rész.re nyújt. tartós szoc. szakosított ell.i fel.-ok tám.</t>
  </si>
  <si>
    <t xml:space="preserve">Gyermekétkeztetés támogatása </t>
  </si>
  <si>
    <t>Egyes jövedelempótló támogatások kiegészítése</t>
  </si>
  <si>
    <t>d)</t>
  </si>
  <si>
    <t>Települési önkormányzatok kulturális feladatainak támogatása (B114)</t>
  </si>
  <si>
    <t>Könyvtári, közművelődési és múzeumi feladatok támogatása</t>
  </si>
  <si>
    <t>e)</t>
  </si>
  <si>
    <t>Működési célú költségvetési támogatások és kiegészítő támogatások (B115)</t>
  </si>
  <si>
    <t>Könyvtári érdekeltségnövelő támogatás</t>
  </si>
  <si>
    <t>2013. évről áthúzódó bérkompenzáció támogatása</t>
  </si>
  <si>
    <t>E-útdíj bevezetése miatt az ök-nál keletkező bevételkiesés ellentételezése</t>
  </si>
  <si>
    <t>Szerkezetátalakítási tartalék</t>
  </si>
  <si>
    <t>f)</t>
  </si>
  <si>
    <t>Elszámolásból származó bevételek (B116)</t>
  </si>
  <si>
    <t>2./</t>
  </si>
  <si>
    <t>Egyéb működési célú támogatások bevételei államháztartáson belülről (B16)</t>
  </si>
  <si>
    <t>Egyes jövedelempótló támogatások kiegészítése (segély)</t>
  </si>
  <si>
    <t>Dél-Kelet Európai Transznacionális Program (SEERISK) SEE/C/002/2.2/X</t>
  </si>
  <si>
    <t>Balatonvilágos hozzájárulása a közös hivatal működéséhez</t>
  </si>
  <si>
    <t>Siójut Község hozzájárulása a közös hivatal működéséhez</t>
  </si>
  <si>
    <t>Hosszabb időtartamú közfoglalkoztatás 62 fős (2014.11.01-2015.02.28)</t>
  </si>
  <si>
    <t>Hosszabb időtartamú közfoglalkoztatás 16 fős (2014.12.01-2015.03.31)</t>
  </si>
  <si>
    <t>Hosszabb időtartamú közfoglalkoztatás 10 fős (2014.12.22-2015.02.28)</t>
  </si>
  <si>
    <t>Hosszabb időtartamú közfoglalkoztatás 7 fős (2013.12.01-2014.04.30)</t>
  </si>
  <si>
    <t>Hosszabb időtartamú közfoglalkoztatás 12 fős (2014.02.01-2014.04.30)</t>
  </si>
  <si>
    <t>Hosszabb időtartamú közfoglalkoztatás 40 fős (2013.08.01-2014.01.31)</t>
  </si>
  <si>
    <t>Hosszabb időtartamú közfoglalkoztatás 8 fős (2013.11.01-2014.04.30)</t>
  </si>
  <si>
    <t>Hosszabb időtartamú közfoglalkoztatás 43 fős (2013.11.01-2014.04.30)</t>
  </si>
  <si>
    <t>Idegenforgalmi kiegészítő támogatás</t>
  </si>
  <si>
    <t>KIKK-Kreatív Innovációk a Kultúrán Keresztül</t>
  </si>
  <si>
    <t>Gondozási Központ átadott pénzeszköz</t>
  </si>
  <si>
    <t>II.</t>
  </si>
  <si>
    <t>Felhalmozási célú támogatások államháztartáson belülről (B2)</t>
  </si>
  <si>
    <t>Felhalmozási célú önkormányztai támogatások (B21)</t>
  </si>
  <si>
    <t>Lakossági közműfejlesztés</t>
  </si>
  <si>
    <t>Egyéb felhalmozási célú támogatások bevételei államháztartáson belülről (B25)</t>
  </si>
  <si>
    <t>Nemzeti stadionfejlesztési program keretében a Révész u.-i stadion fejlesztése</t>
  </si>
  <si>
    <t>Norvég Finanszírozási Mechanizmus -  HU02-0002-A1-2013 - Vak Bottyán János Általános Iskola energetikai korszerűsítése</t>
  </si>
  <si>
    <t>Környezet-tudatos Balatoni Települések hullagazd.-i rendszerének közös fejlesztése KEOP-1.1.1/C/13-2013-0033</t>
  </si>
  <si>
    <t>Környezet-tudatos Balatoni Települések hullagazd.-i rendszerének közös fejlesztése Balatonvilágos önrésze</t>
  </si>
  <si>
    <t>Környezet-tudatos Balatoni Települések hullagazd.-i rendszerének közös fejlesztése Zamárdi önrésze</t>
  </si>
  <si>
    <t>Siófok Város Gondozási Központépületének energetikai fejlesztése megújuló energiaforrás hasznosításával kombinálva KEOP-2014-4.10.0/F</t>
  </si>
  <si>
    <t>Siófok közvilágításának energiatakarékos átalakítása</t>
  </si>
  <si>
    <t>Energetikai korszerűsítés a Siófoki Csárdaréti úti Pillangó Óvodában - KEOP-4.9.1/11-2014-0199</t>
  </si>
  <si>
    <t>Galérius fürdő - KEOP-4.2.0/A/11-2011-0515</t>
  </si>
  <si>
    <t>Parti sétány fejlesztése</t>
  </si>
  <si>
    <t>Hajléktalan szálló bővítés</t>
  </si>
  <si>
    <t>Hull.gazd.haszn.díj-áthúzódó 2010-ről déli területek</t>
  </si>
  <si>
    <t>Hull.gazd.haszn.díj-áthúzódó Tab</t>
  </si>
  <si>
    <t>Közösségi közlekedés fejlesztése a Balaton térségében DDOP-5.1.2/B-11-2012-0001</t>
  </si>
  <si>
    <t>Egészségre nevelő és szemléletformáló életmód programok Siófok Városában TÁMOP-6.1.2-11/1-2012-0779</t>
  </si>
  <si>
    <t>Siófok - Ságvár kerékpárút</t>
  </si>
  <si>
    <t>Siófok Város Önkormányzatának komplex szervezetfejlesztése ÁROP-1.A.5-2013-2013-0063</t>
  </si>
  <si>
    <t>Fotovoltaikus rendszer kialakítása a siófoki Csicsergő Bölcsödében- KEOP-2012-4.10.0/N - benyújtott, elbírálásra vár</t>
  </si>
  <si>
    <t>Területi együttműködést segítő programok kialakítása az önkormányzatoknál a konvergencia régiókban ÁROP-1.A13-2014</t>
  </si>
  <si>
    <t>III.</t>
  </si>
  <si>
    <t>Közhatalmi bevételek (B3)</t>
  </si>
  <si>
    <t>Jövedelemadók (B31)</t>
  </si>
  <si>
    <t>Magánszemélyek jövedelemadói (B311)</t>
  </si>
  <si>
    <t>Termőföld bérbeadásából származó jövedelemadó</t>
  </si>
  <si>
    <t>Vagyoni típusú adók (B34)</t>
  </si>
  <si>
    <t>Építményadó</t>
  </si>
  <si>
    <t>Épület után fizetett idegenforgalmi adó</t>
  </si>
  <si>
    <t>3./</t>
  </si>
  <si>
    <t>Termékek és szolgáltatások adói (B35)</t>
  </si>
  <si>
    <t>Értékesítési és forgalmi adók (B351)</t>
  </si>
  <si>
    <t>Iparűzési adó</t>
  </si>
  <si>
    <t>Gépjárműadók (B354)</t>
  </si>
  <si>
    <t>Gépjárműadó (a helyi önkormányztatot megillető rész)</t>
  </si>
  <si>
    <t>Egyéb áruhasználati és szolgáltatási adók (B355)</t>
  </si>
  <si>
    <t>Tartózkodás után fizetett idegenforgalmi adó</t>
  </si>
  <si>
    <t>Talajterhelési díj</t>
  </si>
  <si>
    <t>4./</t>
  </si>
  <si>
    <t>Egyéb közhatalmi bevételek (B36)</t>
  </si>
  <si>
    <t>Igazgatási szolgáltatási díjak</t>
  </si>
  <si>
    <t>Környezetvédelmi bírság</t>
  </si>
  <si>
    <t>Egyéb bírságok (pótlék és bírságbevételek)</t>
  </si>
  <si>
    <t>Közigazgatási bírság</t>
  </si>
  <si>
    <t>IV.</t>
  </si>
  <si>
    <t>Működési bevételek (B4)</t>
  </si>
  <si>
    <t>Készletértékesítés ellenértéke (B401)</t>
  </si>
  <si>
    <t>Szolgáltatások ellenértéke (B402)</t>
  </si>
  <si>
    <t>Siófoki Hírek</t>
  </si>
  <si>
    <t>Siófok Kártya</t>
  </si>
  <si>
    <t>Egyéb kisösszegű bevételek</t>
  </si>
  <si>
    <t>Parkolási díjbevételek</t>
  </si>
  <si>
    <t>Közvetített szolgáltatások ellenértéke (B403)</t>
  </si>
  <si>
    <t>Továbbszámlázott szolgáltatás</t>
  </si>
  <si>
    <t>Tulajdonosi bevételek (B404)</t>
  </si>
  <si>
    <t>AVE Zöldfok Zrt. osztalék</t>
  </si>
  <si>
    <t>BAHART Zrt. osztalék</t>
  </si>
  <si>
    <t>DRV eszközhasználati díj</t>
  </si>
  <si>
    <t>Balaton-parti Kft.</t>
  </si>
  <si>
    <t>Nem lakás céljára szolgáló helyiségek</t>
  </si>
  <si>
    <t>Lakások bérleti díja Balaton-parti Kft.</t>
  </si>
  <si>
    <t>Közterület használat</t>
  </si>
  <si>
    <t>Egyéb bérleti díj</t>
  </si>
  <si>
    <t>Útalap bevétele</t>
  </si>
  <si>
    <t>Víztorony bérleti díj (földszint)</t>
  </si>
  <si>
    <t>Víztorony bérleti díj (felső szint)</t>
  </si>
  <si>
    <t>Intézményi bérleti díj bevételek (iskolák)</t>
  </si>
  <si>
    <t>Buszpályaudvar bérleti díja</t>
  </si>
  <si>
    <t>Stadion bérleti díja (Révész G. u.)</t>
  </si>
  <si>
    <t>Kézilabda munkacsarnok bérleti díja</t>
  </si>
  <si>
    <t>Ellátási díjak (B405)</t>
  </si>
  <si>
    <t>Vak B.J.Ált.Isk. és Művészeti</t>
  </si>
  <si>
    <t>Beszédes J.Ált.Isk. és Módszertani Központ</t>
  </si>
  <si>
    <t>Széchenyi I.Ált. Iskola</t>
  </si>
  <si>
    <t>Perczel Mór Gimnázium</t>
  </si>
  <si>
    <t>TISZK iskolák térítési díja</t>
  </si>
  <si>
    <t>Kiszámlázott általános forgalmi adó (B406)</t>
  </si>
  <si>
    <t>g)</t>
  </si>
  <si>
    <t>Általános forgalmi adó visszatérítése (B407)</t>
  </si>
  <si>
    <t>h)</t>
  </si>
  <si>
    <t>Kamatbevételek (B408)</t>
  </si>
  <si>
    <t>Forgalmi kamatbevétel</t>
  </si>
  <si>
    <t>Lekötött kamatbevétel</t>
  </si>
  <si>
    <t>i)</t>
  </si>
  <si>
    <t>Egyéb pénzügyi műveletek bevételei (B409)</t>
  </si>
  <si>
    <t>j)</t>
  </si>
  <si>
    <t>Biztosító által fizetett kártérítés (B410)</t>
  </si>
  <si>
    <t>k)</t>
  </si>
  <si>
    <t>Egyéb működéi bevételek (B411)</t>
  </si>
  <si>
    <t>Kisösszegű műk.bev.előző évi kifiz.kiadás visszatérítése</t>
  </si>
  <si>
    <t>Balaton-parti Kft. kezességvállalási díj</t>
  </si>
  <si>
    <t>V.</t>
  </si>
  <si>
    <t>Felhalmozási bevételek (B5)</t>
  </si>
  <si>
    <t>Ingatlanok értékesítése (B52)</t>
  </si>
  <si>
    <t>Vagyonértékesítés</t>
  </si>
  <si>
    <t>Részesedés értékesítése (B54)</t>
  </si>
  <si>
    <t>VI.</t>
  </si>
  <si>
    <t>Működési célú átvett pénzeszközök (B6)</t>
  </si>
  <si>
    <t>Műk. célú garancia- és kezességváll.-ból származó megtérülések áh-on kívülről (B61)</t>
  </si>
  <si>
    <t>Balaton-parti Kft.-től pénzeszközátvétel (kezességvállalás alapján)</t>
  </si>
  <si>
    <t>Műk. célú visszatérítendő tám.-k, kölcsönök visszatérülése áh-on kívülről (B64)</t>
  </si>
  <si>
    <t>SIÓKOM Kft. tagi kölcsön visszafizetése</t>
  </si>
  <si>
    <t>Balaton-parti Kft. tagi kölcsön visszafizetés</t>
  </si>
  <si>
    <t>VII.</t>
  </si>
  <si>
    <t>Felhalmozási célú átvett pénzeszközök (B7)</t>
  </si>
  <si>
    <t>Felhalm. célú visszatérítendő tám.-k, kölcsönök visszatérülése (áh-on kívül) (B74)</t>
  </si>
  <si>
    <t>Lakástámogatás törlesztő részlet</t>
  </si>
  <si>
    <t>Munkáltatói támogatás részlet</t>
  </si>
  <si>
    <t>Bányász SE támogatás visszafizetés</t>
  </si>
  <si>
    <t>Balaton-parti Kft. pótbefizetés visszafizetés</t>
  </si>
  <si>
    <t xml:space="preserve">Siófoki Állatvédő Alapítvány támogatás visszafizetése </t>
  </si>
  <si>
    <t>Egyéb felhalmozási célú átvett pénzeszközök (B75)</t>
  </si>
  <si>
    <t>Víziküzmű társulat</t>
  </si>
  <si>
    <t>KÖLTSÉGVETÉSI BEVÉTELEK</t>
  </si>
  <si>
    <t>VIII.</t>
  </si>
  <si>
    <t>Finanszírozási bevételek (B8)</t>
  </si>
  <si>
    <t>Belföldi finanszírozási bevételei (B81)</t>
  </si>
  <si>
    <t>Maradvány igénybevétele (B813)</t>
  </si>
  <si>
    <t>Előző év költségvetési maradványának igénybevétele (B8131)</t>
  </si>
  <si>
    <t xml:space="preserve">Csodálatos Természet - Természettudományi labor fejlesztése a siófoki Perczel Mór Gimnáziumban TÁMOP-3.1.3-11/2-2012-0038 </t>
  </si>
  <si>
    <t>Lakossági víz- és csatornaszolgáltatás támogatás</t>
  </si>
  <si>
    <t>Megszűnt kistérségi egyenleg</t>
  </si>
  <si>
    <t>2014. évi pénzmaradvány</t>
  </si>
  <si>
    <t>KÖLTSÉGVETÉSI ÉS FINANSZÍROZÁSI BEVÉTELEK ÖSSZESEN</t>
  </si>
  <si>
    <t xml:space="preserve">                     2/C sz. melléklet</t>
  </si>
  <si>
    <t xml:space="preserve">ÖNKORMÁNYZAT MŰKÖDÉSI ÉS FINANSZÍROZÁSI KIADÁSAI </t>
  </si>
  <si>
    <t>2015. év</t>
  </si>
  <si>
    <t>ezerFt-ban</t>
  </si>
  <si>
    <t>Személyi juttatások                                                           (K1)</t>
  </si>
  <si>
    <t>Munkaadókat terhelő járulékok                                   (K2)</t>
  </si>
  <si>
    <t>Dologi kiadás                                                    (K3)</t>
  </si>
  <si>
    <t>Ellátottak juttatása                                           (K4)</t>
  </si>
  <si>
    <t>Egyéb működési célú kiadások                                                                                                                                       (K5)</t>
  </si>
  <si>
    <t>Kiadások összesen</t>
  </si>
  <si>
    <t>A helyi önk-ok előző évi elszám.szárm.kiadás (K5021), egyéb műk. célú tám.-ok áh.-on belülre (K506)</t>
  </si>
  <si>
    <t>Egyéb műk. célú tám.-ok áh.-on kívülre                                                                               (K512)</t>
  </si>
  <si>
    <t>Siófoki Fürdő Egylet működési h.járulás</t>
  </si>
  <si>
    <t>Siófoki Fürdő Egylet támogatása</t>
  </si>
  <si>
    <t>Siófoki Bányász SE támogatás</t>
  </si>
  <si>
    <t>Balatoni Vasas SE támogatás</t>
  </si>
  <si>
    <t>Máltai Szeretetszolgálat</t>
  </si>
  <si>
    <t>Szent Ferenc Szegénygond. Nővérek</t>
  </si>
  <si>
    <t>Méhnyakrák elleni védőoltás</t>
  </si>
  <si>
    <t>Mammográfiai szűrés</t>
  </si>
  <si>
    <t>Egészségügyi szűrés férfiak részére</t>
  </si>
  <si>
    <t>Közbeszerzés lebonyolítására megbízás + ellenőrzés</t>
  </si>
  <si>
    <t>Ingatlankezelés és ingatlan gazdálkodás</t>
  </si>
  <si>
    <t>PR kiadások</t>
  </si>
  <si>
    <t>Reprezentációs költségek</t>
  </si>
  <si>
    <t>Nemzetközi kapcsolatok</t>
  </si>
  <si>
    <t>Biztosítás</t>
  </si>
  <si>
    <t>Bankköltség</t>
  </si>
  <si>
    <t>ÁFA befizetés</t>
  </si>
  <si>
    <t>Bizottsági alapok</t>
  </si>
  <si>
    <t>Polgármesteri alap</t>
  </si>
  <si>
    <t>Bűnmegelőzési feladatok</t>
  </si>
  <si>
    <t>Siófok kártya</t>
  </si>
  <si>
    <t>Fehér Gyűrű</t>
  </si>
  <si>
    <t>Bírósági és közjegyzői eljárásokkal kapcs.kiad.</t>
  </si>
  <si>
    <t>Viziközmű adósságbeszedés jutaléka (Balaton-parti Kft.-nek)</t>
  </si>
  <si>
    <t>Segély</t>
  </si>
  <si>
    <t>Kórház kölcsön visszafizetése</t>
  </si>
  <si>
    <t>KIKK-Kreatív Innovációk a Kultúrán keresztül TÁMOP-3.2.3/A-11/1</t>
  </si>
  <si>
    <t xml:space="preserve">Továbbszámlázott szolgáltatás </t>
  </si>
  <si>
    <t xml:space="preserve">Bérleti díj (Termofokos irodaház) </t>
  </si>
  <si>
    <t>Főépítészi feladatok költségei</t>
  </si>
  <si>
    <t>Balatoni Szövetség és Magyar Önkormányzatok Szövetsége tagdíj</t>
  </si>
  <si>
    <t>Cigány Nemzetiségi Önkormányzat kiadásai</t>
  </si>
  <si>
    <t>Választott tisztségviselők juttatásai</t>
  </si>
  <si>
    <t>Siotour PR támogatás</t>
  </si>
  <si>
    <t>SIÓKOM PR támogatás</t>
  </si>
  <si>
    <t>TKT alszámláról történő átadások</t>
  </si>
  <si>
    <t>Egyéb dologi kiadások</t>
  </si>
  <si>
    <t>Cégautó adó</t>
  </si>
  <si>
    <t>Dél-Balatoni Szennyvíztársulás működési ktg h.jár 2015. évi</t>
  </si>
  <si>
    <t>Lakossági víz- és csatornaszolgáltatás támogatás átadása</t>
  </si>
  <si>
    <t>Település rendezési eszközök kiadásai</t>
  </si>
  <si>
    <t>Településfejlesztési koncepció és örökségvédelmi hatástanulmány</t>
  </si>
  <si>
    <t>Gépjármű és kismotorok biztosításai</t>
  </si>
  <si>
    <t>Közrend program licenc beállítás munkadíj</t>
  </si>
  <si>
    <t>Közrend program support KÖZREND</t>
  </si>
  <si>
    <t>Közrend program support MINIPARK</t>
  </si>
  <si>
    <t>Közbiztonsági kiadások</t>
  </si>
  <si>
    <t>Siófok Város h.járulása orvosi ügyelethez</t>
  </si>
  <si>
    <t>Foki hegy fásítási feladataihoz h.járulás</t>
  </si>
  <si>
    <t>Óvodák, iskolák műszakilag indokolt felújításaának dologi kiadásai</t>
  </si>
  <si>
    <t xml:space="preserve">Épület bérleti díj </t>
  </si>
  <si>
    <t>Bérletvásárlás kismamák részére</t>
  </si>
  <si>
    <t>Balaton-parti Kft. tagi kölcsön</t>
  </si>
  <si>
    <t>WIFI üzemeltetés</t>
  </si>
  <si>
    <t>PV feladatokkal összefüggő egyéni védőfelszerelés</t>
  </si>
  <si>
    <t xml:space="preserve">Ingatlanvásárlással kapcsolatos költségtérítés </t>
  </si>
  <si>
    <t>Parkolási tevékenység működési kiadásai</t>
  </si>
  <si>
    <t>Entente Florale Europe virágosítási verseny kiadásai</t>
  </si>
  <si>
    <t>Balatonvilágos Község Önk. h.jár. visszafizetése</t>
  </si>
  <si>
    <t>Térfigyelő kamerák karbantartási díja</t>
  </si>
  <si>
    <t>PMG projekt menedzsmenti kiadásai</t>
  </si>
  <si>
    <t>PMG projekt fenntartási kiadás</t>
  </si>
  <si>
    <t>MŰKÖDÉSI KIADÁS ÖSSZESEN</t>
  </si>
  <si>
    <t>Vak B. J. Ált. Isk. és Művészeti</t>
  </si>
  <si>
    <t>Beszédes J. Ált. Isk. és Módszertani Kp.</t>
  </si>
  <si>
    <t>Széchenyi I.Ált. Isk.</t>
  </si>
  <si>
    <t>SIÓFOKI ÁLT. ISKOLÁK ÖSSZESEN</t>
  </si>
  <si>
    <t>TISZK intézmények étkeztetési kiadása</t>
  </si>
  <si>
    <t>SIÓFOKI ISKOLÁK ÖSSZESEN</t>
  </si>
  <si>
    <t>MŰKÖDÉSI KIADÁSOK ÖSSZESEN</t>
  </si>
  <si>
    <t>Finanszírozás Siófok Város Óvodája és Bölcsődéje</t>
  </si>
  <si>
    <t>Finanszírozás KIKK</t>
  </si>
  <si>
    <t>Finanszírozás BRTKK</t>
  </si>
  <si>
    <t>Finanszírozás Gondozási Központ</t>
  </si>
  <si>
    <t>Finanszírozás Közös Önkormányzati Hivatal</t>
  </si>
  <si>
    <t>FINANSZÍROZÁSI KIADÁS ÖSSZESEN</t>
  </si>
  <si>
    <t>KIADÁSOK MINDÖSSZESEN</t>
  </si>
  <si>
    <t>3. sz. melléklet</t>
  </si>
  <si>
    <t>Önkormányzat fejlesztési feladatai</t>
  </si>
  <si>
    <t>FEJLESZTÉS</t>
  </si>
  <si>
    <t>2014. évi         terv</t>
  </si>
  <si>
    <t>I. Áthúzódó beruházások</t>
  </si>
  <si>
    <t>Panel program</t>
  </si>
  <si>
    <t>Fonyódi erdőberuházás</t>
  </si>
  <si>
    <t>Bethlen Gábor utca (Erkel Ferenc utca - Szigliget utca között) Szigliget utca csapadékvízelvezetés, út, járda, parkoló építése, zöldfelület kialakítása és műszaki ellenőri tevékenység</t>
  </si>
  <si>
    <t>Ságvári utca járdaépítési munkái és műszaki ellenőri tevékenység, forgalomba helyezés</t>
  </si>
  <si>
    <t>Eperfa utca csapadékvíz elvezetése + használatba vételi engedélyeztetése</t>
  </si>
  <si>
    <t>Halápy utca kiépítése (út, járda, csapadékvíz, közvilágítás) és műszaki ellenőri tevékenység, forgalomba helyezése</t>
  </si>
  <si>
    <t xml:space="preserve">Vadvirág utca csapadékvíz elvezetés helyreállítása és műszaki ellenőri tevékenység </t>
  </si>
  <si>
    <t>Szépvölgyi utcában (Beszédes J. Általános Iskola előtt) nyílt árok lefedésével parkolók kialakítása és műszaki ellenőri tevékenység + forgalomba helyezés</t>
  </si>
  <si>
    <t>Erkel Ferenc utca - Tünde utca csomópontban gyalogátkelőhely építése és forgalomba helyezése</t>
  </si>
  <si>
    <t>Estike utca  vízelvezetése, út és járda építése és műszaki ellenőri tevékenység, forgalomba helyezés</t>
  </si>
  <si>
    <t>Szőlőhegyi utca kétirányúvá tétele, kátyútalanítása, felületi zárása Ringló u. - Birs u. közötti részen és műszaki ellenőri tevékenység, forgalomba helyezés</t>
  </si>
  <si>
    <t>Koch Róbert utca 2-6. szám előtti parkolók bővítése, forgalomba helyezése</t>
  </si>
  <si>
    <t>Dózsa György utca - 65. számú út közötti híd építési engedélyének meghosszabbítása</t>
  </si>
  <si>
    <t>Idősek parkja - zöldterületek rendbetétele és felnőttjátszótér kialakítása</t>
  </si>
  <si>
    <t>Vak Bottyán utca - zajvédő fal tervezési díja</t>
  </si>
  <si>
    <t>Béri Balogh Á. u. vízelvezető csatorna építése, út és járda felújítása</t>
  </si>
  <si>
    <t>Malom utcában járda építése (Tóth Á. utca - Asztalos utca között)</t>
  </si>
  <si>
    <t>Malom utcában aszfaltozás (gázfogadó - Asztalos u. között)</t>
  </si>
  <si>
    <t>Asztalos utcában parkolók építése - csapadékvíz elvezetés megoldása a parkolók alatti szakaszon</t>
  </si>
  <si>
    <t>Borítékoló gép + szoftver</t>
  </si>
  <si>
    <t>II. Áthúzódó pályázott beruházások</t>
  </si>
  <si>
    <t>Közbiztonság növelését szolgáló kamerapályázat</t>
  </si>
  <si>
    <t xml:space="preserve">Déli tehermentesítő egyéb költségei </t>
  </si>
  <si>
    <t>Hajléktalan szálló bővítés TIOP-3.4.2-11/1-2012-0079</t>
  </si>
  <si>
    <t>Hajléktalan szálló bővítés (egyéb költségek)</t>
  </si>
  <si>
    <t>Egészségre nevelő és szemléletformáló életmód programok Siófok Városában - TÁMOP - 6.1.2-11/1-2012-0779</t>
  </si>
  <si>
    <t>III. Pályázott beruházások</t>
  </si>
  <si>
    <t>A siófoki önkormányzat Gondozási Központ épületének energetikai fejlesztése megújuló energiaforrás hasznosításával kombinálva - KEOP-2014-4.10.0/F - benyújott, nem elbírált</t>
  </si>
  <si>
    <t>A siófoki önkormányzat Gondozási Központ épületének energetikai fejlesztése megújuló energiaforrás hasznosításával kombinálva - KEOP-2014-4.10.0/F - egyéb költségek</t>
  </si>
  <si>
    <t>Siófok közvilágítás energiatakarékos átalakítása - KEOP-5.5.0/K/14-2014-0035 - elnyert pályázat</t>
  </si>
  <si>
    <t>Siófok közvilágítás energiatakarékos átalakítása - KEOP-5.5.0/K/14-2014-0035 - egyéb költségek</t>
  </si>
  <si>
    <t>Fotovoltaikus rendszer kialakítása a siófoki Csicsergő Bölcsödében - KEOP-2012-4.10.0/N - elnyert pályázat</t>
  </si>
  <si>
    <t>Fotovoltaikus rendszer kialakítása a siófoki Csicsergő Bölcsödében - KEOP-2012-4.10.0/N - egyéb költségek</t>
  </si>
  <si>
    <t>Energetikai korszerűsítés a Siófoki Csárdaréti úti Pillangó Óvodában - KEOP-4.9.0/11-2014-0199 - benyújtott, nem elbírált</t>
  </si>
  <si>
    <t>Energetikai korszerűsítés a Siófoki Csárdaréti úti Pillangó Óvodában - KEOP-4.9.0/11-2014-0199  - egyéb költségei (könyvvizsgálat, műszaki ellenőr, szakhatóságok, stb.)</t>
  </si>
  <si>
    <t>Galérius fürdő - KEOP-4.2.0/A/11-2011-0515 - benyújtott, nem elbírált</t>
  </si>
  <si>
    <t>Galérius fürdő - KEOP-4.2.0/A/11-2011-0515 - egyéb költségek</t>
  </si>
  <si>
    <t>IV. Egyéb beruházások</t>
  </si>
  <si>
    <t>Informatika</t>
  </si>
  <si>
    <t xml:space="preserve">Kis értékű tárgyi eszköz beszerzés </t>
  </si>
  <si>
    <t>Kis értékű tárgyi eszköz beszerzés Gondozási Központ</t>
  </si>
  <si>
    <t>Kézilabda munkacsarnok vételi előleg</t>
  </si>
  <si>
    <t>4 db szivattyú tartozékokkal</t>
  </si>
  <si>
    <t>BFC Siófok Kft. TAO pályázat</t>
  </si>
  <si>
    <t>Kisajátítások, kártalanítási összegek</t>
  </si>
  <si>
    <t>Kameratelepítés</t>
  </si>
  <si>
    <t>Tinódi tér játszóeszközök felújítása, fittnesz eszközök beszerzése</t>
  </si>
  <si>
    <t>"Intelligens Siófok" okostelefon beszerzés</t>
  </si>
  <si>
    <t>Fő tér áramvételi hely átépítése és teljesítmény növelése rendezvényekhez</t>
  </si>
  <si>
    <t>Lízingelt lámpatestek maradványértékének rendezése</t>
  </si>
  <si>
    <t>Ingatlan-rész megvásárlása közműtelek céljából</t>
  </si>
  <si>
    <t>2011. évi terv</t>
  </si>
  <si>
    <t>2012. évi koncepció</t>
  </si>
  <si>
    <t>V. Útépítések/Járdaépítések</t>
  </si>
  <si>
    <t>Lidl áruháznál létesülő vasúti gyalogátkelőhely csatlakozásához járda és gyalogátkelőhely létesítése</t>
  </si>
  <si>
    <t>Sándor utca járdaépítés</t>
  </si>
  <si>
    <t>Mező utcában járdaépítés (Szeptember 6. tértől északi irányba)</t>
  </si>
  <si>
    <t>Szeptember 6. tér északi oldalán járda építés</t>
  </si>
  <si>
    <t xml:space="preserve">Töltényi utcában csapadékvíz elvezetés, járda és út építése </t>
  </si>
  <si>
    <t>Tihany utca folytatása - partra vezető sétány kiépítése közvilágítással</t>
  </si>
  <si>
    <t>Csobánc utca folytatása - partra vezető sétány kiépítése közvilágítással</t>
  </si>
  <si>
    <t>Zamárdi utcában járdaépítés - Lidl áruháztól a Vadalma utcáig</t>
  </si>
  <si>
    <t>Tavasz utcában közlekedők</t>
  </si>
  <si>
    <t>Panoráma utca csapadékvíz elvezető rendszer kiépítése és útburkolat felújítása</t>
  </si>
  <si>
    <t>Zsilip sor Fő utca felöli lejáró kiszélesítése és aszfaltozása</t>
  </si>
  <si>
    <t>Tátra utcában egyoldali járda építése</t>
  </si>
  <si>
    <t>Magisztern szálló melletti lejáró aszfaltozása</t>
  </si>
  <si>
    <t>Honvéd utcában a Blaha Lujza utca vonalában gyalogos átkelőhely kialakítása</t>
  </si>
  <si>
    <t>2014. évi tervezett út és járdaépítések</t>
  </si>
  <si>
    <t>VI. Vízépítések</t>
  </si>
  <si>
    <t>Dózsa Gy. utca - Molnár I. u. - Klapka Gy. u. - Alsó u. csapadékvízelvezetési rendszer bővítés</t>
  </si>
  <si>
    <t>Dózsa György utca Tanácsház utca - Bajcsy Zsilinszky utca között csapadékvíz elvezetés megoldása</t>
  </si>
  <si>
    <t xml:space="preserve">Társulati szennyvízcsatornák hiányzó és hibás bekötéseinek építése, javítása </t>
  </si>
  <si>
    <t>Új utca csapadékvíz elvezetése</t>
  </si>
  <si>
    <t>VII. Parkolóépítés</t>
  </si>
  <si>
    <t>Sió utca - Spar előtti parkoló murvás részének térkövezése</t>
  </si>
  <si>
    <t>Beszédes J. Iskola előtti árok lefedése, parkolók kialakítása</t>
  </si>
  <si>
    <t>Asztalos utca -Templom utca - Hóvirág és Boglárka utcák találkozásánál parkolók kialakítása</t>
  </si>
  <si>
    <t>VIII. Tervezések</t>
  </si>
  <si>
    <t>Déli városrész csapadékvíz elvezetése tervezésének módosítása</t>
  </si>
  <si>
    <t>Siófok - Ságvár kerékpárút építési engedélyének meghosszabbítása</t>
  </si>
  <si>
    <t>Aranyparti szállódák előtti partvédőmű korszerűsítésének tervezése - Balaton szálló - Európa szálló közötti szakasz</t>
  </si>
  <si>
    <t>Stadionprojekttel kapcsoltos hatástanulmányok elkészíttetése</t>
  </si>
  <si>
    <t>Zajvédő fallal kapcsoltos hatástanulmányok elkészíttetése</t>
  </si>
  <si>
    <t>Kökény utca - Bodza utca - Vadalma utca - Bláthy Ottó utca (Eperfa utcától) út, járda és csapadékvíz elvezető építése, zöldfelület tervezése</t>
  </si>
  <si>
    <t>Ipari park fejlesztési koncepció elkészítése</t>
  </si>
  <si>
    <t>IX. Egyéb fejlesztések</t>
  </si>
  <si>
    <t>Fokihegyi kutyafuttató kerítés építése</t>
  </si>
  <si>
    <t>Koch Róbert utca 27/A, B társasházak előtt padok kihelyezése</t>
  </si>
  <si>
    <t>Árpád utca - Báthory fejedelem utca végén játszótér, tornapálya kialakítása</t>
  </si>
  <si>
    <t>Motoros fűkaszák beszerzése 6 db (közfoglalkoztatásban elhasználódott eszközök pótlása)</t>
  </si>
  <si>
    <t>Koch Róbert utca és Berda utca közötti füves területen erdei tornapálya, grillezők, sütők elhelyezése</t>
  </si>
  <si>
    <t>Krúdy Iskola előtti padok és iskola területén lévő lelátók felújítása</t>
  </si>
  <si>
    <t>Kele utca - Sorház utca sarkán lévő zöldterület iskola területébe történő bevonása, kerítés építése, gyerekfittnesz  kialakítása</t>
  </si>
  <si>
    <t xml:space="preserve">Wifi kiépítése a város területén </t>
  </si>
  <si>
    <t>X. Parkok és zöldfelületek</t>
  </si>
  <si>
    <t>Minta lakótelep virágosítása</t>
  </si>
  <si>
    <t>XI. Közvilágítás</t>
  </si>
  <si>
    <t>Rizling utca közvilágításának kiegészítése</t>
  </si>
  <si>
    <t>Töreki Erdész u. közvilágítás kiépítésének folytatása</t>
  </si>
  <si>
    <t>XII. Intézmények fejlesztése</t>
  </si>
  <si>
    <t>KIKK felújítási munkái, eszközök cseréje, pótlása</t>
  </si>
  <si>
    <t>Kiliti - Asztalos u. 18. általános iskola kazáncseréje</t>
  </si>
  <si>
    <t>Nyitnikék óvoda fűtéscsőcseréje</t>
  </si>
  <si>
    <t>Iskola, orvosi rendelők akadálymentesítése - ÁNTSZ hiányosságok pótlása</t>
  </si>
  <si>
    <t>Gondozási Központ mosókonyha és konyha biztonságtechnikai szintjének és tűzjelző központ javítása</t>
  </si>
  <si>
    <t>FEJLESZTÉS ÖSSZESEN ( I-XII. összesen):</t>
  </si>
  <si>
    <t>FELÚJÍTÁS</t>
  </si>
  <si>
    <t>XIII. Áthúzódó felújítások</t>
  </si>
  <si>
    <t>XIV. Intézményi felújítások</t>
  </si>
  <si>
    <t>XV. Egyéb felújítási feladatok</t>
  </si>
  <si>
    <t>Evangélikus Egyház támogatása (templom felújítás)</t>
  </si>
  <si>
    <t>Fő tér (Gáti gödör) támfalak kerámialapok és műkő fedlapok javítása, pótlása</t>
  </si>
  <si>
    <t>Önkormányzati lakások, ingatanok folyamatos felújítása</t>
  </si>
  <si>
    <t>Petőfi sétány rekonstrukció (Táncsics u. - Tátra utca között)</t>
  </si>
  <si>
    <t>Koch Róbert utca posta melletti játszótér balesetveszélyes burkolatának cseréje</t>
  </si>
  <si>
    <t>Reviczky utcában a Koltói utca - Korányi utca közötti szakasz meglévő betonlapos járda átforgatása</t>
  </si>
  <si>
    <t>Fő utca (Sió utca - Mixmárket udvar közötti szakasz) déli oldalán aszfalt burkolatú járda térkövezése</t>
  </si>
  <si>
    <t>Vámház utca (Semmelweis utca - Kossuth utca között) útburkolat felújítása</t>
  </si>
  <si>
    <t>Darnay tér keleti oldal csapadékvíz átemelő felújítása</t>
  </si>
  <si>
    <t>Szent László utca 160. szám alatti csapadékvíz átemelő felújítása</t>
  </si>
  <si>
    <t>Fő utca járda felújítása buszpályaudvar és Dózsa Gy. u. közötti szakaszon északi oldalon</t>
  </si>
  <si>
    <t>Hóvirág utcában út aszfaltozása, csapadékvíz elvezető árok felújítása</t>
  </si>
  <si>
    <t>Sorház u. - Bajcsy Zs. u. közötti járda feléújítás a Sió u.-ban</t>
  </si>
  <si>
    <t>Puskás T. u. 3. sz. előtti járda felújítása</t>
  </si>
  <si>
    <t>FELÚJÍTÁS ÖSSZESEN  (XIII-XV. összesen)</t>
  </si>
  <si>
    <t>FEJLESZTÉS/FELÚJÍTÁS ÖSSZESEN:</t>
  </si>
  <si>
    <t>SIÓFOKI KÖZÖS ÖNKORMÁNYZATI HIVATAL KÖLTSÉGVETÉSI ÉS FINANSZÍROZÁSI BEVÉTELEI</t>
  </si>
  <si>
    <t>2015. ÉV</t>
  </si>
  <si>
    <t>Települési önkormányzatok szociális és gyermekjóléti feladatainak tám. (B113)</t>
  </si>
  <si>
    <t>Működési célú központosított előirányzatok (B115)</t>
  </si>
  <si>
    <t>Helyi önkormányzatok kiegészítő támogatásai (B116)</t>
  </si>
  <si>
    <t>Országgyűlési képviselő választás</t>
  </si>
  <si>
    <t>Európa parlamenti választás</t>
  </si>
  <si>
    <t>Önkormányzati képviselő választás</t>
  </si>
  <si>
    <t>Kisebbségi választás</t>
  </si>
  <si>
    <t>Vagyoni típusú adók (B349</t>
  </si>
  <si>
    <t>Közterület hatósági ellenőrzés díjbevétele (helyszíni bírság)</t>
  </si>
  <si>
    <t>Építésügyi bírság</t>
  </si>
  <si>
    <t>Áru- és készletértékesítés ellenértéke (B401)</t>
  </si>
  <si>
    <t>Illetékbélyeg értékesítés</t>
  </si>
  <si>
    <t>Családi események szervezése</t>
  </si>
  <si>
    <t>1 fő közterület felügyelő AVE Zöldfok Zrt.-nél</t>
  </si>
  <si>
    <t>DBRHÖ Társulás működésével kapcsolatos feladatellátáshoz hozzájárulás</t>
  </si>
  <si>
    <t>Egyéb bevételek</t>
  </si>
  <si>
    <t>Járási hivatal hozzájárulása a hivatal üzemeltetési költségeihez</t>
  </si>
  <si>
    <t>Egyéb működési célú átvett pénzeszközök (B63)</t>
  </si>
  <si>
    <t>Felhalm.-i célú visszatérítendő tám.-ok, kölcsönök visszatérülése (áh-on kívül) (B72)</t>
  </si>
  <si>
    <t>Egyéb felhalmozási célú átvett pénzeszközök (B73)</t>
  </si>
  <si>
    <t>Központi, irányító szervi támogatás (B816)</t>
  </si>
  <si>
    <t>Intézményi finanszírozás</t>
  </si>
  <si>
    <t xml:space="preserve">                    2/1 sz. melléklet</t>
  </si>
  <si>
    <t>2015. ÉVI</t>
  </si>
  <si>
    <t>Személyi juttatás                                                           ( K1)</t>
  </si>
  <si>
    <t>Munkaadókat terhelő járulékok                                (K2)</t>
  </si>
  <si>
    <t>Dologi kiadás                                                                   (K3)</t>
  </si>
  <si>
    <t>Ellátottak juttatása                                              (K4)</t>
  </si>
  <si>
    <t>Egyéb működési célú kiadás                                                                                                                                        (K5)</t>
  </si>
  <si>
    <t>Egyéb műk. célú tám.-ok áh.-on belülre                                (K506)</t>
  </si>
  <si>
    <t>Egyéb feladatok</t>
  </si>
  <si>
    <t>Városőrség</t>
  </si>
  <si>
    <t>Igazgatási feladatok</t>
  </si>
  <si>
    <t xml:space="preserve">Adóhivatal </t>
  </si>
  <si>
    <t>Nyugdíjasok</t>
  </si>
  <si>
    <t>Idegenforgalmi jutalék</t>
  </si>
  <si>
    <t>Illetékbélyeg beszerzés</t>
  </si>
  <si>
    <t>Önkormányzati választás</t>
  </si>
  <si>
    <t>Hatósági végrehajtás (építéshatóság)</t>
  </si>
  <si>
    <t>Iratrendezés</t>
  </si>
  <si>
    <t>Eljárási illeték visszafizetés</t>
  </si>
  <si>
    <t>HIVATAL ÖSSZESEN (Siófok)</t>
  </si>
  <si>
    <t>Siójut Község működési kiadásai</t>
  </si>
  <si>
    <t>SIÓJUT ÖSSZESEN</t>
  </si>
  <si>
    <t>Balatonvilágos működési kiadásai</t>
  </si>
  <si>
    <t>Közterület Felügyelet (B.világosi)</t>
  </si>
  <si>
    <t>BALATONVILÁGOS ÖSSZESEN</t>
  </si>
  <si>
    <t>SIÓFOKI KÖH MŰKÖDÉSI KIADÁSAI</t>
  </si>
  <si>
    <t>SIÓFOKI KÖZÖS ÖNKORMÁNYZATI HIVATAL FEJLESZTÉSI KIADÁSAI</t>
  </si>
  <si>
    <t>2014. évi        terv</t>
  </si>
  <si>
    <t>2015. évi        terv</t>
  </si>
  <si>
    <t>I. Egyéb beruházások</t>
  </si>
  <si>
    <t xml:space="preserve">FEJLESZTÉS ÖSSZESEN </t>
  </si>
  <si>
    <t>II. Felújítások</t>
  </si>
  <si>
    <t xml:space="preserve">FELÚJÍTÁS ÖSSZESEN  </t>
  </si>
  <si>
    <t>Egyéb működési bevételek (B411)</t>
  </si>
  <si>
    <t>Felhalmozási célú önkormányzati támogatások (B21)</t>
  </si>
  <si>
    <t>Társasházak támogatása</t>
  </si>
  <si>
    <t>Bölcsőde és óvodák felújtási munkái, hiányzó eszközök pótlása</t>
  </si>
  <si>
    <t xml:space="preserve">Iskolák felújítási munkái </t>
  </si>
  <si>
    <t>Közfoglalkoztatás</t>
  </si>
  <si>
    <t xml:space="preserve">                       - Céltartalék</t>
  </si>
  <si>
    <t xml:space="preserve">                        - Céltartalék</t>
  </si>
  <si>
    <t>K</t>
  </si>
  <si>
    <t>Ö</t>
  </si>
  <si>
    <t>Á</t>
  </si>
  <si>
    <t>Összesen (1+2+3+4+5)</t>
  </si>
  <si>
    <t>DDOP-5.1.2/B-11-2012-0001</t>
  </si>
  <si>
    <t xml:space="preserve">                              Közösségi közlekedés fejlesztése a Balaton térségében </t>
  </si>
  <si>
    <t>KEOP-1.1.1/C/13-2013-0033</t>
  </si>
  <si>
    <t>Környezet-tudatos Balatoni Települések hullagazd.-i rendszerének közös fejlesztése</t>
  </si>
  <si>
    <t>KEOP-2014-4.10.0/F</t>
  </si>
  <si>
    <t>A siófoki önk. Gond.Központ ép.-nek energetikai fejl.-e megújuló energiaforrás haszn-val</t>
  </si>
  <si>
    <t>KEOP-5.5.0/K/14-2014-0035</t>
  </si>
  <si>
    <t xml:space="preserve">                                              Siófok közvilágítás energiatakarékos átalakítása</t>
  </si>
  <si>
    <t>KEOP-2012-4.10.0/N</t>
  </si>
  <si>
    <t>Fotovoltaikus rendszer kialakítása a siófoki Csicsergő Bölcsődében</t>
  </si>
  <si>
    <t>KEOP-4.9.0/11-2014-0199</t>
  </si>
  <si>
    <t>Energetikai korszerűsítés a Siófoki Csárdaréti úti Pillangó Óvodában</t>
  </si>
  <si>
    <t>KEOP-4.2.0/A/11-2011-0515</t>
  </si>
  <si>
    <t xml:space="preserve">                                                                             Galérius fürdő</t>
  </si>
  <si>
    <t>ÁROP-1.A13-2014</t>
  </si>
  <si>
    <t>Területi együttműködést segítő programok kial.-sa az önk.-oknál a konvergencia régiókban</t>
  </si>
  <si>
    <t>EU</t>
  </si>
  <si>
    <t>hazai</t>
  </si>
  <si>
    <t>Közösségi közlekedés fejlesztése a Balaton térségében</t>
  </si>
  <si>
    <t>3/a</t>
  </si>
  <si>
    <t>2012</t>
  </si>
  <si>
    <t xml:space="preserve">   - Szociális, rászorultság jellegű ellátások</t>
  </si>
  <si>
    <t>3/b</t>
  </si>
  <si>
    <t>2015</t>
  </si>
  <si>
    <t>Szociális ágazati pótlék</t>
  </si>
  <si>
    <t>Hosszabb időtartamú közfoglalkoztatás 50 fős (2015.03.11-2015.05.31)</t>
  </si>
  <si>
    <t>Hosszabb időtartamú közfoglalkoztatás 7 fős (2015.04.01-2015.04.30)</t>
  </si>
  <si>
    <t>Nyitnikék Óvoda kapacitás-bővítés</t>
  </si>
  <si>
    <t>Eszközhasználati díj (ISPA projekt)</t>
  </si>
  <si>
    <t>Betétek megszüntetése (B817)</t>
  </si>
  <si>
    <t xml:space="preserve">Betétek megszüntetése </t>
  </si>
  <si>
    <t>Balatoni Vízirendészeti Rk. "Év Vízirendőre" díj</t>
  </si>
  <si>
    <t>SMRF Siófoki Rk. "Év Rendőre" díj</t>
  </si>
  <si>
    <t>MLSZ-Euro Nemzetközi strandlabdarúgás támogatása</t>
  </si>
  <si>
    <t>2014. évi igénybevett normatív támogatás visszafizetés + kamat</t>
  </si>
  <si>
    <t>Siófok Kártyahoz kapcsolódó virágosítási kiadás</t>
  </si>
  <si>
    <t>NAV pótlék (ISPA eszközhasználati díj)</t>
  </si>
  <si>
    <t>Pénzeszközök betétként elhelyezése</t>
  </si>
  <si>
    <t>Siófoki Református Egyházközség (parókia épület felúj.)</t>
  </si>
  <si>
    <t>50 fős közfoglalkoztatás (2015.03.11-05.31)</t>
  </si>
  <si>
    <t>SMRF Siófoki Rk.. "Év Rendőre" díj</t>
  </si>
  <si>
    <t>Nyitnikék Óvoda kapacitás-bővítése önerő</t>
  </si>
  <si>
    <t xml:space="preserve">Közfoglalkoztatás </t>
  </si>
  <si>
    <t>Finanszírozás KÖH</t>
  </si>
  <si>
    <t>Nyitnikék Óvoda kapacitás-bővítése</t>
  </si>
  <si>
    <t>Bölcsőde és Óvodák felújítási munkái, hiányzó eszközök pótlása</t>
  </si>
  <si>
    <t>Eszközhasználati díj átadása (ISPA projekt)</t>
  </si>
  <si>
    <t>Marosi út építési engedély meghosszabbítása</t>
  </si>
  <si>
    <t>Eszközbeszerzés, irodai bútor (Rendőrség)</t>
  </si>
  <si>
    <t>Siófoki Református Egyházközség (parókia épület felújítás)</t>
  </si>
  <si>
    <t>BFC Siófok TAO pályázat</t>
  </si>
  <si>
    <t>Siófoki Kézilabda és Tenisz Club Kft. részére TAO pályázat önkormányzati önrész</t>
  </si>
  <si>
    <t>Siófoki Kézilabda és Tenisz Club Kft. részére TAO oályázat önkormányzati önrész</t>
  </si>
  <si>
    <t>Finanszírozási bevételek, kiadások egyenlege (finanszírozási bevételek 17. sor - finanszírozási kiadások 10. sor) (+/-)</t>
  </si>
  <si>
    <t xml:space="preserve">   Betétek megszüntetése</t>
  </si>
  <si>
    <t>2015. évi módosított előirányzat</t>
  </si>
  <si>
    <t>Könyvtári, köművelődési és múzeumi feladatok támogatása</t>
  </si>
  <si>
    <t>2015. évi                mód.</t>
  </si>
  <si>
    <t>Egészségügyi alapellátás fejlesztése Siófokon</t>
  </si>
  <si>
    <t>2015.évi megelőlegezések</t>
  </si>
  <si>
    <t>FINANSZÍROZÁSI KIADÁSOK</t>
  </si>
  <si>
    <t>SIÓKOM Kft. pótbefizetés</t>
  </si>
  <si>
    <t>Egészségügyi alalpellátás fejlesztése Siófokon</t>
  </si>
  <si>
    <t xml:space="preserve">SIÓKOM Nonprofit Kft. törzstőke </t>
  </si>
  <si>
    <t>Beszédes J.Ált.Isk. tetőhéjazatának helyreállítása</t>
  </si>
  <si>
    <t>2015. évi megelőlegezések</t>
  </si>
  <si>
    <t>SIÓKOM Nonprofit Kft. pótbefizetés</t>
  </si>
  <si>
    <t>SIÓKOM Nonprofit Kft. törzstőke</t>
  </si>
  <si>
    <t>SVÓB alkalmazottak jutalmazása</t>
  </si>
  <si>
    <t>KÖH informatikai szervezetfejlesztési felmérés</t>
  </si>
  <si>
    <t>Informatikai szervezetfejlesztési felmérés</t>
  </si>
  <si>
    <t>Egészségügyi alapellátás fejlesztése Siófokon DDOP-3.1.3/G-14-2014-0043</t>
  </si>
  <si>
    <t>DDOP-3.1.3/G-14-2014-0043</t>
  </si>
  <si>
    <t>ÁHB megelőlegezések visszafizetése</t>
  </si>
  <si>
    <t>kerekítés miatt 426-al számolva</t>
  </si>
  <si>
    <t xml:space="preserve">BFC Siófok Sportszolgáltató Kft. </t>
  </si>
  <si>
    <t>2014.év decemberi bérkompenzáció</t>
  </si>
  <si>
    <t>Óvodáztatási támogatás</t>
  </si>
  <si>
    <t>2015.évi bérkompenzáció</t>
  </si>
  <si>
    <t>Hosszabb időtartamú közfoglalkoztatás 50 fős (2015.06.05-2015.08.31)</t>
  </si>
  <si>
    <t>Európai Virágos Városok és Falvak Versenye</t>
  </si>
  <si>
    <t>Erdei iskola program</t>
  </si>
  <si>
    <t>MÁV nyári vonatközl.bőv.</t>
  </si>
  <si>
    <t>Európai Virágos Városok vers.</t>
  </si>
  <si>
    <t>2014.évi Erzsébet utalvány visszaf</t>
  </si>
  <si>
    <t>S. Kézilabda és TC részére TAO pály. Önkormányzati önrész</t>
  </si>
  <si>
    <t>Közbiztonság megerősítése lovas járőrökkel</t>
  </si>
  <si>
    <t>2015. évi         terv Dologi</t>
  </si>
  <si>
    <t>Egészségügyi alapellátás fejlesztése Siófokon egyéb költségek</t>
  </si>
  <si>
    <t>Festmény vásárlás Matyikó Sebestyén Józsefről</t>
  </si>
  <si>
    <t xml:space="preserve">Villamosenergiahálózat fejlesztése Déli u. </t>
  </si>
  <si>
    <t>Iskolák felújítási munkái, hiányzó eszközök pótlása</t>
  </si>
  <si>
    <t>Otthon Melege Energia Program tulajdonosi hozzájárulás</t>
  </si>
  <si>
    <t>Energiahatékonyxság és megújuló energiaforrás használat fokozását célzó pály. előkészítése</t>
  </si>
  <si>
    <t>Stadion beruházás folytatása</t>
  </si>
  <si>
    <t>Szociális ágazati pótlék II.név</t>
  </si>
  <si>
    <t>Egészségügyi alapell.fejl. Siófokon - egyéb költségek</t>
  </si>
  <si>
    <t>Energiahatékonyság fokozását célzó pály.előkészítése</t>
  </si>
  <si>
    <t>Festmény vásárlás Matyikó S J-ről</t>
  </si>
  <si>
    <t>Villamosenergiahálózat fejlesztése Déli u.</t>
  </si>
  <si>
    <t>MÁV nyári vonatközl.bővítés</t>
  </si>
  <si>
    <t>Orvosi ügyelet 2014. évi elszámolása</t>
  </si>
  <si>
    <t>2014.évi Erzsébet utalvány visszafizetés</t>
  </si>
  <si>
    <t xml:space="preserve">Iskolák felújítási munkái, hiányzó eszközök pótlása </t>
  </si>
  <si>
    <t>50 fős közfoglalkoztatás (2015.06.05-08.31)</t>
  </si>
  <si>
    <t>2015. évi         terv Felhalm.</t>
  </si>
  <si>
    <t>kerekítés miatt ……..-el számolva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</si>
  <si>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</si>
  <si>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</si>
  <si>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</si>
  <si>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</si>
  <si>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</si>
  <si>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</si>
  <si>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</si>
  <si>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</si>
  <si>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</si>
  <si>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</si>
  <si>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</si>
  <si>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</si>
  <si>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</si>
  <si>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</si>
  <si>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</si>
  <si>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</si>
  <si>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</si>
  <si>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</si>
  <si>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</si>
  <si>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</si>
  <si>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</si>
  <si>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</si>
  <si>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</si>
  <si>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</si>
  <si>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</si>
  <si>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</si>
  <si>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</si>
  <si>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</si>
  <si>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</si>
  <si>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</si>
  <si>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</si>
  <si>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</si>
  <si>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</si>
  <si>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</si>
  <si>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</si>
  <si>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</si>
  <si>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</si>
  <si>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</si>
  <si>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</si>
  <si>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</si>
  <si>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</si>
  <si>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</si>
  <si>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</si>
  <si>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</si>
  <si>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</si>
  <si>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</si>
  <si>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</si>
  <si>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</si>
  <si>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</si>
  <si>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</si>
  <si>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Energiahatékonyság és megújuló energiaforrás használat fokozását célzó pály. előkészítése</t>
  </si>
  <si>
    <t>SIÓKOM Nonprofit Kft. tagi kölcsön</t>
  </si>
  <si>
    <t>Balaton-parti Kft. tartaléktőke emelés</t>
  </si>
  <si>
    <t>Siófoki Kosársuli Egyesület részére TAO pályázati önrész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</si>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</sst>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mmmm\ d\."/>
  </numFmts>
  <fonts count="99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i/>
      <sz val="9"/>
      <name val="Times New Roman CE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u val="single"/>
      <sz val="12"/>
      <name val="Times New Roman"/>
      <family val="1"/>
    </font>
    <font>
      <b/>
      <u val="single"/>
      <sz val="9"/>
      <name val="Times New Roman"/>
      <family val="1"/>
    </font>
    <font>
      <i/>
      <sz val="7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1590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left" vertical="center" indent="1"/>
      <protection locked="0"/>
    </xf>
    <xf numFmtId="3" fontId="18" fillId="0" borderId="18" xfId="0" applyNumberFormat="1" applyFont="1" applyBorder="1" applyAlignment="1" applyProtection="1">
      <alignment horizontal="righ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3" fontId="18" fillId="0" borderId="14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6" fillId="0" borderId="13" xfId="56" applyFont="1" applyFill="1" applyBorder="1" applyAlignment="1" applyProtection="1">
      <alignment horizontal="center" vertical="center" wrapText="1"/>
      <protection/>
    </xf>
    <xf numFmtId="0" fontId="16" fillId="0" borderId="12" xfId="56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18" fillId="0" borderId="0" xfId="56" applyFont="1" applyFill="1">
      <alignment/>
      <protection/>
    </xf>
    <xf numFmtId="0" fontId="20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vertical="center" wrapText="1"/>
      <protection locked="0"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14" xfId="0" applyNumberFormat="1" applyFont="1" applyFill="1" applyBorder="1" applyAlignment="1" applyProtection="1">
      <alignment horizontal="right" vertical="center" indent="1"/>
      <protection locked="0"/>
    </xf>
    <xf numFmtId="3" fontId="18" fillId="0" borderId="16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49" fontId="18" fillId="0" borderId="24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22" xfId="0" applyNumberFormat="1" applyFont="1" applyFill="1" applyBorder="1" applyAlignment="1" applyProtection="1">
      <alignment vertical="center"/>
      <protection locked="0"/>
    </xf>
    <xf numFmtId="0" fontId="8" fillId="0" borderId="32" xfId="57" applyFont="1" applyFill="1" applyBorder="1" applyAlignment="1" applyProtection="1">
      <alignment horizontal="center" vertical="center" wrapText="1"/>
      <protection/>
    </xf>
    <xf numFmtId="0" fontId="8" fillId="0" borderId="33" xfId="57" applyFont="1" applyFill="1" applyBorder="1" applyAlignment="1" applyProtection="1">
      <alignment horizontal="center" vertical="center"/>
      <protection/>
    </xf>
    <xf numFmtId="0" fontId="8" fillId="0" borderId="34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13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7" xfId="57" applyFont="1" applyFill="1" applyBorder="1" applyAlignment="1" applyProtection="1">
      <alignment horizontal="left" vertical="center" indent="1"/>
      <protection/>
    </xf>
    <xf numFmtId="164" fontId="18" fillId="0" borderId="28" xfId="57" applyNumberFormat="1" applyFont="1" applyFill="1" applyBorder="1" applyAlignment="1" applyProtection="1">
      <alignment vertical="center"/>
      <protection locked="0"/>
    </xf>
    <xf numFmtId="164" fontId="18" fillId="0" borderId="15" xfId="57" applyNumberFormat="1" applyFont="1" applyFill="1" applyBorder="1" applyAlignment="1" applyProtection="1">
      <alignment vertical="center"/>
      <protection/>
    </xf>
    <xf numFmtId="0" fontId="18" fillId="0" borderId="22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14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35" xfId="57" applyNumberFormat="1" applyFont="1" applyFill="1" applyBorder="1" applyAlignment="1" applyProtection="1">
      <alignment vertical="center"/>
      <protection locked="0"/>
    </xf>
    <xf numFmtId="164" fontId="18" fillId="0" borderId="29" xfId="57" applyNumberFormat="1" applyFont="1" applyFill="1" applyBorder="1" applyAlignment="1" applyProtection="1">
      <alignment vertical="center"/>
      <protection/>
    </xf>
    <xf numFmtId="164" fontId="16" fillId="0" borderId="12" xfId="57" applyNumberFormat="1" applyFont="1" applyFill="1" applyBorder="1" applyAlignment="1" applyProtection="1">
      <alignment vertical="center"/>
      <protection/>
    </xf>
    <xf numFmtId="164" fontId="16" fillId="0" borderId="19" xfId="57" applyNumberFormat="1" applyFont="1" applyFill="1" applyBorder="1" applyAlignment="1" applyProtection="1">
      <alignment vertical="center"/>
      <protection/>
    </xf>
    <xf numFmtId="0" fontId="18" fillId="0" borderId="36" xfId="57" applyFont="1" applyFill="1" applyBorder="1" applyAlignment="1" applyProtection="1">
      <alignment horizontal="left" vertical="center" indent="1"/>
      <protection/>
    </xf>
    <xf numFmtId="0" fontId="16" fillId="0" borderId="13" xfId="57" applyFont="1" applyFill="1" applyBorder="1" applyAlignment="1" applyProtection="1">
      <alignment horizontal="left" vertical="center" indent="1"/>
      <protection/>
    </xf>
    <xf numFmtId="164" fontId="16" fillId="0" borderId="12" xfId="57" applyNumberFormat="1" applyFont="1" applyFill="1" applyBorder="1" applyProtection="1">
      <alignment/>
      <protection/>
    </xf>
    <xf numFmtId="164" fontId="16" fillId="0" borderId="19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0" fillId="33" borderId="37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12" xfId="56" applyFont="1" applyFill="1" applyBorder="1" applyAlignment="1" applyProtection="1">
      <alignment horizontal="left" vertical="center" wrapText="1"/>
      <protection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64" fontId="17" fillId="0" borderId="41" xfId="56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36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4" fillId="0" borderId="12" xfId="56" applyFont="1" applyFill="1" applyBorder="1">
      <alignment/>
      <protection/>
    </xf>
    <xf numFmtId="165" fontId="0" fillId="0" borderId="29" xfId="40" applyNumberFormat="1" applyFont="1" applyFill="1" applyBorder="1" applyAlignment="1">
      <alignment/>
    </xf>
    <xf numFmtId="165" fontId="0" fillId="0" borderId="14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8" fillId="0" borderId="42" xfId="56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35" xfId="0" applyNumberFormat="1" applyFont="1" applyFill="1" applyBorder="1" applyAlignment="1" applyProtection="1">
      <alignment vertical="center"/>
      <protection locked="0"/>
    </xf>
    <xf numFmtId="164" fontId="18" fillId="0" borderId="10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35" xfId="56" applyFont="1" applyFill="1" applyBorder="1" applyProtection="1">
      <alignment/>
      <protection locked="0"/>
    </xf>
    <xf numFmtId="165" fontId="0" fillId="0" borderId="35" xfId="40" applyNumberFormat="1" applyFont="1" applyFill="1" applyBorder="1" applyAlignment="1" applyProtection="1">
      <alignment/>
      <protection locked="0"/>
    </xf>
    <xf numFmtId="0" fontId="0" fillId="0" borderId="10" xfId="56" applyFont="1" applyFill="1" applyBorder="1" applyProtection="1">
      <alignment/>
      <protection locked="0"/>
    </xf>
    <xf numFmtId="165" fontId="0" fillId="0" borderId="10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16" fillId="0" borderId="17" xfId="56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center" vertical="center" wrapText="1"/>
      <protection/>
    </xf>
    <xf numFmtId="0" fontId="18" fillId="0" borderId="13" xfId="56" applyFont="1" applyFill="1" applyBorder="1" applyAlignment="1" applyProtection="1">
      <alignment horizontal="center" vertical="center"/>
      <protection/>
    </xf>
    <xf numFmtId="0" fontId="18" fillId="0" borderId="12" xfId="56" applyFont="1" applyFill="1" applyBorder="1" applyAlignment="1" applyProtection="1">
      <alignment horizontal="center" vertical="center"/>
      <protection/>
    </xf>
    <xf numFmtId="0" fontId="18" fillId="0" borderId="19" xfId="56" applyFont="1" applyFill="1" applyBorder="1" applyAlignment="1" applyProtection="1">
      <alignment horizontal="center" vertical="center"/>
      <protection/>
    </xf>
    <xf numFmtId="0" fontId="18" fillId="0" borderId="40" xfId="56" applyFont="1" applyFill="1" applyBorder="1" applyAlignment="1" applyProtection="1">
      <alignment horizontal="center" vertical="center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24" xfId="56" applyFont="1" applyFill="1" applyBorder="1" applyAlignment="1" applyProtection="1">
      <alignment horizontal="center" vertical="center"/>
      <protection/>
    </xf>
    <xf numFmtId="165" fontId="16" fillId="0" borderId="19" xfId="40" applyNumberFormat="1" applyFont="1" applyFill="1" applyBorder="1" applyAlignment="1" applyProtection="1">
      <alignment/>
      <protection/>
    </xf>
    <xf numFmtId="165" fontId="18" fillId="0" borderId="18" xfId="40" applyNumberFormat="1" applyFont="1" applyFill="1" applyBorder="1" applyAlignment="1" applyProtection="1">
      <alignment/>
      <protection locked="0"/>
    </xf>
    <xf numFmtId="165" fontId="18" fillId="0" borderId="14" xfId="40" applyNumberFormat="1" applyFont="1" applyFill="1" applyBorder="1" applyAlignment="1" applyProtection="1">
      <alignment/>
      <protection locked="0"/>
    </xf>
    <xf numFmtId="165" fontId="18" fillId="0" borderId="16" xfId="40" applyNumberFormat="1" applyFont="1" applyFill="1" applyBorder="1" applyAlignment="1" applyProtection="1">
      <alignment/>
      <protection locked="0"/>
    </xf>
    <xf numFmtId="0" fontId="18" fillId="0" borderId="17" xfId="56" applyFont="1" applyFill="1" applyBorder="1" applyProtection="1">
      <alignment/>
      <protection locked="0"/>
    </xf>
    <xf numFmtId="0" fontId="18" fillId="0" borderId="10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left" vertical="center" wrapText="1" indent="1"/>
      <protection/>
    </xf>
    <xf numFmtId="0" fontId="22" fillId="0" borderId="39" xfId="0" applyFont="1" applyFill="1" applyBorder="1" applyAlignment="1" applyProtection="1">
      <alignment horizontal="left" vertical="center" wrapText="1" indent="1"/>
      <protection/>
    </xf>
    <xf numFmtId="0" fontId="22" fillId="0" borderId="39" xfId="0" applyFont="1" applyFill="1" applyBorder="1" applyAlignment="1" applyProtection="1">
      <alignment horizontal="left" vertical="center" wrapText="1" indent="8"/>
      <protection/>
    </xf>
    <xf numFmtId="0" fontId="18" fillId="0" borderId="35" xfId="0" applyFont="1" applyFill="1" applyBorder="1" applyAlignment="1" applyProtection="1">
      <alignment vertical="center" wrapText="1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vertical="center" wrapTex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164" fontId="16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40" xfId="0" applyFont="1" applyBorder="1" applyAlignment="1" applyProtection="1">
      <alignment horizontal="right" vertical="center" indent="1"/>
      <protection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4" xfId="0" applyFont="1" applyBorder="1" applyAlignment="1" applyProtection="1">
      <alignment horizontal="right" vertical="center" indent="1"/>
      <protection/>
    </xf>
    <xf numFmtId="164" fontId="0" fillId="34" borderId="20" xfId="0" applyNumberFormat="1" applyFont="1" applyFill="1" applyBorder="1" applyAlignment="1" applyProtection="1">
      <alignment horizontal="left" vertical="center" wrapText="1" indent="2"/>
      <protection/>
    </xf>
    <xf numFmtId="3" fontId="4" fillId="0" borderId="1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49" fontId="18" fillId="0" borderId="40" xfId="0" applyNumberFormat="1" applyFont="1" applyFill="1" applyBorder="1" applyAlignment="1" applyProtection="1">
      <alignment vertical="center"/>
      <protection/>
    </xf>
    <xf numFmtId="3" fontId="18" fillId="0" borderId="18" xfId="0" applyNumberFormat="1" applyFont="1" applyFill="1" applyBorder="1" applyAlignment="1" applyProtection="1">
      <alignment vertical="center"/>
      <protection/>
    </xf>
    <xf numFmtId="49" fontId="24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14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3" fontId="18" fillId="0" borderId="14" xfId="0" applyNumberFormat="1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3" fontId="18" fillId="0" borderId="12" xfId="0" applyNumberFormat="1" applyFont="1" applyFill="1" applyBorder="1" applyAlignment="1" applyProtection="1">
      <alignment vertical="center"/>
      <protection/>
    </xf>
    <xf numFmtId="3" fontId="18" fillId="0" borderId="19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164" fontId="16" fillId="0" borderId="14" xfId="0" applyNumberFormat="1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vertical="center"/>
      <protection/>
    </xf>
    <xf numFmtId="164" fontId="16" fillId="0" borderId="19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0" fontId="18" fillId="0" borderId="10" xfId="57" applyFont="1" applyFill="1" applyBorder="1" applyAlignment="1" applyProtection="1">
      <alignment horizontal="left" vertical="center" indent="1"/>
      <protection/>
    </xf>
    <xf numFmtId="0" fontId="18" fillId="0" borderId="35" xfId="57" applyFont="1" applyFill="1" applyBorder="1" applyAlignment="1" applyProtection="1">
      <alignment horizontal="left" vertical="center" wrapText="1" indent="1"/>
      <protection/>
    </xf>
    <xf numFmtId="0" fontId="18" fillId="0" borderId="10" xfId="57" applyFont="1" applyFill="1" applyBorder="1" applyAlignment="1" applyProtection="1">
      <alignment horizontal="left" vertical="center" wrapText="1" indent="1"/>
      <protection/>
    </xf>
    <xf numFmtId="0" fontId="18" fillId="0" borderId="35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0" fontId="23" fillId="0" borderId="12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52" xfId="40" applyNumberFormat="1" applyFont="1" applyFill="1" applyBorder="1" applyAlignment="1" applyProtection="1">
      <alignment/>
      <protection locked="0"/>
    </xf>
    <xf numFmtId="165" fontId="18" fillId="0" borderId="47" xfId="40" applyNumberFormat="1" applyFont="1" applyFill="1" applyBorder="1" applyAlignment="1" applyProtection="1">
      <alignment/>
      <protection locked="0"/>
    </xf>
    <xf numFmtId="0" fontId="18" fillId="0" borderId="35" xfId="56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53" xfId="56" applyFont="1" applyFill="1" applyBorder="1" applyAlignment="1" applyProtection="1">
      <alignment horizontal="center" vertical="center" wrapText="1"/>
      <protection/>
    </xf>
    <xf numFmtId="0" fontId="7" fillId="0" borderId="53" xfId="56" applyFont="1" applyFill="1" applyBorder="1" applyAlignment="1" applyProtection="1">
      <alignment vertical="center" wrapText="1"/>
      <protection/>
    </xf>
    <xf numFmtId="164" fontId="7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53" xfId="56" applyFont="1" applyFill="1" applyBorder="1" applyAlignment="1" applyProtection="1">
      <alignment horizontal="right" vertical="center" wrapText="1" indent="1"/>
      <protection locked="0"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0" fontId="26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45" xfId="56" applyFont="1" applyFill="1" applyBorder="1" applyAlignment="1" applyProtection="1">
      <alignment horizontal="center" vertical="center" wrapText="1"/>
      <protection/>
    </xf>
    <xf numFmtId="0" fontId="16" fillId="0" borderId="32" xfId="56" applyFont="1" applyFill="1" applyBorder="1" applyAlignment="1" applyProtection="1">
      <alignment horizontal="center" vertical="center" wrapText="1"/>
      <protection/>
    </xf>
    <xf numFmtId="0" fontId="16" fillId="0" borderId="33" xfId="56" applyFont="1" applyFill="1" applyBorder="1" applyAlignment="1" applyProtection="1">
      <alignment horizontal="center" vertical="center" wrapText="1"/>
      <protection/>
    </xf>
    <xf numFmtId="0" fontId="3" fillId="0" borderId="0" xfId="56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49" fontId="18" fillId="0" borderId="36" xfId="56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2" xfId="56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56" applyFont="1" applyFill="1" applyBorder="1" applyAlignment="1">
      <alignment horizontal="center" vertical="center"/>
      <protection/>
    </xf>
    <xf numFmtId="165" fontId="4" fillId="0" borderId="12" xfId="56" applyNumberFormat="1" applyFont="1" applyFill="1" applyBorder="1">
      <alignment/>
      <protection/>
    </xf>
    <xf numFmtId="165" fontId="4" fillId="0" borderId="19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6" fillId="0" borderId="13" xfId="56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28" xfId="57" applyFont="1" applyFill="1" applyBorder="1" applyAlignment="1" applyProtection="1">
      <alignment horizontal="left" vertical="center" wrapText="1" indent="1"/>
      <protection/>
    </xf>
    <xf numFmtId="166" fontId="4" fillId="0" borderId="11" xfId="56" applyNumberFormat="1" applyFont="1" applyFill="1" applyBorder="1" applyAlignment="1">
      <alignment horizontal="center" vertical="center" wrapText="1"/>
      <protection/>
    </xf>
    <xf numFmtId="164" fontId="21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56" xfId="56" applyFont="1" applyFill="1" applyBorder="1" applyAlignment="1" applyProtection="1">
      <alignment horizontal="center" vertical="center" wrapText="1"/>
      <protection/>
    </xf>
    <xf numFmtId="0" fontId="16" fillId="0" borderId="43" xfId="56" applyFont="1" applyFill="1" applyBorder="1" applyAlignment="1" applyProtection="1">
      <alignment vertical="center" wrapText="1"/>
      <protection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53" xfId="56" applyFont="1" applyFill="1" applyBorder="1" applyAlignment="1" applyProtection="1">
      <alignment horizontal="right" vertical="center" wrapText="1" indent="1"/>
      <protection/>
    </xf>
    <xf numFmtId="164" fontId="18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164" fontId="16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Border="1" applyAlignment="1" applyProtection="1" quotePrefix="1">
      <alignment horizontal="right" vertical="center" wrapText="1" indent="1"/>
      <protection locked="0"/>
    </xf>
    <xf numFmtId="164" fontId="21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Border="1" applyAlignment="1">
      <alignment/>
    </xf>
    <xf numFmtId="0" fontId="19" fillId="0" borderId="41" xfId="0" applyFont="1" applyFill="1" applyBorder="1" applyAlignment="1" applyProtection="1">
      <alignment horizontal="right"/>
      <protection/>
    </xf>
    <xf numFmtId="0" fontId="30" fillId="0" borderId="5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20" xfId="0" applyFont="1" applyBorder="1" applyAlignment="1">
      <alignment horizontal="right"/>
    </xf>
    <xf numFmtId="3" fontId="31" fillId="0" borderId="48" xfId="0" applyNumberFormat="1" applyFont="1" applyBorder="1" applyAlignment="1">
      <alignment/>
    </xf>
    <xf numFmtId="0" fontId="31" fillId="0" borderId="21" xfId="0" applyFont="1" applyBorder="1" applyAlignment="1">
      <alignment/>
    </xf>
    <xf numFmtId="3" fontId="30" fillId="0" borderId="58" xfId="0" applyNumberFormat="1" applyFont="1" applyBorder="1" applyAlignment="1">
      <alignment/>
    </xf>
    <xf numFmtId="0" fontId="30" fillId="0" borderId="42" xfId="0" applyFont="1" applyBorder="1" applyAlignment="1">
      <alignment horizontal="right"/>
    </xf>
    <xf numFmtId="0" fontId="31" fillId="0" borderId="47" xfId="0" applyFont="1" applyBorder="1" applyAlignment="1">
      <alignment/>
    </xf>
    <xf numFmtId="0" fontId="31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1" fillId="0" borderId="38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31" fillId="0" borderId="25" xfId="0" applyFont="1" applyBorder="1" applyAlignment="1">
      <alignment/>
    </xf>
    <xf numFmtId="0" fontId="31" fillId="0" borderId="39" xfId="0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0" fillId="0" borderId="59" xfId="0" applyFont="1" applyBorder="1" applyAlignment="1">
      <alignment/>
    </xf>
    <xf numFmtId="0" fontId="30" fillId="0" borderId="60" xfId="0" applyFont="1" applyBorder="1" applyAlignment="1">
      <alignment horizontal="right"/>
    </xf>
    <xf numFmtId="3" fontId="30" fillId="0" borderId="58" xfId="0" applyNumberFormat="1" applyFont="1" applyBorder="1" applyAlignment="1">
      <alignment horizontal="right"/>
    </xf>
    <xf numFmtId="0" fontId="31" fillId="0" borderId="51" xfId="0" applyFont="1" applyBorder="1" applyAlignment="1">
      <alignment/>
    </xf>
    <xf numFmtId="0" fontId="31" fillId="0" borderId="61" xfId="0" applyFont="1" applyBorder="1" applyAlignment="1">
      <alignment horizontal="right"/>
    </xf>
    <xf numFmtId="0" fontId="31" fillId="0" borderId="42" xfId="0" applyFont="1" applyBorder="1" applyAlignment="1">
      <alignment horizontal="right"/>
    </xf>
    <xf numFmtId="0" fontId="31" fillId="0" borderId="62" xfId="0" applyFont="1" applyBorder="1" applyAlignment="1">
      <alignment/>
    </xf>
    <xf numFmtId="0" fontId="31" fillId="0" borderId="38" xfId="0" applyFont="1" applyBorder="1" applyAlignment="1">
      <alignment/>
    </xf>
    <xf numFmtId="3" fontId="31" fillId="0" borderId="14" xfId="0" applyNumberFormat="1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horizontal="right" vertical="center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center"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0" fontId="4" fillId="0" borderId="34" xfId="56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4" fillId="0" borderId="19" xfId="56" applyFont="1" applyFill="1" applyBorder="1" applyAlignment="1" applyProtection="1">
      <alignment horizontal="center" vertical="center" wrapText="1"/>
      <protection/>
    </xf>
    <xf numFmtId="0" fontId="4" fillId="0" borderId="33" xfId="56" applyFont="1" applyFill="1" applyBorder="1" applyAlignment="1" applyProtection="1">
      <alignment vertical="center" wrapText="1"/>
      <protection/>
    </xf>
    <xf numFmtId="0" fontId="0" fillId="0" borderId="17" xfId="56" applyFont="1" applyFill="1" applyBorder="1" applyAlignment="1" applyProtection="1">
      <alignment horizontal="left" vertical="center" wrapText="1" indent="1"/>
      <protection/>
    </xf>
    <xf numFmtId="0" fontId="0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43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Fill="1" applyBorder="1" applyAlignment="1" applyProtection="1">
      <alignment horizontal="left" vertical="center" wrapText="1" inden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horizontal="left" vertical="top" wrapText="1"/>
      <protection/>
    </xf>
    <xf numFmtId="0" fontId="31" fillId="0" borderId="35" xfId="0" applyFont="1" applyBorder="1" applyAlignment="1" applyProtection="1">
      <alignment horizontal="left" vertical="top" wrapText="1"/>
      <protection/>
    </xf>
    <xf numFmtId="0" fontId="31" fillId="0" borderId="10" xfId="0" applyFont="1" applyBorder="1" applyAlignment="1" applyProtection="1">
      <alignment horizontal="left" vertical="top" wrapText="1"/>
      <protection/>
    </xf>
    <xf numFmtId="0" fontId="31" fillId="0" borderId="11" xfId="0" applyFont="1" applyBorder="1" applyAlignment="1" applyProtection="1">
      <alignment horizontal="left" vertical="top" wrapText="1"/>
      <protection/>
    </xf>
    <xf numFmtId="0" fontId="30" fillId="0" borderId="12" xfId="0" applyFont="1" applyBorder="1" applyAlignment="1" applyProtection="1">
      <alignment horizontal="left" vertical="top" wrapText="1"/>
      <protection/>
    </xf>
    <xf numFmtId="0" fontId="31" fillId="0" borderId="11" xfId="0" applyFont="1" applyBorder="1" applyAlignment="1" applyProtection="1">
      <alignment vertical="top" wrapText="1"/>
      <protection/>
    </xf>
    <xf numFmtId="0" fontId="30" fillId="0" borderId="12" xfId="0" applyFont="1" applyBorder="1" applyAlignment="1" applyProtection="1">
      <alignment vertical="top" wrapText="1"/>
      <protection/>
    </xf>
    <xf numFmtId="0" fontId="30" fillId="0" borderId="43" xfId="0" applyFont="1" applyBorder="1" applyAlignment="1" applyProtection="1">
      <alignment vertical="top" wrapText="1"/>
      <protection/>
    </xf>
    <xf numFmtId="0" fontId="4" fillId="0" borderId="13" xfId="56" applyFont="1" applyFill="1" applyBorder="1" applyAlignment="1" applyProtection="1">
      <alignment horizontal="center" vertical="top" wrapText="1"/>
      <protection/>
    </xf>
    <xf numFmtId="0" fontId="4" fillId="0" borderId="33" xfId="56" applyFont="1" applyFill="1" applyBorder="1" applyAlignment="1" applyProtection="1">
      <alignment vertical="top" wrapText="1"/>
      <protection/>
    </xf>
    <xf numFmtId="164" fontId="4" fillId="0" borderId="34" xfId="56" applyNumberFormat="1" applyFont="1" applyFill="1" applyBorder="1" applyAlignment="1" applyProtection="1">
      <alignment horizontal="right" vertical="top" wrapText="1"/>
      <protection/>
    </xf>
    <xf numFmtId="0" fontId="0" fillId="0" borderId="17" xfId="56" applyFont="1" applyFill="1" applyBorder="1" applyAlignment="1" applyProtection="1">
      <alignment horizontal="left" vertical="top" wrapText="1"/>
      <protection/>
    </xf>
    <xf numFmtId="164" fontId="0" fillId="0" borderId="18" xfId="56" applyNumberFormat="1" applyFont="1" applyFill="1" applyBorder="1" applyAlignment="1" applyProtection="1">
      <alignment horizontal="right" vertical="top" wrapText="1"/>
      <protection locked="0"/>
    </xf>
    <xf numFmtId="0" fontId="0" fillId="0" borderId="10" xfId="56" applyFont="1" applyFill="1" applyBorder="1" applyAlignment="1" applyProtection="1">
      <alignment horizontal="left" vertical="top" wrapText="1"/>
      <protection/>
    </xf>
    <xf numFmtId="164" fontId="0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16" xfId="56" applyNumberFormat="1" applyFont="1" applyFill="1" applyBorder="1" applyAlignment="1" applyProtection="1">
      <alignment horizontal="right" vertical="top" wrapText="1"/>
      <protection locked="0"/>
    </xf>
    <xf numFmtId="0" fontId="0" fillId="0" borderId="39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0" fillId="0" borderId="11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 vertical="top"/>
      <protection/>
    </xf>
    <xf numFmtId="0" fontId="0" fillId="0" borderId="30" xfId="56" applyFont="1" applyFill="1" applyBorder="1" applyAlignment="1" applyProtection="1">
      <alignment horizontal="left" vertical="top" wrapText="1"/>
      <protection/>
    </xf>
    <xf numFmtId="164" fontId="0" fillId="0" borderId="31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47" xfId="56" applyNumberFormat="1" applyFont="1" applyFill="1" applyBorder="1" applyAlignment="1" applyProtection="1">
      <alignment horizontal="right" vertical="top" wrapText="1"/>
      <protection locked="0"/>
    </xf>
    <xf numFmtId="0" fontId="0" fillId="0" borderId="35" xfId="56" applyFont="1" applyFill="1" applyBorder="1" applyAlignment="1" applyProtection="1">
      <alignment horizontal="left" vertical="top" wrapText="1"/>
      <protection/>
    </xf>
    <xf numFmtId="164" fontId="0" fillId="0" borderId="49" xfId="56" applyNumberFormat="1" applyFont="1" applyFill="1" applyBorder="1" applyAlignment="1" applyProtection="1">
      <alignment horizontal="right" vertical="top" wrapText="1"/>
      <protection locked="0"/>
    </xf>
    <xf numFmtId="0" fontId="4" fillId="0" borderId="12" xfId="56" applyFont="1" applyFill="1" applyBorder="1" applyAlignment="1" applyProtection="1">
      <alignment horizontal="left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/>
    </xf>
    <xf numFmtId="0" fontId="0" fillId="0" borderId="28" xfId="56" applyFont="1" applyFill="1" applyBorder="1" applyAlignment="1" applyProtection="1">
      <alignment horizontal="left" vertical="top" wrapText="1"/>
      <protection/>
    </xf>
    <xf numFmtId="164" fontId="30" fillId="0" borderId="19" xfId="0" applyNumberFormat="1" applyFont="1" applyBorder="1" applyAlignment="1" applyProtection="1">
      <alignment horizontal="right" vertical="top" wrapText="1"/>
      <protection/>
    </xf>
    <xf numFmtId="164" fontId="30" fillId="0" borderId="19" xfId="0" applyNumberFormat="1" applyFont="1" applyBorder="1" applyAlignment="1" applyProtection="1" quotePrefix="1">
      <alignment horizontal="right" vertical="top" wrapText="1"/>
      <protection/>
    </xf>
    <xf numFmtId="0" fontId="30" fillId="0" borderId="43" xfId="0" applyFont="1" applyBorder="1" applyAlignment="1" applyProtection="1">
      <alignment horizontal="left" vertical="top" wrapText="1"/>
      <protection/>
    </xf>
    <xf numFmtId="0" fontId="3" fillId="0" borderId="0" xfId="56" applyFill="1" applyAlignment="1" applyProtection="1">
      <alignment vertical="center"/>
      <protection/>
    </xf>
    <xf numFmtId="0" fontId="18" fillId="0" borderId="0" xfId="56" applyFont="1" applyFill="1" applyAlignment="1" applyProtection="1">
      <alignment vertical="center"/>
      <protection/>
    </xf>
    <xf numFmtId="0" fontId="4" fillId="0" borderId="12" xfId="56" applyFont="1" applyFill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 applyAlignment="1" applyProtection="1">
      <alignment vertical="center"/>
      <protection/>
    </xf>
    <xf numFmtId="0" fontId="31" fillId="0" borderId="35" xfId="0" applyFont="1" applyBorder="1" applyAlignment="1" applyProtection="1">
      <alignment horizontal="left" vertical="center" wrapTex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0" fillId="0" borderId="12" xfId="0" applyFont="1" applyBorder="1" applyAlignment="1" applyProtection="1">
      <alignment horizontal="left" vertical="center" wrapTex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/>
      <protection/>
    </xf>
    <xf numFmtId="164" fontId="18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164" fontId="7" fillId="0" borderId="0" xfId="56" applyNumberFormat="1" applyFont="1" applyFill="1" applyBorder="1" applyAlignment="1" applyProtection="1">
      <alignment horizontal="right" vertical="center" wrapText="1"/>
      <protection/>
    </xf>
    <xf numFmtId="164" fontId="4" fillId="0" borderId="34" xfId="56" applyNumberFormat="1" applyFont="1" applyFill="1" applyBorder="1" applyAlignment="1" applyProtection="1">
      <alignment horizontal="right" vertical="center" wrapText="1"/>
      <protection/>
    </xf>
    <xf numFmtId="0" fontId="0" fillId="0" borderId="17" xfId="56" applyFont="1" applyFill="1" applyBorder="1" applyAlignment="1" applyProtection="1">
      <alignment horizontal="left" vertical="center" wrapText="1"/>
      <protection/>
    </xf>
    <xf numFmtId="164" fontId="0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56" applyFont="1" applyFill="1" applyBorder="1" applyAlignment="1" applyProtection="1">
      <alignment horizontal="left" vertical="center" wrapText="1"/>
      <protection/>
    </xf>
    <xf numFmtId="164" fontId="0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9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 applyBorder="1" applyAlignment="1" applyProtection="1">
      <alignment horizontal="left" vertical="center" wrapText="1"/>
      <protection/>
    </xf>
    <xf numFmtId="0" fontId="0" fillId="0" borderId="11" xfId="56" applyFont="1" applyFill="1" applyBorder="1" applyAlignment="1" applyProtection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left" vertical="center"/>
      <protection/>
    </xf>
    <xf numFmtId="0" fontId="0" fillId="0" borderId="30" xfId="56" applyFont="1" applyFill="1" applyBorder="1" applyAlignment="1" applyProtection="1">
      <alignment horizontal="left" vertical="center" wrapText="1"/>
      <protection/>
    </xf>
    <xf numFmtId="164" fontId="0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44" xfId="56" applyNumberFormat="1" applyFont="1" applyFill="1" applyBorder="1" applyAlignment="1" applyProtection="1">
      <alignment horizontal="right" vertical="center" wrapText="1"/>
      <protection/>
    </xf>
    <xf numFmtId="164" fontId="0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5" xfId="56" applyFont="1" applyFill="1" applyBorder="1" applyAlignment="1" applyProtection="1">
      <alignment horizontal="left" vertical="center" wrapText="1"/>
      <protection/>
    </xf>
    <xf numFmtId="0" fontId="4" fillId="0" borderId="12" xfId="56" applyFont="1" applyFill="1" applyBorder="1" applyAlignment="1" applyProtection="1">
      <alignment horizontal="left" vertical="center" wrapText="1"/>
      <protection/>
    </xf>
    <xf numFmtId="164" fontId="4" fillId="0" borderId="19" xfId="56" applyNumberFormat="1" applyFont="1" applyFill="1" applyBorder="1" applyAlignment="1" applyProtection="1">
      <alignment horizontal="right" vertical="center" wrapText="1"/>
      <protection/>
    </xf>
    <xf numFmtId="164" fontId="4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28" xfId="56" applyFont="1" applyFill="1" applyBorder="1" applyAlignment="1" applyProtection="1">
      <alignment horizontal="left" vertical="center" wrapText="1"/>
      <protection/>
    </xf>
    <xf numFmtId="164" fontId="30" fillId="0" borderId="19" xfId="0" applyNumberFormat="1" applyFont="1" applyBorder="1" applyAlignment="1" applyProtection="1">
      <alignment horizontal="right" vertical="center" wrapText="1"/>
      <protection/>
    </xf>
    <xf numFmtId="164" fontId="30" fillId="0" borderId="19" xfId="0" applyNumberFormat="1" applyFont="1" applyBorder="1" applyAlignment="1" applyProtection="1">
      <alignment horizontal="right" vertical="center" wrapText="1"/>
      <protection locked="0"/>
    </xf>
    <xf numFmtId="164" fontId="30" fillId="0" borderId="19" xfId="0" applyNumberFormat="1" applyFont="1" applyBorder="1" applyAlignment="1" applyProtection="1" quotePrefix="1">
      <alignment horizontal="right" vertical="center" wrapText="1"/>
      <protection/>
    </xf>
    <xf numFmtId="0" fontId="20" fillId="0" borderId="0" xfId="56" applyFont="1" applyFill="1" applyAlignment="1" applyProtection="1">
      <alignment vertical="center"/>
      <protection/>
    </xf>
    <xf numFmtId="0" fontId="7" fillId="0" borderId="0" xfId="56" applyFont="1" applyFill="1" applyAlignment="1" applyProtection="1">
      <alignment vertical="center"/>
      <protection/>
    </xf>
    <xf numFmtId="0" fontId="30" fillId="0" borderId="43" xfId="0" applyFont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vertical="center"/>
      <protection/>
    </xf>
    <xf numFmtId="0" fontId="3" fillId="0" borderId="0" xfId="56" applyFont="1" applyFill="1" applyAlignment="1" applyProtection="1">
      <alignment horizontal="right" vertical="center"/>
      <protection/>
    </xf>
    <xf numFmtId="0" fontId="3" fillId="0" borderId="0" xfId="56" applyFill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left" wrapText="1" indent="1"/>
      <protection/>
    </xf>
    <xf numFmtId="49" fontId="0" fillId="0" borderId="36" xfId="56" applyNumberFormat="1" applyFont="1" applyFill="1" applyBorder="1" applyAlignment="1" applyProtection="1">
      <alignment horizontal="center" vertical="center" wrapText="1"/>
      <protection/>
    </xf>
    <xf numFmtId="49" fontId="0" fillId="0" borderId="22" xfId="56" applyNumberFormat="1" applyFont="1" applyFill="1" applyBorder="1" applyAlignment="1" applyProtection="1">
      <alignment horizontal="center" vertical="center" wrapText="1"/>
      <protection/>
    </xf>
    <xf numFmtId="49" fontId="0" fillId="0" borderId="24" xfId="56" applyNumberFormat="1" applyFont="1" applyFill="1" applyBorder="1" applyAlignment="1" applyProtection="1">
      <alignment horizontal="center" vertical="center" wrapText="1"/>
      <protection/>
    </xf>
    <xf numFmtId="49" fontId="9" fillId="0" borderId="22" xfId="56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30" fillId="0" borderId="54" xfId="0" applyFont="1" applyBorder="1" applyAlignment="1" applyProtection="1">
      <alignment horizontal="center"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49" fontId="0" fillId="0" borderId="40" xfId="56" applyNumberFormat="1" applyFont="1" applyFill="1" applyBorder="1" applyAlignment="1" applyProtection="1">
      <alignment horizontal="center" vertical="center" wrapText="1"/>
      <protection/>
    </xf>
    <xf numFmtId="49" fontId="0" fillId="0" borderId="27" xfId="56" applyNumberFormat="1" applyFont="1" applyFill="1" applyBorder="1" applyAlignment="1" applyProtection="1">
      <alignment horizontal="center" vertical="center" wrapText="1"/>
      <protection/>
    </xf>
    <xf numFmtId="49" fontId="0" fillId="0" borderId="63" xfId="56" applyNumberFormat="1" applyFont="1" applyFill="1" applyBorder="1" applyAlignment="1" applyProtection="1">
      <alignment horizontal="center" vertical="center" wrapText="1"/>
      <protection/>
    </xf>
    <xf numFmtId="0" fontId="4" fillId="0" borderId="54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left" vertical="center" wrapText="1"/>
      <protection/>
    </xf>
    <xf numFmtId="164" fontId="18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164" fontId="18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59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2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>
      <alignment wrapText="1"/>
    </xf>
    <xf numFmtId="0" fontId="26" fillId="0" borderId="39" xfId="0" applyFont="1" applyFill="1" applyBorder="1" applyAlignment="1">
      <alignment wrapText="1"/>
    </xf>
    <xf numFmtId="3" fontId="26" fillId="0" borderId="14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164" fontId="4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5" borderId="45" xfId="0" applyNumberFormat="1" applyFont="1" applyFill="1" applyBorder="1" applyAlignment="1" applyProtection="1">
      <alignment horizontal="center" vertical="center" wrapText="1"/>
      <protection/>
    </xf>
    <xf numFmtId="164" fontId="4" fillId="35" borderId="19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26" fillId="0" borderId="67" xfId="0" applyFont="1" applyFill="1" applyBorder="1" applyAlignment="1">
      <alignment wrapText="1"/>
    </xf>
    <xf numFmtId="3" fontId="26" fillId="0" borderId="16" xfId="0" applyNumberFormat="1" applyFont="1" applyFill="1" applyBorder="1" applyAlignment="1">
      <alignment horizontal="right"/>
    </xf>
    <xf numFmtId="0" fontId="37" fillId="36" borderId="13" xfId="0" applyFont="1" applyFill="1" applyBorder="1" applyAlignment="1">
      <alignment horizontal="right" wrapText="1"/>
    </xf>
    <xf numFmtId="0" fontId="37" fillId="36" borderId="45" xfId="0" applyFont="1" applyFill="1" applyBorder="1" applyAlignment="1">
      <alignment horizontal="right" wrapText="1"/>
    </xf>
    <xf numFmtId="3" fontId="37" fillId="36" borderId="19" xfId="0" applyNumberFormat="1" applyFont="1" applyFill="1" applyBorder="1" applyAlignment="1">
      <alignment/>
    </xf>
    <xf numFmtId="0" fontId="37" fillId="0" borderId="0" xfId="0" applyFont="1" applyAlignment="1" applyProtection="1">
      <alignment horizontal="right" vertical="top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left" vertical="top" wrapText="1"/>
      <protection/>
    </xf>
    <xf numFmtId="164" fontId="15" fillId="0" borderId="0" xfId="0" applyNumberFormat="1" applyFont="1" applyFill="1" applyAlignment="1" applyProtection="1">
      <alignment vertical="top" wrapText="1"/>
      <protection/>
    </xf>
    <xf numFmtId="164" fontId="3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51" xfId="0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center" vertical="top" wrapText="1"/>
    </xf>
    <xf numFmtId="0" fontId="4" fillId="0" borderId="70" xfId="0" applyFont="1" applyFill="1" applyBorder="1" applyAlignment="1" applyProtection="1">
      <alignment horizontal="center" vertical="top" wrapText="1"/>
      <protection/>
    </xf>
    <xf numFmtId="0" fontId="4" fillId="0" borderId="71" xfId="0" applyFont="1" applyFill="1" applyBorder="1" applyAlignment="1" applyProtection="1">
      <alignment horizontal="center" vertical="top" wrapText="1"/>
      <protection/>
    </xf>
    <xf numFmtId="164" fontId="4" fillId="0" borderId="49" xfId="0" applyNumberFormat="1" applyFont="1" applyFill="1" applyBorder="1" applyAlignment="1" applyProtection="1">
      <alignment horizontal="right" vertical="top" wrapText="1"/>
      <protection/>
    </xf>
    <xf numFmtId="49" fontId="0" fillId="0" borderId="36" xfId="56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vertical="top" wrapText="1"/>
    </xf>
    <xf numFmtId="49" fontId="0" fillId="0" borderId="22" xfId="56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0" fillId="0" borderId="24" xfId="56" applyNumberFormat="1" applyFont="1" applyFill="1" applyBorder="1" applyAlignment="1" applyProtection="1">
      <alignment horizontal="center" vertical="top" wrapText="1"/>
      <protection/>
    </xf>
    <xf numFmtId="164" fontId="0" fillId="0" borderId="29" xfId="56" applyNumberFormat="1" applyFont="1" applyFill="1" applyBorder="1" applyAlignment="1" applyProtection="1">
      <alignment horizontal="right" vertical="top" wrapText="1"/>
      <protection/>
    </xf>
    <xf numFmtId="164" fontId="0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16" xfId="56" applyNumberFormat="1" applyFont="1" applyFill="1" applyBorder="1" applyAlignment="1" applyProtection="1">
      <alignment horizontal="right" vertical="top" wrapText="1"/>
      <protection locked="0"/>
    </xf>
    <xf numFmtId="164" fontId="0" fillId="0" borderId="29" xfId="56" applyNumberFormat="1" applyFont="1" applyFill="1" applyBorder="1" applyAlignment="1" applyProtection="1">
      <alignment horizontal="right" vertical="top" wrapText="1"/>
      <protection locked="0"/>
    </xf>
    <xf numFmtId="0" fontId="30" fillId="0" borderId="13" xfId="0" applyFont="1" applyBorder="1" applyAlignment="1" applyProtection="1">
      <alignment horizontal="center" vertical="top" wrapText="1"/>
      <protection/>
    </xf>
    <xf numFmtId="0" fontId="31" fillId="0" borderId="36" xfId="0" applyFont="1" applyBorder="1" applyAlignment="1" applyProtection="1">
      <alignment horizontal="center" vertical="top" wrapText="1"/>
      <protection/>
    </xf>
    <xf numFmtId="0" fontId="31" fillId="0" borderId="22" xfId="0" applyFont="1" applyBorder="1" applyAlignment="1" applyProtection="1">
      <alignment horizontal="center" vertical="top" wrapText="1"/>
      <protection/>
    </xf>
    <xf numFmtId="0" fontId="31" fillId="0" borderId="24" xfId="0" applyFont="1" applyBorder="1" applyAlignment="1" applyProtection="1">
      <alignment horizontal="center" vertical="top" wrapText="1"/>
      <protection/>
    </xf>
    <xf numFmtId="164" fontId="4" fillId="0" borderId="19" xfId="56" applyNumberFormat="1" applyFont="1" applyFill="1" applyBorder="1" applyAlignment="1" applyProtection="1">
      <alignment horizontal="right" vertical="top" wrapText="1"/>
      <protection locked="0"/>
    </xf>
    <xf numFmtId="0" fontId="30" fillId="0" borderId="54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61" xfId="0" applyFont="1" applyFill="1" applyBorder="1" applyAlignment="1" applyProtection="1">
      <alignment horizontal="center" vertical="top" wrapText="1"/>
      <protection/>
    </xf>
    <xf numFmtId="164" fontId="4" fillId="0" borderId="42" xfId="0" applyNumberFormat="1" applyFont="1" applyFill="1" applyBorder="1" applyAlignment="1" applyProtection="1">
      <alignment horizontal="right" vertical="top" wrapText="1"/>
      <protection/>
    </xf>
    <xf numFmtId="0" fontId="4" fillId="0" borderId="32" xfId="56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 wrapText="1"/>
    </xf>
    <xf numFmtId="49" fontId="0" fillId="0" borderId="40" xfId="56" applyNumberFormat="1" applyFont="1" applyFill="1" applyBorder="1" applyAlignment="1" applyProtection="1">
      <alignment horizontal="center" vertical="top" wrapText="1"/>
      <protection/>
    </xf>
    <xf numFmtId="49" fontId="0" fillId="0" borderId="27" xfId="56" applyNumberFormat="1" applyFont="1" applyFill="1" applyBorder="1" applyAlignment="1" applyProtection="1">
      <alignment horizontal="center" vertical="top" wrapText="1"/>
      <protection/>
    </xf>
    <xf numFmtId="49" fontId="0" fillId="0" borderId="63" xfId="56" applyNumberFormat="1" applyFont="1" applyFill="1" applyBorder="1" applyAlignment="1" applyProtection="1">
      <alignment horizontal="center" vertical="top" wrapText="1"/>
      <protection/>
    </xf>
    <xf numFmtId="0" fontId="4" fillId="0" borderId="12" xfId="56" applyFont="1" applyFill="1" applyBorder="1" applyAlignment="1" applyProtection="1">
      <alignment vertical="top" wrapText="1"/>
      <protection/>
    </xf>
    <xf numFmtId="16" fontId="0" fillId="0" borderId="0" xfId="0" applyNumberFormat="1" applyFill="1" applyAlignment="1">
      <alignment vertical="top" wrapText="1"/>
    </xf>
    <xf numFmtId="49" fontId="4" fillId="0" borderId="13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vertical="top" wrapText="1"/>
      <protection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4" fillId="0" borderId="18" xfId="0" applyFont="1" applyFill="1" applyBorder="1" applyAlignment="1" applyProtection="1" quotePrefix="1">
      <alignment horizontal="right" vertical="center"/>
      <protection/>
    </xf>
    <xf numFmtId="49" fontId="4" fillId="0" borderId="57" xfId="0" applyNumberFormat="1" applyFont="1" applyFill="1" applyBorder="1" applyAlignment="1" applyProtection="1">
      <alignment horizontal="right" vertical="center"/>
      <protection/>
    </xf>
    <xf numFmtId="0" fontId="31" fillId="0" borderId="30" xfId="0" applyFont="1" applyBorder="1" applyAlignment="1" applyProtection="1">
      <alignment horizontal="left" vertical="top" wrapText="1"/>
      <protection/>
    </xf>
    <xf numFmtId="164" fontId="0" fillId="0" borderId="31" xfId="56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Alignment="1" applyProtection="1">
      <alignment horizontal="right" vertical="top"/>
      <protection/>
    </xf>
    <xf numFmtId="49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49" fontId="0" fillId="0" borderId="40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0" fillId="0" borderId="10" xfId="56" applyFont="1" applyFill="1" applyBorder="1" applyAlignment="1" applyProtection="1">
      <alignment horizontal="left" vertical="center" wrapText="1" indent="1"/>
      <protection/>
    </xf>
    <xf numFmtId="0" fontId="0" fillId="0" borderId="43" xfId="56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5" xfId="0" applyFont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4" fillId="0" borderId="12" xfId="0" applyFont="1" applyFill="1" applyBorder="1" applyAlignment="1" applyProtection="1">
      <alignment horizontal="lef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39" fillId="0" borderId="4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/>
    </xf>
    <xf numFmtId="0" fontId="39" fillId="0" borderId="10" xfId="0" applyFont="1" applyBorder="1" applyAlignment="1">
      <alignment/>
    </xf>
    <xf numFmtId="167" fontId="39" fillId="0" borderId="10" xfId="0" applyNumberFormat="1" applyFont="1" applyBorder="1" applyAlignment="1">
      <alignment horizontal="center"/>
    </xf>
    <xf numFmtId="167" fontId="39" fillId="0" borderId="14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167" fontId="39" fillId="0" borderId="30" xfId="0" applyNumberFormat="1" applyFont="1" applyBorder="1" applyAlignment="1">
      <alignment horizontal="center"/>
    </xf>
    <xf numFmtId="167" fontId="39" fillId="0" borderId="31" xfId="0" applyNumberFormat="1" applyFont="1" applyBorder="1" applyAlignment="1">
      <alignment horizontal="center"/>
    </xf>
    <xf numFmtId="167" fontId="39" fillId="0" borderId="0" xfId="0" applyNumberFormat="1" applyFont="1" applyBorder="1" applyAlignment="1">
      <alignment/>
    </xf>
    <xf numFmtId="167" fontId="14" fillId="0" borderId="53" xfId="0" applyNumberFormat="1" applyFont="1" applyBorder="1" applyAlignment="1">
      <alignment horizontal="center"/>
    </xf>
    <xf numFmtId="167" fontId="39" fillId="0" borderId="53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167" fontId="3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7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17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39" fillId="0" borderId="30" xfId="0" applyFont="1" applyBorder="1" applyAlignment="1">
      <alignment wrapText="1"/>
    </xf>
    <xf numFmtId="167" fontId="39" fillId="0" borderId="30" xfId="0" applyNumberFormat="1" applyFont="1" applyBorder="1" applyAlignment="1">
      <alignment horizontal="center" vertical="center"/>
    </xf>
    <xf numFmtId="167" fontId="39" fillId="0" borderId="31" xfId="0" applyNumberFormat="1" applyFont="1" applyBorder="1" applyAlignment="1">
      <alignment horizontal="center" vertical="center"/>
    </xf>
    <xf numFmtId="3" fontId="31" fillId="37" borderId="17" xfId="0" applyNumberFormat="1" applyFont="1" applyFill="1" applyBorder="1" applyAlignment="1">
      <alignment horizontal="center" vertical="center"/>
    </xf>
    <xf numFmtId="3" fontId="31" fillId="37" borderId="18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168" fontId="40" fillId="0" borderId="22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/>
    </xf>
    <xf numFmtId="168" fontId="21" fillId="0" borderId="2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168" fontId="22" fillId="0" borderId="22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168" fontId="21" fillId="38" borderId="22" xfId="0" applyNumberFormat="1" applyFont="1" applyFill="1" applyBorder="1" applyAlignment="1">
      <alignment/>
    </xf>
    <xf numFmtId="3" fontId="21" fillId="38" borderId="10" xfId="0" applyNumberFormat="1" applyFont="1" applyFill="1" applyBorder="1" applyAlignment="1">
      <alignment/>
    </xf>
    <xf numFmtId="3" fontId="21" fillId="38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Fill="1" applyBorder="1" applyAlignment="1">
      <alignment horizontal="left"/>
    </xf>
    <xf numFmtId="168" fontId="21" fillId="0" borderId="2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168" fontId="26" fillId="0" borderId="22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0" fontId="26" fillId="0" borderId="10" xfId="0" applyFont="1" applyBorder="1" applyAlignment="1">
      <alignment horizontal="left" wrapText="1"/>
    </xf>
    <xf numFmtId="168" fontId="26" fillId="0" borderId="22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4" xfId="0" applyNumberFormat="1" applyFont="1" applyBorder="1" applyAlignment="1">
      <alignment/>
    </xf>
    <xf numFmtId="168" fontId="22" fillId="0" borderId="22" xfId="0" applyNumberFormat="1" applyFont="1" applyFill="1" applyBorder="1" applyAlignment="1">
      <alignment/>
    </xf>
    <xf numFmtId="0" fontId="26" fillId="0" borderId="35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wrapText="1"/>
    </xf>
    <xf numFmtId="3" fontId="26" fillId="0" borderId="14" xfId="0" applyNumberFormat="1" applyFont="1" applyFill="1" applyBorder="1" applyAlignment="1">
      <alignment vertical="center"/>
    </xf>
    <xf numFmtId="168" fontId="42" fillId="0" borderId="22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65" xfId="0" applyNumberFormat="1" applyFont="1" applyFill="1" applyBorder="1" applyAlignment="1">
      <alignment/>
    </xf>
    <xf numFmtId="3" fontId="26" fillId="0" borderId="65" xfId="0" applyNumberFormat="1" applyFont="1" applyFill="1" applyBorder="1" applyAlignment="1">
      <alignment vertical="center"/>
    </xf>
    <xf numFmtId="168" fontId="22" fillId="0" borderId="22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0" fontId="21" fillId="0" borderId="10" xfId="0" applyFont="1" applyBorder="1" applyAlignment="1">
      <alignment/>
    </xf>
    <xf numFmtId="168" fontId="21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168" fontId="14" fillId="37" borderId="63" xfId="0" applyNumberFormat="1" applyFont="1" applyFill="1" applyBorder="1" applyAlignment="1">
      <alignment vertical="center"/>
    </xf>
    <xf numFmtId="0" fontId="14" fillId="37" borderId="3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8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30" fillId="0" borderId="32" xfId="0" applyFont="1" applyFill="1" applyBorder="1" applyAlignment="1" applyProtection="1">
      <alignment horizontal="center" vertical="center" wrapText="1"/>
      <protection/>
    </xf>
    <xf numFmtId="0" fontId="30" fillId="0" borderId="34" xfId="0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1" fillId="0" borderId="73" xfId="0" applyFont="1" applyFill="1" applyBorder="1" applyAlignment="1" applyProtection="1">
      <alignment horizontal="left" vertical="center" wrapText="1"/>
      <protection locked="0"/>
    </xf>
    <xf numFmtId="164" fontId="31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5" xfId="0" applyFont="1" applyFill="1" applyBorder="1" applyAlignment="1" applyProtection="1">
      <alignment horizontal="left" vertical="center" wrapText="1"/>
      <protection locked="0"/>
    </xf>
    <xf numFmtId="0" fontId="31" fillId="0" borderId="76" xfId="0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vertical="center" wrapText="1"/>
      <protection/>
    </xf>
    <xf numFmtId="164" fontId="30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2" xfId="56" applyFont="1" applyFill="1" applyBorder="1" applyAlignment="1" applyProtection="1">
      <alignment horizontal="left" vertical="center" wrapText="1"/>
      <protection/>
    </xf>
    <xf numFmtId="49" fontId="15" fillId="0" borderId="36" xfId="56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wrapText="1"/>
      <protection/>
    </xf>
    <xf numFmtId="49" fontId="15" fillId="0" borderId="22" xfId="56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43" fillId="0" borderId="22" xfId="56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left" wrapText="1" indent="1"/>
      <protection/>
    </xf>
    <xf numFmtId="0" fontId="16" fillId="0" borderId="54" xfId="56" applyFont="1" applyFill="1" applyBorder="1" applyAlignment="1" applyProtection="1">
      <alignment horizontal="center" vertical="center" wrapText="1"/>
      <protection/>
    </xf>
    <xf numFmtId="164" fontId="0" fillId="0" borderId="0" xfId="56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0" fontId="4" fillId="0" borderId="34" xfId="0" applyFont="1" applyFill="1" applyBorder="1" applyAlignment="1" applyProtection="1">
      <alignment horizontal="center" vertical="top" wrapText="1"/>
      <protection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37" borderId="3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10" fontId="2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14" fillId="0" borderId="77" xfId="0" applyFont="1" applyFill="1" applyBorder="1" applyAlignment="1">
      <alignment horizontal="center"/>
    </xf>
    <xf numFmtId="3" fontId="26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4" fillId="39" borderId="78" xfId="0" applyFont="1" applyFill="1" applyBorder="1" applyAlignment="1">
      <alignment horizontal="left"/>
    </xf>
    <xf numFmtId="0" fontId="14" fillId="39" borderId="77" xfId="0" applyFont="1" applyFill="1" applyBorder="1" applyAlignment="1">
      <alignment horizontal="center"/>
    </xf>
    <xf numFmtId="3" fontId="14" fillId="39" borderId="39" xfId="0" applyNumberFormat="1" applyFont="1" applyFill="1" applyBorder="1" applyAlignment="1">
      <alignment horizontal="center"/>
    </xf>
    <xf numFmtId="3" fontId="14" fillId="39" borderId="10" xfId="0" applyNumberFormat="1" applyFont="1" applyFill="1" applyBorder="1" applyAlignment="1">
      <alignment horizontal="center"/>
    </xf>
    <xf numFmtId="10" fontId="45" fillId="39" borderId="14" xfId="0" applyNumberFormat="1" applyFont="1" applyFill="1" applyBorder="1" applyAlignment="1">
      <alignment/>
    </xf>
    <xf numFmtId="10" fontId="23" fillId="39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35" borderId="79" xfId="0" applyFont="1" applyFill="1" applyBorder="1" applyAlignment="1">
      <alignment horizontal="left"/>
    </xf>
    <xf numFmtId="0" fontId="14" fillId="35" borderId="47" xfId="0" applyFont="1" applyFill="1" applyBorder="1" applyAlignment="1">
      <alignment horizontal="center"/>
    </xf>
    <xf numFmtId="3" fontId="14" fillId="35" borderId="39" xfId="0" applyNumberFormat="1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/>
    </xf>
    <xf numFmtId="10" fontId="45" fillId="35" borderId="14" xfId="0" applyNumberFormat="1" applyFont="1" applyFill="1" applyBorder="1" applyAlignment="1">
      <alignment/>
    </xf>
    <xf numFmtId="10" fontId="23" fillId="35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4" xfId="0" applyFont="1" applyFill="1" applyBorder="1" applyAlignment="1">
      <alignment horizontal="left"/>
    </xf>
    <xf numFmtId="3" fontId="46" fillId="0" borderId="39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0" fontId="45" fillId="0" borderId="14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10" fontId="45" fillId="0" borderId="10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14" xfId="0" applyFont="1" applyFill="1" applyBorder="1" applyAlignment="1">
      <alignment horizontal="left"/>
    </xf>
    <xf numFmtId="10" fontId="22" fillId="0" borderId="14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0" fontId="22" fillId="0" borderId="10" xfId="0" applyNumberFormat="1" applyFont="1" applyFill="1" applyBorder="1" applyAlignment="1">
      <alignment/>
    </xf>
    <xf numFmtId="3" fontId="39" fillId="0" borderId="39" xfId="0" applyNumberFormat="1" applyFont="1" applyFill="1" applyBorder="1" applyAlignment="1">
      <alignment/>
    </xf>
    <xf numFmtId="3" fontId="46" fillId="0" borderId="39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26" fillId="0" borderId="14" xfId="0" applyFont="1" applyFill="1" applyBorder="1" applyAlignment="1">
      <alignment horizontal="left"/>
    </xf>
    <xf numFmtId="3" fontId="26" fillId="0" borderId="39" xfId="0" applyNumberFormat="1" applyFont="1" applyFill="1" applyBorder="1" applyAlignment="1">
      <alignment/>
    </xf>
    <xf numFmtId="0" fontId="14" fillId="35" borderId="78" xfId="0" applyFont="1" applyFill="1" applyBorder="1" applyAlignment="1">
      <alignment/>
    </xf>
    <xf numFmtId="0" fontId="14" fillId="35" borderId="47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3" fontId="26" fillId="40" borderId="0" xfId="0" applyNumberFormat="1" applyFont="1" applyFill="1" applyAlignment="1">
      <alignment/>
    </xf>
    <xf numFmtId="10" fontId="23" fillId="39" borderId="14" xfId="0" applyNumberFormat="1" applyFont="1" applyFill="1" applyBorder="1" applyAlignment="1">
      <alignment/>
    </xf>
    <xf numFmtId="10" fontId="23" fillId="35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9" fillId="0" borderId="14" xfId="0" applyFont="1" applyFill="1" applyBorder="1" applyAlignment="1">
      <alignment wrapText="1"/>
    </xf>
    <xf numFmtId="3" fontId="39" fillId="0" borderId="39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39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0" fontId="22" fillId="0" borderId="14" xfId="0" applyNumberFormat="1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3" fontId="47" fillId="0" borderId="39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3" fontId="14" fillId="37" borderId="20" xfId="0" applyNumberFormat="1" applyFont="1" applyFill="1" applyBorder="1" applyAlignment="1">
      <alignment horizontal="center"/>
    </xf>
    <xf numFmtId="10" fontId="23" fillId="37" borderId="20" xfId="0" applyNumberFormat="1" applyFont="1" applyFill="1" applyBorder="1" applyAlignment="1">
      <alignment horizontal="center"/>
    </xf>
    <xf numFmtId="3" fontId="14" fillId="37" borderId="42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0" fontId="23" fillId="39" borderId="17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left"/>
    </xf>
    <xf numFmtId="3" fontId="47" fillId="0" borderId="39" xfId="0" applyNumberFormat="1" applyFont="1" applyFill="1" applyBorder="1" applyAlignment="1">
      <alignment horizontal="center"/>
    </xf>
    <xf numFmtId="10" fontId="48" fillId="0" borderId="14" xfId="0" applyNumberFormat="1" applyFont="1" applyFill="1" applyBorder="1" applyAlignment="1">
      <alignment/>
    </xf>
    <xf numFmtId="10" fontId="48" fillId="0" borderId="10" xfId="0" applyNumberFormat="1" applyFont="1" applyFill="1" applyBorder="1" applyAlignment="1">
      <alignment/>
    </xf>
    <xf numFmtId="10" fontId="21" fillId="37" borderId="20" xfId="0" applyNumberFormat="1" applyFont="1" applyFill="1" applyBorder="1" applyAlignment="1">
      <alignment horizontal="center"/>
    </xf>
    <xf numFmtId="165" fontId="21" fillId="0" borderId="0" xfId="4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50" fillId="0" borderId="80" xfId="0" applyFont="1" applyFill="1" applyBorder="1" applyAlignment="1">
      <alignment horizontal="right" vertical="center" wrapText="1"/>
    </xf>
    <xf numFmtId="0" fontId="50" fillId="0" borderId="62" xfId="0" applyFont="1" applyFill="1" applyBorder="1" applyAlignment="1">
      <alignment vertical="center" wrapText="1"/>
    </xf>
    <xf numFmtId="0" fontId="50" fillId="0" borderId="64" xfId="0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right" vertical="center" wrapText="1"/>
    </xf>
    <xf numFmtId="0" fontId="50" fillId="0" borderId="83" xfId="0" applyFont="1" applyFill="1" applyBorder="1" applyAlignment="1">
      <alignment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5" borderId="80" xfId="0" applyFont="1" applyFill="1" applyBorder="1" applyAlignment="1">
      <alignment horizontal="right" vertical="center" wrapText="1"/>
    </xf>
    <xf numFmtId="0" fontId="52" fillId="5" borderId="66" xfId="0" applyFont="1" applyFill="1" applyBorder="1" applyAlignment="1">
      <alignment vertical="center" wrapText="1"/>
    </xf>
    <xf numFmtId="0" fontId="50" fillId="5" borderId="68" xfId="0" applyFont="1" applyFill="1" applyBorder="1" applyAlignment="1">
      <alignment horizontal="center" vertical="center"/>
    </xf>
    <xf numFmtId="0" fontId="50" fillId="5" borderId="85" xfId="0" applyFont="1" applyFill="1" applyBorder="1" applyAlignment="1">
      <alignment horizontal="center" vertical="center"/>
    </xf>
    <xf numFmtId="10" fontId="22" fillId="5" borderId="5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3" fontId="30" fillId="0" borderId="39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0" fontId="51" fillId="5" borderId="64" xfId="0" applyFont="1" applyFill="1" applyBorder="1" applyAlignment="1">
      <alignment horizontal="right" vertical="center"/>
    </xf>
    <xf numFmtId="0" fontId="52" fillId="5" borderId="25" xfId="0" applyFont="1" applyFill="1" applyBorder="1" applyAlignment="1">
      <alignment vertical="center" wrapText="1"/>
    </xf>
    <xf numFmtId="3" fontId="50" fillId="5" borderId="0" xfId="0" applyNumberFormat="1" applyFont="1" applyFill="1" applyBorder="1" applyAlignment="1">
      <alignment vertical="center"/>
    </xf>
    <xf numFmtId="10" fontId="22" fillId="5" borderId="47" xfId="0" applyNumberFormat="1" applyFont="1" applyFill="1" applyBorder="1" applyAlignment="1">
      <alignment vertical="center"/>
    </xf>
    <xf numFmtId="3" fontId="50" fillId="5" borderId="78" xfId="0" applyNumberFormat="1" applyFont="1" applyFill="1" applyBorder="1" applyAlignment="1">
      <alignment vertical="center"/>
    </xf>
    <xf numFmtId="3" fontId="50" fillId="5" borderId="79" xfId="0" applyNumberFormat="1" applyFont="1" applyFill="1" applyBorder="1" applyAlignment="1">
      <alignment vertical="center"/>
    </xf>
    <xf numFmtId="3" fontId="50" fillId="5" borderId="86" xfId="0" applyNumberFormat="1" applyFont="1" applyFill="1" applyBorder="1" applyAlignment="1">
      <alignment vertical="center"/>
    </xf>
    <xf numFmtId="3" fontId="50" fillId="5" borderId="87" xfId="0" applyNumberFormat="1" applyFont="1" applyFill="1" applyBorder="1" applyAlignment="1">
      <alignment vertical="center"/>
    </xf>
    <xf numFmtId="10" fontId="22" fillId="5" borderId="48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25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50" fillId="0" borderId="64" xfId="0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vertical="center"/>
    </xf>
    <xf numFmtId="3" fontId="50" fillId="0" borderId="22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vertical="center" wrapText="1"/>
    </xf>
    <xf numFmtId="0" fontId="52" fillId="5" borderId="21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64" xfId="0" applyFont="1" applyFill="1" applyBorder="1" applyAlignment="1">
      <alignment horizontal="right" vertical="center"/>
    </xf>
    <xf numFmtId="0" fontId="30" fillId="35" borderId="20" xfId="0" applyFont="1" applyFill="1" applyBorder="1" applyAlignment="1">
      <alignment vertical="center" wrapText="1"/>
    </xf>
    <xf numFmtId="3" fontId="30" fillId="35" borderId="13" xfId="0" applyNumberFormat="1" applyFont="1" applyFill="1" applyBorder="1" applyAlignment="1">
      <alignment vertical="center"/>
    </xf>
    <xf numFmtId="3" fontId="30" fillId="35" borderId="45" xfId="0" applyNumberFormat="1" applyFont="1" applyFill="1" applyBorder="1" applyAlignment="1">
      <alignment vertical="center"/>
    </xf>
    <xf numFmtId="10" fontId="23" fillId="35" borderId="42" xfId="0" applyNumberFormat="1" applyFont="1" applyFill="1" applyBorder="1" applyAlignment="1">
      <alignment vertical="center"/>
    </xf>
    <xf numFmtId="0" fontId="51" fillId="36" borderId="20" xfId="0" applyFont="1" applyFill="1" applyBorder="1" applyAlignment="1">
      <alignment vertical="center" wrapText="1"/>
    </xf>
    <xf numFmtId="3" fontId="30" fillId="36" borderId="13" xfId="0" applyNumberFormat="1" applyFont="1" applyFill="1" applyBorder="1" applyAlignment="1">
      <alignment vertical="center"/>
    </xf>
    <xf numFmtId="3" fontId="30" fillId="36" borderId="45" xfId="0" applyNumberFormat="1" applyFont="1" applyFill="1" applyBorder="1" applyAlignment="1">
      <alignment vertical="center"/>
    </xf>
    <xf numFmtId="10" fontId="23" fillId="36" borderId="19" xfId="0" applyNumberFormat="1" applyFont="1" applyFill="1" applyBorder="1" applyAlignment="1">
      <alignment vertical="center"/>
    </xf>
    <xf numFmtId="3" fontId="30" fillId="36" borderId="61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64" xfId="0" applyFont="1" applyFill="1" applyBorder="1" applyAlignment="1">
      <alignment horizontal="right" vertical="center"/>
    </xf>
    <xf numFmtId="3" fontId="30" fillId="35" borderId="51" xfId="0" applyNumberFormat="1" applyFont="1" applyFill="1" applyBorder="1" applyAlignment="1">
      <alignment vertical="center"/>
    </xf>
    <xf numFmtId="3" fontId="30" fillId="35" borderId="12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50" fillId="0" borderId="77" xfId="0" applyFont="1" applyFill="1" applyBorder="1" applyAlignment="1">
      <alignment vertical="center"/>
    </xf>
    <xf numFmtId="0" fontId="50" fillId="0" borderId="8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51" fillId="0" borderId="77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30" fillId="39" borderId="20" xfId="0" applyFont="1" applyFill="1" applyBorder="1" applyAlignment="1">
      <alignment vertical="center" wrapText="1"/>
    </xf>
    <xf numFmtId="3" fontId="30" fillId="39" borderId="13" xfId="0" applyNumberFormat="1" applyFont="1" applyFill="1" applyBorder="1" applyAlignment="1">
      <alignment vertical="center"/>
    </xf>
    <xf numFmtId="3" fontId="30" fillId="39" borderId="45" xfId="0" applyNumberFormat="1" applyFont="1" applyFill="1" applyBorder="1" applyAlignment="1">
      <alignment vertical="center"/>
    </xf>
    <xf numFmtId="10" fontId="23" fillId="39" borderId="42" xfId="0" applyNumberFormat="1" applyFont="1" applyFill="1" applyBorder="1" applyAlignment="1">
      <alignment vertical="center"/>
    </xf>
    <xf numFmtId="0" fontId="35" fillId="0" borderId="77" xfId="0" applyFont="1" applyFill="1" applyBorder="1" applyAlignment="1">
      <alignment vertical="center"/>
    </xf>
    <xf numFmtId="0" fontId="35" fillId="0" borderId="82" xfId="0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10" fontId="22" fillId="0" borderId="0" xfId="0" applyNumberFormat="1" applyFont="1" applyFill="1" applyAlignment="1">
      <alignment vertical="center"/>
    </xf>
    <xf numFmtId="0" fontId="31" fillId="0" borderId="62" xfId="0" applyFont="1" applyFill="1" applyBorder="1" applyAlignment="1">
      <alignment vertical="center" wrapText="1"/>
    </xf>
    <xf numFmtId="3" fontId="50" fillId="0" borderId="32" xfId="0" applyNumberFormat="1" applyFont="1" applyFill="1" applyBorder="1" applyAlignment="1">
      <alignment vertical="center"/>
    </xf>
    <xf numFmtId="3" fontId="50" fillId="0" borderId="88" xfId="0" applyNumberFormat="1" applyFont="1" applyFill="1" applyBorder="1" applyAlignment="1">
      <alignment vertical="center"/>
    </xf>
    <xf numFmtId="10" fontId="22" fillId="0" borderId="34" xfId="0" applyNumberFormat="1" applyFont="1" applyFill="1" applyBorder="1" applyAlignment="1">
      <alignment vertical="center"/>
    </xf>
    <xf numFmtId="3" fontId="30" fillId="0" borderId="88" xfId="0" applyNumberFormat="1" applyFont="1" applyFill="1" applyBorder="1" applyAlignment="1">
      <alignment vertical="center"/>
    </xf>
    <xf numFmtId="10" fontId="23" fillId="0" borderId="34" xfId="0" applyNumberFormat="1" applyFont="1" applyFill="1" applyBorder="1" applyAlignment="1">
      <alignment vertical="center"/>
    </xf>
    <xf numFmtId="3" fontId="50" fillId="0" borderId="80" xfId="0" applyNumberFormat="1" applyFont="1" applyFill="1" applyBorder="1" applyAlignment="1">
      <alignment vertical="center"/>
    </xf>
    <xf numFmtId="3" fontId="50" fillId="0" borderId="33" xfId="0" applyNumberFormat="1" applyFont="1" applyFill="1" applyBorder="1" applyAlignment="1">
      <alignment vertical="center"/>
    </xf>
    <xf numFmtId="3" fontId="30" fillId="0" borderId="33" xfId="0" applyNumberFormat="1" applyFont="1" applyFill="1" applyBorder="1" applyAlignment="1">
      <alignment vertical="center"/>
    </xf>
    <xf numFmtId="10" fontId="23" fillId="0" borderId="18" xfId="0" applyNumberFormat="1" applyFont="1" applyFill="1" applyBorder="1" applyAlignment="1">
      <alignment vertical="center"/>
    </xf>
    <xf numFmtId="3" fontId="50" fillId="0" borderId="39" xfId="0" applyNumberFormat="1" applyFont="1" applyFill="1" applyBorder="1" applyAlignment="1">
      <alignment vertical="center"/>
    </xf>
    <xf numFmtId="0" fontId="31" fillId="0" borderId="83" xfId="0" applyFont="1" applyFill="1" applyBorder="1" applyAlignment="1">
      <alignment vertical="center" wrapText="1"/>
    </xf>
    <xf numFmtId="3" fontId="50" fillId="0" borderId="54" xfId="0" applyNumberFormat="1" applyFont="1" applyFill="1" applyBorder="1" applyAlignment="1">
      <alignment vertical="center"/>
    </xf>
    <xf numFmtId="3" fontId="50" fillId="0" borderId="84" xfId="0" applyNumberFormat="1" applyFont="1" applyFill="1" applyBorder="1" applyAlignment="1">
      <alignment vertical="center"/>
    </xf>
    <xf numFmtId="10" fontId="22" fillId="0" borderId="44" xfId="0" applyNumberFormat="1" applyFont="1" applyFill="1" applyBorder="1" applyAlignment="1">
      <alignment vertical="center"/>
    </xf>
    <xf numFmtId="3" fontId="30" fillId="0" borderId="84" xfId="0" applyNumberFormat="1" applyFont="1" applyFill="1" applyBorder="1" applyAlignment="1">
      <alignment vertical="center"/>
    </xf>
    <xf numFmtId="3" fontId="50" fillId="0" borderId="82" xfId="0" applyNumberFormat="1" applyFont="1" applyFill="1" applyBorder="1" applyAlignment="1">
      <alignment vertical="center"/>
    </xf>
    <xf numFmtId="3" fontId="50" fillId="0" borderId="43" xfId="0" applyNumberFormat="1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39" borderId="20" xfId="0" applyNumberFormat="1" applyFont="1" applyFill="1" applyBorder="1" applyAlignment="1">
      <alignment vertical="center"/>
    </xf>
    <xf numFmtId="10" fontId="51" fillId="39" borderId="42" xfId="0" applyNumberFormat="1" applyFont="1" applyFill="1" applyBorder="1" applyAlignment="1">
      <alignment vertical="center"/>
    </xf>
    <xf numFmtId="0" fontId="35" fillId="0" borderId="53" xfId="0" applyFont="1" applyFill="1" applyBorder="1" applyAlignment="1">
      <alignment horizontal="right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1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3" fontId="14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right"/>
    </xf>
    <xf numFmtId="10" fontId="26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9" fillId="0" borderId="10" xfId="0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center"/>
    </xf>
    <xf numFmtId="10" fontId="26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vertical="top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wrapText="1"/>
    </xf>
    <xf numFmtId="0" fontId="21" fillId="35" borderId="53" xfId="0" applyFont="1" applyFill="1" applyBorder="1" applyAlignment="1">
      <alignment/>
    </xf>
    <xf numFmtId="0" fontId="14" fillId="35" borderId="53" xfId="0" applyFont="1" applyFill="1" applyBorder="1" applyAlignment="1">
      <alignment wrapText="1"/>
    </xf>
    <xf numFmtId="3" fontId="14" fillId="35" borderId="53" xfId="0" applyNumberFormat="1" applyFont="1" applyFill="1" applyBorder="1" applyAlignment="1">
      <alignment horizontal="right"/>
    </xf>
    <xf numFmtId="10" fontId="21" fillId="35" borderId="53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 vertical="center"/>
    </xf>
    <xf numFmtId="10" fontId="26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/>
    </xf>
    <xf numFmtId="10" fontId="21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39" fillId="0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justify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/>
    </xf>
    <xf numFmtId="0" fontId="39" fillId="0" borderId="11" xfId="0" applyFont="1" applyBorder="1" applyAlignment="1">
      <alignment vertical="top"/>
    </xf>
    <xf numFmtId="3" fontId="39" fillId="0" borderId="11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top"/>
    </xf>
    <xf numFmtId="3" fontId="39" fillId="0" borderId="35" xfId="0" applyNumberFormat="1" applyFont="1" applyFill="1" applyBorder="1" applyAlignment="1">
      <alignment/>
    </xf>
    <xf numFmtId="3" fontId="39" fillId="0" borderId="35" xfId="0" applyNumberFormat="1" applyFont="1" applyBorder="1" applyAlignment="1">
      <alignment horizontal="right" vertical="center"/>
    </xf>
    <xf numFmtId="0" fontId="39" fillId="0" borderId="30" xfId="0" applyFont="1" applyBorder="1" applyAlignment="1">
      <alignment vertical="top"/>
    </xf>
    <xf numFmtId="3" fontId="39" fillId="0" borderId="30" xfId="0" applyNumberFormat="1" applyFont="1" applyFill="1" applyBorder="1" applyAlignment="1">
      <alignment/>
    </xf>
    <xf numFmtId="3" fontId="39" fillId="0" borderId="3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justify"/>
    </xf>
    <xf numFmtId="0" fontId="39" fillId="0" borderId="0" xfId="0" applyFont="1" applyBorder="1" applyAlignment="1">
      <alignment/>
    </xf>
    <xf numFmtId="3" fontId="39" fillId="0" borderId="35" xfId="0" applyNumberFormat="1" applyFont="1" applyBorder="1" applyAlignment="1">
      <alignment horizontal="right"/>
    </xf>
    <xf numFmtId="3" fontId="39" fillId="0" borderId="35" xfId="0" applyNumberFormat="1" applyFont="1" applyFill="1" applyBorder="1" applyAlignment="1">
      <alignment/>
    </xf>
    <xf numFmtId="0" fontId="39" fillId="0" borderId="0" xfId="0" applyFont="1" applyAlignment="1">
      <alignment horizontal="justify"/>
    </xf>
    <xf numFmtId="0" fontId="39" fillId="0" borderId="10" xfId="0" applyFont="1" applyFill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3" fontId="39" fillId="0" borderId="11" xfId="0" applyNumberFormat="1" applyFont="1" applyFill="1" applyBorder="1" applyAlignment="1">
      <alignment vertical="center"/>
    </xf>
    <xf numFmtId="0" fontId="39" fillId="0" borderId="35" xfId="0" applyFont="1" applyBorder="1" applyAlignment="1">
      <alignment horizontal="left" wrapText="1"/>
    </xf>
    <xf numFmtId="10" fontId="26" fillId="0" borderId="35" xfId="0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3" fontId="39" fillId="0" borderId="10" xfId="0" applyNumberFormat="1" applyFont="1" applyBorder="1" applyAlignment="1">
      <alignment horizontal="right" vertical="top"/>
    </xf>
    <xf numFmtId="0" fontId="96" fillId="0" borderId="10" xfId="0" applyFont="1" applyBorder="1" applyAlignment="1">
      <alignment vertical="top"/>
    </xf>
    <xf numFmtId="3" fontId="96" fillId="0" borderId="10" xfId="0" applyNumberFormat="1" applyFont="1" applyBorder="1" applyAlignment="1">
      <alignment horizontal="right" vertical="top"/>
    </xf>
    <xf numFmtId="3" fontId="39" fillId="0" borderId="10" xfId="0" applyNumberFormat="1" applyFont="1" applyBorder="1" applyAlignment="1">
      <alignment/>
    </xf>
    <xf numFmtId="3" fontId="39" fillId="40" borderId="10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21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39" fillId="0" borderId="30" xfId="0" applyFont="1" applyFill="1" applyBorder="1" applyAlignment="1">
      <alignment vertical="top" wrapText="1"/>
    </xf>
    <xf numFmtId="3" fontId="39" fillId="0" borderId="30" xfId="0" applyNumberFormat="1" applyFont="1" applyFill="1" applyBorder="1" applyAlignment="1">
      <alignment vertical="center"/>
    </xf>
    <xf numFmtId="3" fontId="39" fillId="0" borderId="30" xfId="0" applyNumberFormat="1" applyFont="1" applyFill="1" applyBorder="1" applyAlignment="1">
      <alignment horizontal="right" vertical="center"/>
    </xf>
    <xf numFmtId="0" fontId="14" fillId="35" borderId="79" xfId="0" applyFont="1" applyFill="1" applyBorder="1" applyAlignment="1">
      <alignment/>
    </xf>
    <xf numFmtId="0" fontId="14" fillId="35" borderId="79" xfId="0" applyFont="1" applyFill="1" applyBorder="1" applyAlignment="1">
      <alignment wrapText="1"/>
    </xf>
    <xf numFmtId="3" fontId="14" fillId="35" borderId="79" xfId="0" applyNumberFormat="1" applyFont="1" applyFill="1" applyBorder="1" applyAlignment="1">
      <alignment/>
    </xf>
    <xf numFmtId="10" fontId="21" fillId="35" borderId="79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26" fillId="40" borderId="0" xfId="0" applyFont="1" applyFill="1" applyBorder="1" applyAlignment="1">
      <alignment wrapText="1"/>
    </xf>
    <xf numFmtId="3" fontId="26" fillId="40" borderId="0" xfId="0" applyNumberFormat="1" applyFont="1" applyFill="1" applyBorder="1" applyAlignment="1">
      <alignment horizontal="right"/>
    </xf>
    <xf numFmtId="3" fontId="26" fillId="40" borderId="0" xfId="0" applyNumberFormat="1" applyFont="1" applyFill="1" applyBorder="1" applyAlignment="1">
      <alignment/>
    </xf>
    <xf numFmtId="10" fontId="26" fillId="40" borderId="0" xfId="0" applyNumberFormat="1" applyFont="1" applyFill="1" applyBorder="1" applyAlignment="1">
      <alignment/>
    </xf>
    <xf numFmtId="0" fontId="39" fillId="0" borderId="89" xfId="0" applyFont="1" applyFill="1" applyBorder="1" applyAlignment="1">
      <alignment/>
    </xf>
    <xf numFmtId="3" fontId="39" fillId="0" borderId="89" xfId="0" applyNumberFormat="1" applyFont="1" applyFill="1" applyBorder="1" applyAlignment="1">
      <alignment horizontal="right"/>
    </xf>
    <xf numFmtId="0" fontId="14" fillId="39" borderId="61" xfId="0" applyFont="1" applyFill="1" applyBorder="1" applyAlignment="1">
      <alignment/>
    </xf>
    <xf numFmtId="0" fontId="14" fillId="39" borderId="61" xfId="0" applyFont="1" applyFill="1" applyBorder="1" applyAlignment="1">
      <alignment wrapText="1"/>
    </xf>
    <xf numFmtId="3" fontId="14" fillId="39" borderId="41" xfId="0" applyNumberFormat="1" applyFont="1" applyFill="1" applyBorder="1" applyAlignment="1">
      <alignment/>
    </xf>
    <xf numFmtId="3" fontId="14" fillId="39" borderId="61" xfId="0" applyNumberFormat="1" applyFont="1" applyFill="1" applyBorder="1" applyAlignment="1">
      <alignment/>
    </xf>
    <xf numFmtId="10" fontId="21" fillId="39" borderId="61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9" fillId="0" borderId="5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0" fontId="26" fillId="0" borderId="0" xfId="0" applyNumberFormat="1" applyFont="1" applyBorder="1" applyAlignment="1">
      <alignment/>
    </xf>
    <xf numFmtId="165" fontId="31" fillId="0" borderId="0" xfId="40" applyNumberFormat="1" applyFont="1" applyFill="1" applyAlignment="1">
      <alignment/>
    </xf>
    <xf numFmtId="10" fontId="21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/>
    </xf>
    <xf numFmtId="10" fontId="21" fillId="0" borderId="0" xfId="0" applyNumberFormat="1" applyFont="1" applyFill="1" applyAlignment="1">
      <alignment horizontal="center"/>
    </xf>
    <xf numFmtId="0" fontId="14" fillId="0" borderId="81" xfId="0" applyFont="1" applyFill="1" applyBorder="1" applyAlignment="1">
      <alignment horizontal="center"/>
    </xf>
    <xf numFmtId="165" fontId="26" fillId="0" borderId="0" xfId="40" applyNumberFormat="1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>
      <alignment horizontal="center" vertical="center"/>
    </xf>
    <xf numFmtId="0" fontId="14" fillId="39" borderId="81" xfId="0" applyFont="1" applyFill="1" applyBorder="1" applyAlignment="1">
      <alignment horizontal="center"/>
    </xf>
    <xf numFmtId="10" fontId="37" fillId="39" borderId="14" xfId="0" applyNumberFormat="1" applyFont="1" applyFill="1" applyBorder="1" applyAlignment="1">
      <alignment/>
    </xf>
    <xf numFmtId="10" fontId="21" fillId="39" borderId="10" xfId="0" applyNumberFormat="1" applyFont="1" applyFill="1" applyBorder="1" applyAlignment="1">
      <alignment/>
    </xf>
    <xf numFmtId="0" fontId="14" fillId="35" borderId="39" xfId="0" applyFont="1" applyFill="1" applyBorder="1" applyAlignment="1">
      <alignment horizontal="center"/>
    </xf>
    <xf numFmtId="10" fontId="37" fillId="35" borderId="14" xfId="0" applyNumberFormat="1" applyFont="1" applyFill="1" applyBorder="1" applyAlignment="1">
      <alignment/>
    </xf>
    <xf numFmtId="10" fontId="21" fillId="35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0" fontId="37" fillId="0" borderId="14" xfId="0" applyNumberFormat="1" applyFont="1" applyFill="1" applyBorder="1" applyAlignment="1">
      <alignment/>
    </xf>
    <xf numFmtId="10" fontId="37" fillId="0" borderId="10" xfId="0" applyNumberFormat="1" applyFont="1" applyFill="1" applyBorder="1" applyAlignment="1">
      <alignment/>
    </xf>
    <xf numFmtId="165" fontId="37" fillId="0" borderId="0" xfId="40" applyNumberFormat="1" applyFont="1" applyFill="1" applyAlignment="1">
      <alignment/>
    </xf>
    <xf numFmtId="0" fontId="46" fillId="0" borderId="10" xfId="0" applyFont="1" applyFill="1" applyBorder="1" applyAlignment="1">
      <alignment horizontal="left" wrapText="1"/>
    </xf>
    <xf numFmtId="0" fontId="14" fillId="35" borderId="78" xfId="0" applyFont="1" applyFill="1" applyBorder="1" applyAlignment="1">
      <alignment/>
    </xf>
    <xf numFmtId="0" fontId="14" fillId="35" borderId="39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10" fontId="26" fillId="0" borderId="14" xfId="0" applyNumberFormat="1" applyFont="1" applyFill="1" applyBorder="1" applyAlignment="1">
      <alignment/>
    </xf>
    <xf numFmtId="165" fontId="21" fillId="0" borderId="0" xfId="40" applyNumberFormat="1" applyFont="1" applyFill="1" applyAlignment="1">
      <alignment/>
    </xf>
    <xf numFmtId="10" fontId="21" fillId="39" borderId="14" xfId="0" applyNumberFormat="1" applyFont="1" applyFill="1" applyBorder="1" applyAlignment="1">
      <alignment/>
    </xf>
    <xf numFmtId="10" fontId="37" fillId="39" borderId="10" xfId="0" applyNumberFormat="1" applyFont="1" applyFill="1" applyBorder="1" applyAlignment="1">
      <alignment/>
    </xf>
    <xf numFmtId="10" fontId="21" fillId="35" borderId="14" xfId="0" applyNumberFormat="1" applyFont="1" applyFill="1" applyBorder="1" applyAlignment="1">
      <alignment/>
    </xf>
    <xf numFmtId="10" fontId="37" fillId="35" borderId="10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10" fontId="55" fillId="0" borderId="14" xfId="0" applyNumberFormat="1" applyFont="1" applyFill="1" applyBorder="1" applyAlignment="1">
      <alignment/>
    </xf>
    <xf numFmtId="0" fontId="37" fillId="0" borderId="55" xfId="0" applyFont="1" applyFill="1" applyBorder="1" applyAlignment="1">
      <alignment/>
    </xf>
    <xf numFmtId="0" fontId="50" fillId="0" borderId="56" xfId="0" applyFont="1" applyFill="1" applyBorder="1" applyAlignment="1">
      <alignment vertical="center" wrapText="1"/>
    </xf>
    <xf numFmtId="0" fontId="50" fillId="0" borderId="77" xfId="0" applyFont="1" applyFill="1" applyBorder="1" applyAlignment="1">
      <alignment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right" vertical="center"/>
    </xf>
    <xf numFmtId="0" fontId="56" fillId="5" borderId="21" xfId="0" applyFont="1" applyFill="1" applyBorder="1" applyAlignment="1">
      <alignment vertical="center" wrapText="1"/>
    </xf>
    <xf numFmtId="10" fontId="50" fillId="5" borderId="47" xfId="0" applyNumberFormat="1" applyFont="1" applyFill="1" applyBorder="1" applyAlignment="1">
      <alignment vertical="center"/>
    </xf>
    <xf numFmtId="3" fontId="50" fillId="5" borderId="47" xfId="0" applyNumberFormat="1" applyFont="1" applyFill="1" applyBorder="1" applyAlignment="1">
      <alignment vertical="center"/>
    </xf>
    <xf numFmtId="3" fontId="50" fillId="5" borderId="48" xfId="0" applyNumberFormat="1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10" fontId="50" fillId="0" borderId="14" xfId="0" applyNumberFormat="1" applyFont="1" applyFill="1" applyBorder="1" applyAlignment="1">
      <alignment vertical="center"/>
    </xf>
    <xf numFmtId="3" fontId="30" fillId="0" borderId="22" xfId="0" applyNumberFormat="1" applyFont="1" applyFill="1" applyBorder="1" applyAlignment="1">
      <alignment vertical="center"/>
    </xf>
    <xf numFmtId="10" fontId="51" fillId="0" borderId="14" xfId="0" applyNumberFormat="1" applyFont="1" applyFill="1" applyBorder="1" applyAlignment="1">
      <alignment vertical="center"/>
    </xf>
    <xf numFmtId="0" fontId="97" fillId="0" borderId="21" xfId="0" applyFont="1" applyFill="1" applyBorder="1" applyAlignment="1">
      <alignment/>
    </xf>
    <xf numFmtId="10" fontId="51" fillId="35" borderId="19" xfId="0" applyNumberFormat="1" applyFont="1" applyFill="1" applyBorder="1" applyAlignment="1">
      <alignment vertical="center"/>
    </xf>
    <xf numFmtId="0" fontId="30" fillId="0" borderId="62" xfId="0" applyFont="1" applyFill="1" applyBorder="1" applyAlignment="1">
      <alignment vertical="center" wrapText="1"/>
    </xf>
    <xf numFmtId="10" fontId="51" fillId="0" borderId="15" xfId="0" applyNumberFormat="1" applyFont="1" applyFill="1" applyBorder="1" applyAlignment="1">
      <alignment vertical="center"/>
    </xf>
    <xf numFmtId="3" fontId="30" fillId="0" borderId="81" xfId="0" applyNumberFormat="1" applyFont="1" applyFill="1" applyBorder="1" applyAlignment="1">
      <alignment vertical="center"/>
    </xf>
    <xf numFmtId="3" fontId="51" fillId="0" borderId="32" xfId="0" applyNumberFormat="1" applyFont="1" applyFill="1" applyBorder="1" applyAlignment="1">
      <alignment vertical="center"/>
    </xf>
    <xf numFmtId="3" fontId="51" fillId="0" borderId="81" xfId="0" applyNumberFormat="1" applyFont="1" applyFill="1" applyBorder="1" applyAlignment="1">
      <alignment vertical="center"/>
    </xf>
    <xf numFmtId="3" fontId="51" fillId="0" borderId="88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0" fontId="31" fillId="0" borderId="81" xfId="0" applyFont="1" applyFill="1" applyBorder="1" applyAlignment="1">
      <alignment vertical="center"/>
    </xf>
    <xf numFmtId="10" fontId="50" fillId="0" borderId="15" xfId="0" applyNumberFormat="1" applyFont="1" applyFill="1" applyBorder="1" applyAlignment="1">
      <alignment vertical="center"/>
    </xf>
    <xf numFmtId="0" fontId="31" fillId="0" borderId="84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84" xfId="0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3" fontId="30" fillId="0" borderId="82" xfId="0" applyNumberFormat="1" applyFont="1" applyFill="1" applyBorder="1" applyAlignment="1">
      <alignment vertical="center"/>
    </xf>
    <xf numFmtId="10" fontId="51" fillId="39" borderId="19" xfId="0" applyNumberFormat="1" applyFont="1" applyFill="1" applyBorder="1" applyAlignment="1">
      <alignment vertical="center"/>
    </xf>
    <xf numFmtId="10" fontId="35" fillId="0" borderId="0" xfId="0" applyNumberFormat="1" applyFont="1" applyFill="1" applyAlignment="1">
      <alignment vertical="center"/>
    </xf>
    <xf numFmtId="3" fontId="39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0" fontId="31" fillId="0" borderId="10" xfId="0" applyNumberFormat="1" applyFont="1" applyFill="1" applyBorder="1" applyAlignment="1">
      <alignment/>
    </xf>
    <xf numFmtId="10" fontId="31" fillId="0" borderId="10" xfId="0" applyNumberFormat="1" applyFont="1" applyFill="1" applyBorder="1" applyAlignment="1">
      <alignment horizontal="right"/>
    </xf>
    <xf numFmtId="0" fontId="14" fillId="35" borderId="53" xfId="0" applyFont="1" applyFill="1" applyBorder="1" applyAlignment="1">
      <alignment/>
    </xf>
    <xf numFmtId="3" fontId="14" fillId="35" borderId="53" xfId="0" applyNumberFormat="1" applyFont="1" applyFill="1" applyBorder="1" applyAlignment="1">
      <alignment horizontal="right"/>
    </xf>
    <xf numFmtId="10" fontId="30" fillId="35" borderId="5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/>
    </xf>
    <xf numFmtId="10" fontId="31" fillId="0" borderId="0" xfId="0" applyNumberFormat="1" applyFont="1" applyBorder="1" applyAlignment="1">
      <alignment/>
    </xf>
    <xf numFmtId="3" fontId="14" fillId="35" borderId="79" xfId="0" applyNumberFormat="1" applyFont="1" applyFill="1" applyBorder="1" applyAlignment="1">
      <alignment/>
    </xf>
    <xf numFmtId="10" fontId="30" fillId="35" borderId="79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0" fontId="30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0" fontId="30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3" fontId="14" fillId="39" borderId="61" xfId="0" applyNumberFormat="1" applyFont="1" applyFill="1" applyBorder="1" applyAlignment="1">
      <alignment/>
    </xf>
    <xf numFmtId="10" fontId="30" fillId="39" borderId="6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39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9" fillId="0" borderId="14" xfId="56" applyNumberFormat="1" applyFont="1" applyFill="1" applyBorder="1" applyAlignment="1" applyProtection="1">
      <alignment horizontal="right" vertical="top" wrapText="1"/>
      <protection locked="0"/>
    </xf>
    <xf numFmtId="164" fontId="9" fillId="0" borderId="14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>
      <alignment horizontal="left"/>
    </xf>
    <xf numFmtId="168" fontId="22" fillId="0" borderId="22" xfId="0" applyNumberFormat="1" applyFont="1" applyFill="1" applyBorder="1" applyAlignment="1">
      <alignment horizontal="right"/>
    </xf>
    <xf numFmtId="3" fontId="26" fillId="0" borderId="35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5" fillId="0" borderId="40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vertical="center"/>
    </xf>
    <xf numFmtId="3" fontId="35" fillId="0" borderId="17" xfId="0" applyNumberFormat="1" applyFont="1" applyFill="1" applyBorder="1" applyAlignment="1">
      <alignment vertical="center"/>
    </xf>
    <xf numFmtId="3" fontId="35" fillId="0" borderId="18" xfId="0" applyNumberFormat="1" applyFont="1" applyFill="1" applyBorder="1" applyAlignment="1">
      <alignment vertical="center"/>
    </xf>
    <xf numFmtId="0" fontId="35" fillId="0" borderId="22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63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/>
    </xf>
    <xf numFmtId="3" fontId="34" fillId="0" borderId="30" xfId="0" applyNumberFormat="1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10" fontId="34" fillId="0" borderId="10" xfId="0" applyNumberFormat="1" applyFont="1" applyFill="1" applyBorder="1" applyAlignment="1">
      <alignment vertical="center"/>
    </xf>
    <xf numFmtId="10" fontId="34" fillId="0" borderId="14" xfId="0" applyNumberFormat="1" applyFont="1" applyFill="1" applyBorder="1" applyAlignment="1">
      <alignment vertical="center"/>
    </xf>
    <xf numFmtId="0" fontId="35" fillId="0" borderId="63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/>
    </xf>
    <xf numFmtId="10" fontId="35" fillId="0" borderId="30" xfId="0" applyNumberFormat="1" applyFont="1" applyFill="1" applyBorder="1" applyAlignment="1">
      <alignment vertical="center"/>
    </xf>
    <xf numFmtId="3" fontId="35" fillId="0" borderId="30" xfId="0" applyNumberFormat="1" applyFont="1" applyFill="1" applyBorder="1" applyAlignment="1">
      <alignment vertical="center"/>
    </xf>
    <xf numFmtId="10" fontId="35" fillId="0" borderId="31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1" fillId="40" borderId="25" xfId="0" applyFont="1" applyFill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26" fillId="0" borderId="0" xfId="64" applyNumberFormat="1" applyFont="1" applyFill="1" applyAlignment="1">
      <alignment/>
    </xf>
    <xf numFmtId="0" fontId="31" fillId="0" borderId="82" xfId="0" applyFont="1" applyFill="1" applyBorder="1" applyAlignment="1">
      <alignment horizontal="right" vertical="center"/>
    </xf>
    <xf numFmtId="0" fontId="31" fillId="40" borderId="21" xfId="0" applyFont="1" applyFill="1" applyBorder="1" applyAlignment="1">
      <alignment/>
    </xf>
    <xf numFmtId="0" fontId="35" fillId="0" borderId="40" xfId="0" applyFont="1" applyFill="1" applyBorder="1" applyAlignment="1">
      <alignment vertical="center"/>
    </xf>
    <xf numFmtId="0" fontId="34" fillId="0" borderId="63" xfId="0" applyFont="1" applyFill="1" applyBorder="1" applyAlignment="1">
      <alignment vertical="center"/>
    </xf>
    <xf numFmtId="0" fontId="31" fillId="41" borderId="64" xfId="0" applyFont="1" applyFill="1" applyBorder="1" applyAlignment="1">
      <alignment horizontal="right" vertical="center"/>
    </xf>
    <xf numFmtId="0" fontId="31" fillId="41" borderId="25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vertical="center"/>
    </xf>
    <xf numFmtId="0" fontId="31" fillId="17" borderId="64" xfId="0" applyFont="1" applyFill="1" applyBorder="1" applyAlignment="1">
      <alignment horizontal="right" vertical="center"/>
    </xf>
    <xf numFmtId="0" fontId="35" fillId="17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vertical="center" wrapText="1"/>
    </xf>
    <xf numFmtId="0" fontId="37" fillId="36" borderId="39" xfId="0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vertical="center"/>
    </xf>
    <xf numFmtId="164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39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79" xfId="0" applyFont="1" applyBorder="1" applyAlignment="1">
      <alignment vertical="center" wrapText="1"/>
    </xf>
    <xf numFmtId="0" fontId="31" fillId="16" borderId="0" xfId="0" applyFont="1" applyFill="1" applyAlignment="1">
      <alignment vertical="center"/>
    </xf>
    <xf numFmtId="0" fontId="26" fillId="16" borderId="0" xfId="0" applyFont="1" applyFill="1" applyBorder="1" applyAlignment="1">
      <alignment/>
    </xf>
    <xf numFmtId="164" fontId="16" fillId="0" borderId="44" xfId="57" applyNumberFormat="1" applyFont="1" applyFill="1" applyBorder="1" applyAlignment="1" applyProtection="1">
      <alignment vertical="center"/>
      <protection/>
    </xf>
    <xf numFmtId="164" fontId="18" fillId="0" borderId="30" xfId="57" applyNumberFormat="1" applyFont="1" applyFill="1" applyBorder="1" applyAlignment="1" applyProtection="1">
      <alignment vertical="center"/>
      <protection locked="0"/>
    </xf>
    <xf numFmtId="164" fontId="18" fillId="0" borderId="31" xfId="57" applyNumberFormat="1" applyFont="1" applyFill="1" applyBorder="1" applyAlignment="1" applyProtection="1">
      <alignment vertical="center"/>
      <protection/>
    </xf>
    <xf numFmtId="164" fontId="3" fillId="0" borderId="0" xfId="57" applyNumberFormat="1" applyFill="1" applyAlignment="1" applyProtection="1">
      <alignment vertical="center"/>
      <protection/>
    </xf>
    <xf numFmtId="165" fontId="18" fillId="0" borderId="47" xfId="40" applyNumberFormat="1" applyFont="1" applyFill="1" applyBorder="1" applyAlignment="1" applyProtection="1">
      <alignment vertical="center"/>
      <protection locked="0"/>
    </xf>
    <xf numFmtId="165" fontId="18" fillId="0" borderId="49" xfId="40" applyNumberFormat="1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horizontal="left" vertical="center" wrapText="1" indent="1"/>
      <protection/>
    </xf>
    <xf numFmtId="0" fontId="4" fillId="0" borderId="12" xfId="56" applyFont="1" applyFill="1" applyBorder="1" applyAlignment="1" applyProtection="1">
      <alignment horizontal="left" vertical="center" wrapText="1" inden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35" xfId="0" applyFont="1" applyBorder="1" applyAlignment="1" applyProtection="1">
      <alignment horizontal="left" wrapText="1" indent="1"/>
      <protection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Border="1" applyAlignment="1" applyProtection="1">
      <alignment horizontal="left" wrapText="1" indent="1"/>
      <protection/>
    </xf>
    <xf numFmtId="164" fontId="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0" xfId="0" applyFont="1" applyBorder="1" applyAlignment="1" applyProtection="1">
      <alignment horizontal="left" vertical="center" wrapText="1" indent="1"/>
      <protection/>
    </xf>
    <xf numFmtId="49" fontId="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0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wrapText="1" inden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56" applyFont="1" applyFill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1" fillId="0" borderId="36" xfId="0" applyFont="1" applyBorder="1" applyAlignment="1" applyProtection="1">
      <alignment wrapText="1"/>
      <protection/>
    </xf>
    <xf numFmtId="0" fontId="31" fillId="0" borderId="22" xfId="0" applyFont="1" applyBorder="1" applyAlignment="1" applyProtection="1">
      <alignment wrapText="1"/>
      <protection/>
    </xf>
    <xf numFmtId="0" fontId="31" fillId="0" borderId="24" xfId="0" applyFont="1" applyBorder="1" applyAlignment="1" applyProtection="1">
      <alignment wrapText="1"/>
      <protection/>
    </xf>
    <xf numFmtId="164" fontId="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Border="1" applyAlignment="1" applyProtection="1">
      <alignment wrapText="1"/>
      <protection/>
    </xf>
    <xf numFmtId="0" fontId="30" fillId="0" borderId="54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wrapText="1"/>
      <protection/>
    </xf>
    <xf numFmtId="0" fontId="4" fillId="0" borderId="32" xfId="56" applyFont="1" applyFill="1" applyBorder="1" applyAlignment="1" applyProtection="1">
      <alignment horizontal="left" vertical="center" wrapText="1" indent="1"/>
      <protection/>
    </xf>
    <xf numFmtId="164" fontId="4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0" fillId="0" borderId="40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11" xfId="56" applyFont="1" applyFill="1" applyBorder="1" applyAlignment="1" applyProtection="1">
      <alignment horizontal="left" vertical="center" wrapText="1" indent="6"/>
      <protection/>
    </xf>
    <xf numFmtId="0" fontId="0" fillId="0" borderId="10" xfId="56" applyFont="1" applyFill="1" applyBorder="1" applyAlignment="1" applyProtection="1">
      <alignment horizontal="left" indent="6"/>
      <protection/>
    </xf>
    <xf numFmtId="0" fontId="0" fillId="0" borderId="10" xfId="56" applyFont="1" applyFill="1" applyBorder="1" applyAlignment="1" applyProtection="1">
      <alignment horizontal="left" vertical="center" wrapText="1" indent="6"/>
      <protection/>
    </xf>
    <xf numFmtId="49" fontId="0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0" fillId="0" borderId="63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30" xfId="56" applyFont="1" applyFill="1" applyBorder="1" applyAlignment="1" applyProtection="1">
      <alignment horizontal="left" vertical="center" wrapText="1" indent="7"/>
      <protection/>
    </xf>
    <xf numFmtId="164" fontId="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4" xfId="56" applyFont="1" applyFill="1" applyBorder="1" applyAlignment="1" applyProtection="1">
      <alignment horizontal="left" vertical="center" wrapText="1" indent="1"/>
      <protection/>
    </xf>
    <xf numFmtId="164" fontId="4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4" fillId="0" borderId="5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6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/>
    </xf>
    <xf numFmtId="164" fontId="30" fillId="0" borderId="42" xfId="0" applyNumberFormat="1" applyFont="1" applyBorder="1" applyAlignment="1" applyProtection="1">
      <alignment horizontal="right" vertical="center" wrapText="1" indent="1"/>
      <protection/>
    </xf>
    <xf numFmtId="164" fontId="30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54" xfId="0" applyFont="1" applyBorder="1" applyAlignment="1" applyProtection="1">
      <alignment horizontal="left" vertical="center" wrapText="1" inden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0" fontId="26" fillId="16" borderId="0" xfId="0" applyFont="1" applyFill="1" applyAlignment="1">
      <alignment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left"/>
      <protection/>
    </xf>
    <xf numFmtId="3" fontId="39" fillId="8" borderId="10" xfId="0" applyNumberFormat="1" applyFont="1" applyFill="1" applyBorder="1" applyAlignment="1">
      <alignment vertical="center"/>
    </xf>
    <xf numFmtId="3" fontId="39" fillId="8" borderId="10" xfId="0" applyNumberFormat="1" applyFont="1" applyFill="1" applyBorder="1" applyAlignment="1">
      <alignment/>
    </xf>
    <xf numFmtId="3" fontId="21" fillId="8" borderId="0" xfId="0" applyNumberFormat="1" applyFont="1" applyFill="1" applyAlignment="1">
      <alignment/>
    </xf>
    <xf numFmtId="3" fontId="26" fillId="8" borderId="0" xfId="0" applyNumberFormat="1" applyFont="1" applyFill="1" applyAlignment="1">
      <alignment/>
    </xf>
    <xf numFmtId="3" fontId="39" fillId="8" borderId="10" xfId="0" applyNumberFormat="1" applyFont="1" applyFill="1" applyBorder="1" applyAlignment="1">
      <alignment/>
    </xf>
    <xf numFmtId="3" fontId="39" fillId="8" borderId="10" xfId="0" applyNumberFormat="1" applyFont="1" applyFill="1" applyBorder="1" applyAlignment="1">
      <alignment horizontal="right"/>
    </xf>
    <xf numFmtId="3" fontId="39" fillId="8" borderId="10" xfId="0" applyNumberFormat="1" applyFont="1" applyFill="1" applyBorder="1" applyAlignment="1">
      <alignment horizontal="right" vertical="center"/>
    </xf>
    <xf numFmtId="3" fontId="26" fillId="8" borderId="0" xfId="0" applyNumberFormat="1" applyFont="1" applyFill="1" applyBorder="1" applyAlignment="1">
      <alignment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17" xfId="0" applyNumberFormat="1" applyFont="1" applyFill="1" applyBorder="1" applyAlignment="1" applyProtection="1">
      <alignment vertical="center" wrapText="1"/>
      <protection/>
    </xf>
    <xf numFmtId="164" fontId="18" fillId="0" borderId="18" xfId="0" applyNumberFormat="1" applyFont="1" applyFill="1" applyBorder="1" applyAlignment="1" applyProtection="1">
      <alignment vertical="center" wrapText="1"/>
      <protection/>
    </xf>
    <xf numFmtId="164" fontId="18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 wrapTex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horizontal="center" vertical="center" wrapText="1"/>
      <protection/>
    </xf>
    <xf numFmtId="164" fontId="18" fillId="0" borderId="36" xfId="0" applyNumberFormat="1" applyFont="1" applyFill="1" applyBorder="1" applyAlignment="1" applyProtection="1">
      <alignment horizontal="center" vertical="center" wrapText="1"/>
      <protection/>
    </xf>
    <xf numFmtId="164" fontId="18" fillId="0" borderId="22" xfId="0" applyNumberFormat="1" applyFont="1" applyFill="1" applyBorder="1" applyAlignment="1" applyProtection="1">
      <alignment horizontal="center" vertical="center" wrapText="1"/>
      <protection/>
    </xf>
    <xf numFmtId="164" fontId="18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6" applyNumberFormat="1" applyFill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6" xfId="0" applyNumberFormat="1" applyFont="1" applyFill="1" applyBorder="1" applyAlignment="1" applyProtection="1">
      <alignment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 locked="0"/>
    </xf>
    <xf numFmtId="10" fontId="23" fillId="35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10" fontId="23" fillId="35" borderId="12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Alignment="1">
      <alignment vertical="center" wrapText="1"/>
    </xf>
    <xf numFmtId="164" fontId="31" fillId="35" borderId="10" xfId="0" applyNumberFormat="1" applyFont="1" applyFill="1" applyBorder="1" applyAlignment="1">
      <alignment horizontal="center" vertical="center" wrapText="1"/>
    </xf>
    <xf numFmtId="164" fontId="30" fillId="35" borderId="10" xfId="0" applyNumberFormat="1" applyFont="1" applyFill="1" applyBorder="1" applyAlignment="1">
      <alignment horizontal="center"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164" fontId="0" fillId="0" borderId="22" xfId="0" applyNumberFormat="1" applyFill="1" applyBorder="1" applyAlignment="1" applyProtection="1">
      <alignment horizontal="left" vertical="center" wrapText="1" indent="1"/>
      <protection/>
    </xf>
    <xf numFmtId="0" fontId="35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67" fontId="39" fillId="0" borderId="10" xfId="0" applyNumberFormat="1" applyFont="1" applyBorder="1" applyAlignment="1">
      <alignment horizontal="center" vertical="center"/>
    </xf>
    <xf numFmtId="167" fontId="39" fillId="0" borderId="14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0" fontId="23" fillId="0" borderId="10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/>
    </xf>
    <xf numFmtId="10" fontId="23" fillId="0" borderId="11" xfId="0" applyNumberFormat="1" applyFont="1" applyFill="1" applyBorder="1" applyAlignment="1">
      <alignment vertical="center"/>
    </xf>
    <xf numFmtId="0" fontId="30" fillId="35" borderId="13" xfId="0" applyFont="1" applyFill="1" applyBorder="1" applyAlignment="1">
      <alignment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" fontId="35" fillId="0" borderId="0" xfId="0" applyNumberFormat="1" applyFont="1" applyFill="1" applyAlignment="1">
      <alignment vertical="center"/>
    </xf>
    <xf numFmtId="3" fontId="26" fillId="41" borderId="0" xfId="0" applyNumberFormat="1" applyFont="1" applyFill="1" applyAlignment="1">
      <alignment/>
    </xf>
    <xf numFmtId="0" fontId="39" fillId="41" borderId="14" xfId="0" applyFont="1" applyFill="1" applyBorder="1" applyAlignment="1">
      <alignment horizontal="left"/>
    </xf>
    <xf numFmtId="3" fontId="39" fillId="41" borderId="39" xfId="0" applyNumberFormat="1" applyFont="1" applyFill="1" applyBorder="1" applyAlignment="1">
      <alignment/>
    </xf>
    <xf numFmtId="0" fontId="14" fillId="41" borderId="10" xfId="0" applyFont="1" applyFill="1" applyBorder="1" applyAlignment="1">
      <alignment/>
    </xf>
    <xf numFmtId="10" fontId="22" fillId="41" borderId="14" xfId="0" applyNumberFormat="1" applyFont="1" applyFill="1" applyBorder="1" applyAlignment="1">
      <alignment/>
    </xf>
    <xf numFmtId="3" fontId="39" fillId="41" borderId="10" xfId="0" applyNumberFormat="1" applyFont="1" applyFill="1" applyBorder="1" applyAlignment="1">
      <alignment/>
    </xf>
    <xf numFmtId="10" fontId="22" fillId="41" borderId="10" xfId="0" applyNumberFormat="1" applyFont="1" applyFill="1" applyBorder="1" applyAlignment="1">
      <alignment/>
    </xf>
    <xf numFmtId="0" fontId="31" fillId="41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 wrapText="1"/>
    </xf>
    <xf numFmtId="164" fontId="21" fillId="35" borderId="0" xfId="0" applyNumberFormat="1" applyFont="1" applyFill="1" applyBorder="1" applyAlignment="1">
      <alignment vertical="center" wrapText="1"/>
    </xf>
    <xf numFmtId="168" fontId="22" fillId="0" borderId="22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wrapText="1"/>
    </xf>
    <xf numFmtId="0" fontId="31" fillId="0" borderId="86" xfId="0" applyFont="1" applyBorder="1" applyAlignment="1">
      <alignment/>
    </xf>
    <xf numFmtId="0" fontId="31" fillId="0" borderId="79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69" xfId="0" applyFont="1" applyBorder="1" applyAlignment="1">
      <alignment/>
    </xf>
    <xf numFmtId="0" fontId="31" fillId="0" borderId="89" xfId="0" applyFont="1" applyBorder="1" applyAlignment="1">
      <alignment/>
    </xf>
    <xf numFmtId="0" fontId="31" fillId="0" borderId="58" xfId="0" applyFont="1" applyBorder="1" applyAlignment="1">
      <alignment/>
    </xf>
    <xf numFmtId="0" fontId="30" fillId="0" borderId="51" xfId="0" applyFont="1" applyBorder="1" applyAlignment="1">
      <alignment/>
    </xf>
    <xf numFmtId="0" fontId="30" fillId="0" borderId="61" xfId="0" applyFont="1" applyBorder="1" applyAlignment="1">
      <alignment/>
    </xf>
    <xf numFmtId="0" fontId="30" fillId="0" borderId="42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85" xfId="0" applyFont="1" applyBorder="1" applyAlignment="1">
      <alignment/>
    </xf>
    <xf numFmtId="0" fontId="31" fillId="0" borderId="5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58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31" fillId="0" borderId="87" xfId="0" applyFont="1" applyBorder="1" applyAlignment="1">
      <alignment/>
    </xf>
    <xf numFmtId="0" fontId="31" fillId="0" borderId="48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41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 applyProtection="1">
      <alignment horizontal="center" vertical="center"/>
      <protection/>
    </xf>
    <xf numFmtId="164" fontId="4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8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98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80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 horizontal="center"/>
      <protection/>
    </xf>
    <xf numFmtId="0" fontId="8" fillId="0" borderId="88" xfId="0" applyFont="1" applyFill="1" applyBorder="1" applyAlignment="1" applyProtection="1">
      <alignment horizontal="center"/>
      <protection/>
    </xf>
    <xf numFmtId="0" fontId="18" fillId="0" borderId="68" xfId="0" applyFont="1" applyFill="1" applyBorder="1" applyAlignment="1" applyProtection="1">
      <alignment horizontal="left" indent="1"/>
      <protection locked="0"/>
    </xf>
    <xf numFmtId="0" fontId="18" fillId="0" borderId="85" xfId="0" applyFont="1" applyFill="1" applyBorder="1" applyAlignment="1" applyProtection="1">
      <alignment horizontal="left" indent="1"/>
      <protection locked="0"/>
    </xf>
    <xf numFmtId="0" fontId="18" fillId="0" borderId="72" xfId="0" applyFont="1" applyFill="1" applyBorder="1" applyAlignment="1" applyProtection="1">
      <alignment horizontal="left" indent="1"/>
      <protection locked="0"/>
    </xf>
    <xf numFmtId="0" fontId="18" fillId="0" borderId="70" xfId="0" applyFont="1" applyFill="1" applyBorder="1" applyAlignment="1" applyProtection="1">
      <alignment horizontal="left" indent="1"/>
      <protection locked="0"/>
    </xf>
    <xf numFmtId="0" fontId="18" fillId="0" borderId="71" xfId="0" applyFont="1" applyFill="1" applyBorder="1" applyAlignment="1" applyProtection="1">
      <alignment horizontal="left" indent="1"/>
      <protection locked="0"/>
    </xf>
    <xf numFmtId="0" fontId="18" fillId="0" borderId="67" xfId="0" applyFont="1" applyFill="1" applyBorder="1" applyAlignment="1" applyProtection="1">
      <alignment horizontal="left" indent="1"/>
      <protection locked="0"/>
    </xf>
    <xf numFmtId="0" fontId="8" fillId="0" borderId="51" xfId="0" applyFont="1" applyFill="1" applyBorder="1" applyAlignment="1" applyProtection="1">
      <alignment horizontal="left" indent="1"/>
      <protection/>
    </xf>
    <xf numFmtId="0" fontId="8" fillId="0" borderId="61" xfId="0" applyFont="1" applyFill="1" applyBorder="1" applyAlignment="1" applyProtection="1">
      <alignment horizontal="left" indent="1"/>
      <protection/>
    </xf>
    <xf numFmtId="0" fontId="8" fillId="0" borderId="45" xfId="0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right" indent="1"/>
      <protection locked="0"/>
    </xf>
    <xf numFmtId="0" fontId="18" fillId="0" borderId="18" xfId="0" applyFont="1" applyFill="1" applyBorder="1" applyAlignment="1" applyProtection="1">
      <alignment horizontal="right" indent="1"/>
      <protection locked="0"/>
    </xf>
    <xf numFmtId="0" fontId="18" fillId="0" borderId="11" xfId="0" applyFont="1" applyFill="1" applyBorder="1" applyAlignment="1" applyProtection="1">
      <alignment horizontal="right" indent="1"/>
      <protection locked="0"/>
    </xf>
    <xf numFmtId="0" fontId="18" fillId="0" borderId="16" xfId="0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right" indent="1"/>
      <protection/>
    </xf>
    <xf numFmtId="0" fontId="16" fillId="0" borderId="19" xfId="0" applyFont="1" applyFill="1" applyBorder="1" applyAlignment="1" applyProtection="1">
      <alignment horizontal="right" indent="1"/>
      <protection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center" vertical="center"/>
    </xf>
    <xf numFmtId="10" fontId="23" fillId="0" borderId="35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 vertical="center"/>
    </xf>
    <xf numFmtId="3" fontId="14" fillId="37" borderId="61" xfId="0" applyNumberFormat="1" applyFont="1" applyFill="1" applyBorder="1" applyAlignment="1">
      <alignment horizontal="center" vertical="center"/>
    </xf>
    <xf numFmtId="3" fontId="14" fillId="37" borderId="42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/>
    </xf>
    <xf numFmtId="3" fontId="14" fillId="37" borderId="61" xfId="0" applyNumberFormat="1" applyFont="1" applyFill="1" applyBorder="1" applyAlignment="1">
      <alignment horizontal="center"/>
    </xf>
    <xf numFmtId="3" fontId="14" fillId="37" borderId="4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0" fontId="23" fillId="0" borderId="16" xfId="0" applyNumberFormat="1" applyFont="1" applyFill="1" applyBorder="1" applyAlignment="1">
      <alignment horizontal="center" vertical="center" wrapText="1"/>
    </xf>
    <xf numFmtId="10" fontId="23" fillId="0" borderId="44" xfId="0" applyNumberFormat="1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right"/>
    </xf>
    <xf numFmtId="0" fontId="49" fillId="0" borderId="41" xfId="0" applyFont="1" applyBorder="1" applyAlignment="1">
      <alignment horizontal="right"/>
    </xf>
    <xf numFmtId="0" fontId="21" fillId="0" borderId="8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0" fontId="21" fillId="0" borderId="16" xfId="0" applyNumberFormat="1" applyFont="1" applyFill="1" applyBorder="1" applyAlignment="1">
      <alignment horizontal="center" vertical="center"/>
    </xf>
    <xf numFmtId="10" fontId="21" fillId="0" borderId="29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10" fontId="21" fillId="0" borderId="35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86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10" fontId="51" fillId="0" borderId="16" xfId="0" applyNumberFormat="1" applyFont="1" applyFill="1" applyBorder="1" applyAlignment="1">
      <alignment horizontal="center" vertical="center" wrapText="1"/>
    </xf>
    <xf numFmtId="10" fontId="51" fillId="0" borderId="44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right" vertical="center"/>
    </xf>
    <xf numFmtId="0" fontId="49" fillId="0" borderId="41" xfId="0" applyFont="1" applyBorder="1" applyAlignment="1">
      <alignment horizontal="right" vertical="center"/>
    </xf>
    <xf numFmtId="0" fontId="51" fillId="0" borderId="80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85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5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37" borderId="40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3" fontId="14" fillId="37" borderId="40" xfId="0" applyNumberFormat="1" applyFont="1" applyFill="1" applyBorder="1" applyAlignment="1">
      <alignment horizontal="center" vertical="center"/>
    </xf>
    <xf numFmtId="3" fontId="14" fillId="37" borderId="17" xfId="0" applyNumberFormat="1" applyFont="1" applyFill="1" applyBorder="1" applyAlignment="1">
      <alignment horizontal="center" vertical="center"/>
    </xf>
    <xf numFmtId="3" fontId="14" fillId="37" borderId="30" xfId="0" applyNumberFormat="1" applyFont="1" applyFill="1" applyBorder="1" applyAlignment="1">
      <alignment horizontal="center" vertical="center"/>
    </xf>
    <xf numFmtId="3" fontId="14" fillId="37" borderId="31" xfId="0" applyNumberFormat="1" applyFont="1" applyFill="1" applyBorder="1" applyAlignment="1">
      <alignment horizontal="center" vertical="center"/>
    </xf>
    <xf numFmtId="3" fontId="14" fillId="37" borderId="50" xfId="0" applyNumberFormat="1" applyFont="1" applyFill="1" applyBorder="1" applyAlignment="1">
      <alignment horizontal="center" vertical="center"/>
    </xf>
    <xf numFmtId="3" fontId="14" fillId="37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>
      <alignment horizontal="center" textRotation="180"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left"/>
      <protection/>
    </xf>
    <xf numFmtId="0" fontId="8" fillId="0" borderId="12" xfId="56" applyFont="1" applyFill="1" applyBorder="1" applyAlignment="1" applyProtection="1">
      <alignment horizontal="left"/>
      <protection/>
    </xf>
    <xf numFmtId="0" fontId="18" fillId="0" borderId="53" xfId="56" applyFont="1" applyFill="1" applyBorder="1" applyAlignment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40" xfId="56" applyFont="1" applyFill="1" applyBorder="1" applyAlignment="1">
      <alignment horizontal="center" vertical="center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9" fillId="0" borderId="64" xfId="0" applyNumberFormat="1" applyFont="1" applyFill="1" applyBorder="1" applyAlignment="1" applyProtection="1">
      <alignment horizontal="center" textRotation="180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83" xfId="0" applyNumberFormat="1" applyFont="1" applyFill="1" applyBorder="1" applyAlignment="1" applyProtection="1">
      <alignment horizontal="center" vertical="center"/>
      <protection/>
    </xf>
    <xf numFmtId="164" fontId="8" fillId="0" borderId="68" xfId="0" applyNumberFormat="1" applyFont="1" applyFill="1" applyBorder="1" applyAlignment="1" applyProtection="1">
      <alignment horizontal="center" vertical="center"/>
      <protection/>
    </xf>
    <xf numFmtId="164" fontId="8" fillId="0" borderId="85" xfId="0" applyNumberFormat="1" applyFont="1" applyFill="1" applyBorder="1" applyAlignment="1" applyProtection="1">
      <alignment horizontal="center" vertical="center"/>
      <protection/>
    </xf>
    <xf numFmtId="164" fontId="8" fillId="0" borderId="52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18" fillId="0" borderId="53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37" xfId="57" applyFont="1" applyFill="1" applyBorder="1" applyAlignment="1" applyProtection="1">
      <alignment horizontal="left" vertical="center" indent="1"/>
      <protection/>
    </xf>
    <xf numFmtId="0" fontId="17" fillId="0" borderId="61" xfId="57" applyFont="1" applyFill="1" applyBorder="1" applyAlignment="1" applyProtection="1">
      <alignment horizontal="left" vertical="center" indent="1"/>
      <protection/>
    </xf>
    <xf numFmtId="0" fontId="17" fillId="0" borderId="42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17" fillId="0" borderId="41" xfId="56" applyNumberFormat="1" applyFont="1" applyFill="1" applyBorder="1" applyAlignment="1" applyProtection="1">
      <alignment horizontal="left" vertical="center"/>
      <protection/>
    </xf>
    <xf numFmtId="164" fontId="17" fillId="0" borderId="41" xfId="56" applyNumberFormat="1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8" fillId="0" borderId="51" xfId="0" applyFont="1" applyBorder="1" applyAlignment="1" applyProtection="1">
      <alignment horizontal="left" vertical="center" indent="2"/>
      <protection/>
    </xf>
    <xf numFmtId="0" fontId="8" fillId="0" borderId="45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externalLink" Target="externalLinks/externalLink2.xml" /><Relationship Id="rId64" Type="http://schemas.openxmlformats.org/officeDocument/2006/relationships/externalLink" Target="externalLinks/externalLink3.xml" /><Relationship Id="rId65" Type="http://schemas.openxmlformats.org/officeDocument/2006/relationships/externalLink" Target="externalLinks/externalLink4.xml" /><Relationship Id="rId6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226</xdr:row>
      <xdr:rowOff>85725</xdr:rowOff>
    </xdr:from>
    <xdr:ext cx="1047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10287000" y="36690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225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239500" y="36423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10</xdr:col>
      <xdr:colOff>0</xdr:colOff>
      <xdr:row>225</xdr:row>
      <xdr:rowOff>0</xdr:rowOff>
    </xdr:from>
    <xdr:ext cx="5810250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5363825" y="36423600"/>
          <a:ext cx="5810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225</xdr:row>
      <xdr:rowOff>0</xdr:rowOff>
    </xdr:from>
    <xdr:ext cx="14287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1239500" y="364236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581025</xdr:colOff>
      <xdr:row>225</xdr:row>
      <xdr:rowOff>0</xdr:rowOff>
    </xdr:from>
    <xdr:ext cx="1047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2163425" y="36423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225</xdr:row>
      <xdr:rowOff>0</xdr:rowOff>
    </xdr:from>
    <xdr:ext cx="10477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1239500" y="36423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226</xdr:row>
      <xdr:rowOff>85725</xdr:rowOff>
    </xdr:from>
    <xdr:ext cx="104775" cy="180975"/>
    <xdr:sp fLocksText="0">
      <xdr:nvSpPr>
        <xdr:cNvPr id="7" name="Text Box 2"/>
        <xdr:cNvSpPr txBox="1">
          <a:spLocks noChangeArrowheads="1"/>
        </xdr:cNvSpPr>
      </xdr:nvSpPr>
      <xdr:spPr>
        <a:xfrm>
          <a:off x="11239500" y="36690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226</xdr:row>
      <xdr:rowOff>0</xdr:rowOff>
    </xdr:from>
    <xdr:ext cx="142875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11239500" y="366045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581025</xdr:colOff>
      <xdr:row>226</xdr:row>
      <xdr:rowOff>0</xdr:rowOff>
    </xdr:from>
    <xdr:ext cx="104775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2163425" y="366045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226</xdr:row>
      <xdr:rowOff>85725</xdr:rowOff>
    </xdr:from>
    <xdr:ext cx="104775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3058775" y="36690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225</xdr:row>
      <xdr:rowOff>0</xdr:rowOff>
    </xdr:from>
    <xdr:ext cx="104775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4144625" y="36423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225</xdr:row>
      <xdr:rowOff>0</xdr:rowOff>
    </xdr:from>
    <xdr:ext cx="142875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4144625" y="36423600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581025</xdr:colOff>
      <xdr:row>225</xdr:row>
      <xdr:rowOff>0</xdr:rowOff>
    </xdr:from>
    <xdr:ext cx="104775" cy="180975"/>
    <xdr:sp fLocksText="0">
      <xdr:nvSpPr>
        <xdr:cNvPr id="13" name="Text Box 2"/>
        <xdr:cNvSpPr txBox="1">
          <a:spLocks noChangeArrowheads="1"/>
        </xdr:cNvSpPr>
      </xdr:nvSpPr>
      <xdr:spPr>
        <a:xfrm>
          <a:off x="15135225" y="36423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225</xdr:row>
      <xdr:rowOff>0</xdr:rowOff>
    </xdr:from>
    <xdr:ext cx="104775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14144625" y="364236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226</xdr:row>
      <xdr:rowOff>85725</xdr:rowOff>
    </xdr:from>
    <xdr:ext cx="104775" cy="180975"/>
    <xdr:sp fLocksText="0">
      <xdr:nvSpPr>
        <xdr:cNvPr id="15" name="Text Box 2"/>
        <xdr:cNvSpPr txBox="1">
          <a:spLocks noChangeArrowheads="1"/>
        </xdr:cNvSpPr>
      </xdr:nvSpPr>
      <xdr:spPr>
        <a:xfrm>
          <a:off x="14144625" y="3669030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226</xdr:row>
      <xdr:rowOff>0</xdr:rowOff>
    </xdr:from>
    <xdr:ext cx="14287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4144625" y="366045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581025</xdr:colOff>
      <xdr:row>226</xdr:row>
      <xdr:rowOff>0</xdr:rowOff>
    </xdr:from>
    <xdr:ext cx="104775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5135225" y="3660457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91</xdr:row>
      <xdr:rowOff>85725</xdr:rowOff>
    </xdr:from>
    <xdr:ext cx="1047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931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047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02679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10</xdr:col>
      <xdr:colOff>0</xdr:colOff>
      <xdr:row>90</xdr:row>
      <xdr:rowOff>0</xdr:rowOff>
    </xdr:from>
    <xdr:ext cx="29622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4439900" y="16859250"/>
          <a:ext cx="2962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2382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102679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6</xdr:col>
      <xdr:colOff>581025</xdr:colOff>
      <xdr:row>90</xdr:row>
      <xdr:rowOff>0</xdr:rowOff>
    </xdr:from>
    <xdr:ext cx="1047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11191875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90</xdr:row>
      <xdr:rowOff>0</xdr:rowOff>
    </xdr:from>
    <xdr:ext cx="104775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102679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91</xdr:row>
      <xdr:rowOff>85725</xdr:rowOff>
    </xdr:from>
    <xdr:ext cx="10477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02679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120396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9" name="Text Box 2"/>
        <xdr:cNvSpPr txBox="1">
          <a:spLocks noChangeArrowheads="1"/>
        </xdr:cNvSpPr>
      </xdr:nvSpPr>
      <xdr:spPr>
        <a:xfrm>
          <a:off x="131254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23825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131254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9</xdr:col>
      <xdr:colOff>590550</xdr:colOff>
      <xdr:row>90</xdr:row>
      <xdr:rowOff>0</xdr:rowOff>
    </xdr:from>
    <xdr:ext cx="104775" cy="180975"/>
    <xdr:sp fLocksText="0">
      <xdr:nvSpPr>
        <xdr:cNvPr id="11" name="Text Box 2"/>
        <xdr:cNvSpPr txBox="1">
          <a:spLocks noChangeArrowheads="1"/>
        </xdr:cNvSpPr>
      </xdr:nvSpPr>
      <xdr:spPr>
        <a:xfrm>
          <a:off x="14125575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131254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1312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5</xdr:col>
      <xdr:colOff>581025</xdr:colOff>
      <xdr:row>91</xdr:row>
      <xdr:rowOff>85725</xdr:rowOff>
    </xdr:from>
    <xdr:ext cx="104775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102679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15" name="Text Box 2"/>
        <xdr:cNvSpPr txBox="1">
          <a:spLocks noChangeArrowheads="1"/>
        </xdr:cNvSpPr>
      </xdr:nvSpPr>
      <xdr:spPr>
        <a:xfrm>
          <a:off x="120396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31254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23825" cy="180975"/>
    <xdr:sp fLocksText="0">
      <xdr:nvSpPr>
        <xdr:cNvPr id="17" name="Text Box 2"/>
        <xdr:cNvSpPr txBox="1">
          <a:spLocks noChangeArrowheads="1"/>
        </xdr:cNvSpPr>
      </xdr:nvSpPr>
      <xdr:spPr>
        <a:xfrm>
          <a:off x="13125450" y="168592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90</xdr:row>
      <xdr:rowOff>0</xdr:rowOff>
    </xdr:from>
    <xdr:ext cx="104775" cy="180975"/>
    <xdr:sp fLocksText="0">
      <xdr:nvSpPr>
        <xdr:cNvPr id="18" name="Text Box 2"/>
        <xdr:cNvSpPr txBox="1">
          <a:spLocks noChangeArrowheads="1"/>
        </xdr:cNvSpPr>
      </xdr:nvSpPr>
      <xdr:spPr>
        <a:xfrm>
          <a:off x="13125450" y="168592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1312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312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7</xdr:col>
      <xdr:colOff>590550</xdr:colOff>
      <xdr:row>91</xdr:row>
      <xdr:rowOff>85725</xdr:rowOff>
    </xdr:from>
    <xdr:ext cx="10477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1203960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1312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  <xdr:oneCellAnchor>
    <xdr:from>
      <xdr:col>8</xdr:col>
      <xdr:colOff>581025</xdr:colOff>
      <xdr:row>91</xdr:row>
      <xdr:rowOff>85725</xdr:rowOff>
    </xdr:from>
    <xdr:ext cx="10477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13125450" y="171354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4\2014_rendelet\2014_rendelet_mell&#233;klet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5\2015_k&#246;lts&#233;gvet&#233;s\Zsuzsa\2015_&#246;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sato.anita\Application%20Data\Microsoft\Excel\2014_K&#214;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usz.siofok.local\csato.anita\Desktop\Anita\K&#246;lts&#233;gvet&#233;s\2015\2015_k&#246;lts&#233;gvet&#233;s\Zsuzsa\2015_K&#214;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"/>
      <sheetName val="2"/>
      <sheetName val="3"/>
      <sheetName val="4"/>
      <sheetName val="4.1"/>
      <sheetName val="4.2"/>
      <sheetName val="4.3"/>
      <sheetName val="5.1"/>
      <sheetName val="5.2"/>
      <sheetName val="ELLENŐRZÉS-1.sz.2.a.sz.2.b.sz."/>
      <sheetName val="5.sz.mell."/>
      <sheetName val="6"/>
      <sheetName val="7"/>
      <sheetName val="8"/>
      <sheetName val="9"/>
      <sheetName val="Ö1"/>
      <sheetName val="Ö2"/>
      <sheetName val="Ö3"/>
      <sheetName val="9.1"/>
      <sheetName val="9.2"/>
      <sheetName val="9.3"/>
      <sheetName val="10"/>
      <sheetName val="K1"/>
      <sheetName val="K2"/>
      <sheetName val="K3"/>
      <sheetName val="10.1"/>
      <sheetName val="10.2"/>
      <sheetName val="10.3"/>
      <sheetName val="11"/>
      <sheetName val="11.1"/>
      <sheetName val="11.2"/>
      <sheetName val="11.3"/>
      <sheetName val="12"/>
      <sheetName val="12.1"/>
      <sheetName val="12.2"/>
      <sheetName val="12.3"/>
      <sheetName val="13"/>
      <sheetName val="13.1"/>
      <sheetName val="13.2"/>
      <sheetName val="13.3"/>
      <sheetName val="14"/>
      <sheetName val="14.1"/>
      <sheetName val="14.2"/>
      <sheetName val="14.3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1. sz tájékoztató t."/>
      <sheetName val="6.sz tájékoztató t."/>
    </sheetNames>
    <sheetDataSet>
      <sheetData sheetId="18">
        <row r="297">
          <cell r="D297">
            <v>2809323</v>
          </cell>
        </row>
      </sheetData>
      <sheetData sheetId="29">
        <row r="51">
          <cell r="C51">
            <v>1625</v>
          </cell>
        </row>
      </sheetData>
      <sheetData sheetId="33">
        <row r="51">
          <cell r="C51">
            <v>8270</v>
          </cell>
        </row>
      </sheetData>
      <sheetData sheetId="37">
        <row r="51">
          <cell r="C51">
            <v>17900</v>
          </cell>
        </row>
      </sheetData>
      <sheetData sheetId="41">
        <row r="51">
          <cell r="C51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  1a"/>
      <sheetName val="  1b"/>
      <sheetName val="1b"/>
      <sheetName val="2"/>
      <sheetName val="2a"/>
      <sheetName val="2b"/>
      <sheetName val="2c"/>
      <sheetName val="3"/>
      <sheetName val="Fejlesztés (2012)"/>
      <sheetName val="6.sz."/>
      <sheetName val="7.sz"/>
      <sheetName val="8.sz."/>
      <sheetName val="9.sz."/>
      <sheetName val="10.sz"/>
      <sheetName val="11.sz."/>
      <sheetName val="12.sz"/>
      <sheetName val="13.sz."/>
      <sheetName val="3_m"/>
      <sheetName val="3 (2)"/>
      <sheetName val="4"/>
      <sheetName val="HERKE"/>
      <sheetName val="2015_norm"/>
    </sheetNames>
    <sheetDataSet>
      <sheetData sheetId="1">
        <row r="3">
          <cell r="A3" t="str">
            <v>2015. év</v>
          </cell>
        </row>
      </sheetData>
      <sheetData sheetId="2">
        <row r="171">
          <cell r="H171">
            <v>229012</v>
          </cell>
        </row>
      </sheetData>
      <sheetData sheetId="6">
        <row r="7">
          <cell r="B7" t="str">
            <v>Városüzemeltetés</v>
          </cell>
        </row>
        <row r="8">
          <cell r="B8" t="str">
            <v>2/A melléklet szerint</v>
          </cell>
        </row>
        <row r="9">
          <cell r="B9" t="str">
            <v>Közművelődés</v>
          </cell>
        </row>
        <row r="10">
          <cell r="B10" t="str">
            <v>2/B melléklet szerint</v>
          </cell>
        </row>
        <row r="22">
          <cell r="B22" t="str">
            <v>Szociálpolitikai feladatok</v>
          </cell>
        </row>
        <row r="28">
          <cell r="B28" t="str">
            <v>Egyéb feladatok</v>
          </cell>
        </row>
      </sheetData>
      <sheetData sheetId="7">
        <row r="26">
          <cell r="B26">
            <v>917621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talék"/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  <sheetName val="számolás"/>
    </sheetNames>
    <sheetDataSet>
      <sheetData sheetId="1">
        <row r="32">
          <cell r="D32">
            <v>719276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2"/>
      <sheetName val="2-1"/>
      <sheetName val="3"/>
      <sheetName val="4"/>
      <sheetName val="5"/>
      <sheetName val="6"/>
      <sheetName val="Siófok"/>
      <sheetName val="Siójut"/>
      <sheetName val="B.világos"/>
      <sheetName val="2015_norm"/>
      <sheetName val="parkoló"/>
    </sheetNames>
    <sheetDataSet>
      <sheetData sheetId="1">
        <row r="64">
          <cell r="H64">
            <v>35100</v>
          </cell>
        </row>
      </sheetData>
      <sheetData sheetId="3">
        <row r="2">
          <cell r="A2" t="str">
            <v>SIÓFOKI KÖZÖS ÖNKORMÁNYZATI HIVATAL MŰKÖDÉSI KIADÁSAI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148</v>
      </c>
    </row>
    <row r="4" spans="1:2" ht="12.75">
      <c r="A4" s="118"/>
      <c r="B4" s="118"/>
    </row>
    <row r="5" spans="1:2" s="124" customFormat="1" ht="15.75">
      <c r="A5" s="72" t="s">
        <v>432</v>
      </c>
      <c r="B5" s="123"/>
    </row>
    <row r="6" spans="1:2" ht="12.75">
      <c r="A6" s="118"/>
      <c r="B6" s="118"/>
    </row>
    <row r="7" spans="1:2" ht="12.75">
      <c r="A7" s="118" t="s">
        <v>540</v>
      </c>
      <c r="B7" s="118" t="s">
        <v>486</v>
      </c>
    </row>
    <row r="8" spans="1:2" ht="12.75">
      <c r="A8" s="118" t="s">
        <v>541</v>
      </c>
      <c r="B8" s="118" t="s">
        <v>487</v>
      </c>
    </row>
    <row r="9" spans="1:2" ht="12.75">
      <c r="A9" s="118" t="s">
        <v>542</v>
      </c>
      <c r="B9" s="118" t="s">
        <v>488</v>
      </c>
    </row>
    <row r="10" spans="1:2" ht="12.75">
      <c r="A10" s="118"/>
      <c r="B10" s="118"/>
    </row>
    <row r="11" spans="1:2" ht="12.75">
      <c r="A11" s="118"/>
      <c r="B11" s="118"/>
    </row>
    <row r="12" spans="1:2" s="124" customFormat="1" ht="15.75">
      <c r="A12" s="72" t="str">
        <f>+CONCATENATE(LEFT(A5,4),". évi előirányzat KIADÁSOK")</f>
        <v>2015. évi előirányzat KIADÁSOK</v>
      </c>
      <c r="B12" s="123"/>
    </row>
    <row r="13" spans="1:2" ht="12.75">
      <c r="A13" s="118"/>
      <c r="B13" s="118"/>
    </row>
    <row r="14" spans="1:2" ht="12.75">
      <c r="A14" s="118" t="s">
        <v>543</v>
      </c>
      <c r="B14" s="118" t="s">
        <v>489</v>
      </c>
    </row>
    <row r="15" spans="1:2" ht="12.75">
      <c r="A15" s="118" t="s">
        <v>544</v>
      </c>
      <c r="B15" s="118" t="s">
        <v>490</v>
      </c>
    </row>
    <row r="16" spans="1:2" ht="12.75">
      <c r="A16" s="118" t="s">
        <v>545</v>
      </c>
      <c r="B16" s="118" t="s">
        <v>491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4" zoomScaleNormal="114" zoomScaleSheetLayoutView="115" zoomScalePageLayoutView="0" workbookViewId="0" topLeftCell="A1">
      <selection activeCell="A1" sqref="A1"/>
    </sheetView>
  </sheetViews>
  <sheetFormatPr defaultColWidth="9.375" defaultRowHeight="12.75"/>
  <cols>
    <col min="1" max="1" width="6.875" style="40" customWidth="1"/>
    <col min="2" max="2" width="55.125" style="173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7" width="4.625" style="40" hidden="1" customWidth="1"/>
    <col min="8" max="8" width="0" style="40" hidden="1" customWidth="1"/>
    <col min="9" max="16384" width="9.375" style="40" customWidth="1"/>
  </cols>
  <sheetData>
    <row r="1" spans="2:6" ht="31.5">
      <c r="B1" s="261" t="s">
        <v>156</v>
      </c>
      <c r="C1" s="262"/>
      <c r="D1" s="262"/>
      <c r="E1" s="262"/>
      <c r="F1" s="1436"/>
    </row>
    <row r="2" spans="1:6" s="264" customFormat="1" ht="14.25" thickBot="1">
      <c r="A2" s="40"/>
      <c r="B2" s="173"/>
      <c r="C2" s="40"/>
      <c r="D2" s="40"/>
      <c r="E2" s="263" t="s">
        <v>61</v>
      </c>
      <c r="F2" s="1436"/>
    </row>
    <row r="3" spans="1:6" s="264" customFormat="1" ht="26.25" thickBot="1">
      <c r="A3" s="532" t="s">
        <v>65</v>
      </c>
      <c r="B3" s="504" t="s">
        <v>56</v>
      </c>
      <c r="C3" s="505"/>
      <c r="D3" s="504" t="s">
        <v>57</v>
      </c>
      <c r="E3" s="506"/>
      <c r="F3" s="1436"/>
    </row>
    <row r="4" spans="1:6" ht="12.75" customHeight="1" thickBot="1">
      <c r="A4" s="533"/>
      <c r="B4" s="504" t="s">
        <v>62</v>
      </c>
      <c r="C4" s="505" t="str">
        <f>+'5.1'!C4</f>
        <v>2015. évi előirányzat</v>
      </c>
      <c r="D4" s="504" t="s">
        <v>62</v>
      </c>
      <c r="E4" s="506" t="str">
        <f>+'5.1'!C4</f>
        <v>2015. évi előirányzat</v>
      </c>
      <c r="F4" s="1436"/>
    </row>
    <row r="5" spans="1:6" ht="13.5" thickBot="1">
      <c r="A5" s="507" t="s">
        <v>492</v>
      </c>
      <c r="B5" s="504" t="s">
        <v>493</v>
      </c>
      <c r="C5" s="505" t="s">
        <v>494</v>
      </c>
      <c r="D5" s="504" t="s">
        <v>496</v>
      </c>
      <c r="E5" s="506" t="s">
        <v>495</v>
      </c>
      <c r="F5" s="1436"/>
    </row>
    <row r="6" spans="1:6" ht="12.75" customHeight="1">
      <c r="A6" s="508" t="s">
        <v>17</v>
      </c>
      <c r="B6" s="509" t="s">
        <v>384</v>
      </c>
      <c r="C6" s="510">
        <f>4!C19</f>
        <v>1885940</v>
      </c>
      <c r="D6" s="509" t="s">
        <v>228</v>
      </c>
      <c r="E6" s="511">
        <f>4!C115</f>
        <v>2909311</v>
      </c>
      <c r="F6" s="1436"/>
    </row>
    <row r="7" spans="1:6" ht="12.75" customHeight="1">
      <c r="A7" s="512" t="s">
        <v>18</v>
      </c>
      <c r="B7" s="513" t="s">
        <v>385</v>
      </c>
      <c r="C7" s="514">
        <f>4!C25</f>
        <v>1119752</v>
      </c>
      <c r="D7" s="513" t="s">
        <v>390</v>
      </c>
      <c r="E7" s="511">
        <f>4!C116</f>
        <v>1147846</v>
      </c>
      <c r="F7" s="1436"/>
    </row>
    <row r="8" spans="1:6" ht="12.75" customHeight="1">
      <c r="A8" s="512" t="s">
        <v>19</v>
      </c>
      <c r="B8" s="513" t="s">
        <v>8</v>
      </c>
      <c r="C8" s="514">
        <f>4!C46</f>
        <v>500000</v>
      </c>
      <c r="D8" s="513" t="s">
        <v>184</v>
      </c>
      <c r="E8" s="511">
        <f>4!C117</f>
        <v>132032</v>
      </c>
      <c r="F8" s="1436"/>
    </row>
    <row r="9" spans="1:6" ht="12.75" customHeight="1">
      <c r="A9" s="512" t="s">
        <v>20</v>
      </c>
      <c r="B9" s="513" t="s">
        <v>386</v>
      </c>
      <c r="C9" s="514">
        <f>4!C57</f>
        <v>126622</v>
      </c>
      <c r="D9" s="513" t="s">
        <v>391</v>
      </c>
      <c r="E9" s="511">
        <f>4!C118</f>
        <v>0</v>
      </c>
      <c r="F9" s="1436"/>
    </row>
    <row r="10" spans="1:6" ht="12.75" customHeight="1">
      <c r="A10" s="512" t="s">
        <v>21</v>
      </c>
      <c r="B10" s="513" t="s">
        <v>387</v>
      </c>
      <c r="C10" s="514">
        <f>4!C61</f>
        <v>0</v>
      </c>
      <c r="D10" s="513" t="s">
        <v>231</v>
      </c>
      <c r="E10" s="511">
        <f>4!C119</f>
        <v>1056446</v>
      </c>
      <c r="F10" s="1436"/>
    </row>
    <row r="11" spans="1:6" ht="12.75" customHeight="1">
      <c r="A11" s="512" t="s">
        <v>22</v>
      </c>
      <c r="B11" s="513" t="s">
        <v>388</v>
      </c>
      <c r="C11" s="516"/>
      <c r="D11" s="534"/>
      <c r="E11" s="517"/>
      <c r="F11" s="1436"/>
    </row>
    <row r="12" spans="1:6" ht="12.75" customHeight="1">
      <c r="A12" s="512" t="s">
        <v>23</v>
      </c>
      <c r="B12" s="518"/>
      <c r="C12" s="514"/>
      <c r="D12" s="534"/>
      <c r="E12" s="517"/>
      <c r="F12" s="1436"/>
    </row>
    <row r="13" spans="1:6" ht="12.75">
      <c r="A13" s="512" t="s">
        <v>24</v>
      </c>
      <c r="B13" s="518"/>
      <c r="C13" s="514"/>
      <c r="D13" s="534"/>
      <c r="E13" s="517"/>
      <c r="F13" s="1436"/>
    </row>
    <row r="14" spans="1:6" ht="12.75" customHeight="1">
      <c r="A14" s="512" t="s">
        <v>25</v>
      </c>
      <c r="B14" s="535"/>
      <c r="C14" s="516"/>
      <c r="D14" s="534"/>
      <c r="E14" s="517"/>
      <c r="F14" s="1436"/>
    </row>
    <row r="15" spans="1:6" ht="15.75" customHeight="1">
      <c r="A15" s="512" t="s">
        <v>26</v>
      </c>
      <c r="B15" s="518"/>
      <c r="C15" s="516"/>
      <c r="D15" s="534"/>
      <c r="E15" s="517"/>
      <c r="F15" s="1436"/>
    </row>
    <row r="16" spans="1:6" ht="12.75" customHeight="1" thickBot="1">
      <c r="A16" s="525" t="s">
        <v>27</v>
      </c>
      <c r="B16" s="531"/>
      <c r="C16" s="536"/>
      <c r="D16" s="526" t="s">
        <v>49</v>
      </c>
      <c r="E16" s="528"/>
      <c r="F16" s="1436"/>
    </row>
    <row r="17" spans="1:8" ht="12.75" customHeight="1" thickBot="1">
      <c r="A17" s="266" t="s">
        <v>28</v>
      </c>
      <c r="B17" s="267" t="s">
        <v>398</v>
      </c>
      <c r="C17" s="523">
        <f>+C6+C8+C9+C11+C12+C13+C14+C15+C16</f>
        <v>2512562</v>
      </c>
      <c r="D17" s="267" t="s">
        <v>399</v>
      </c>
      <c r="E17" s="524">
        <f>+E6+E8+E10+E11+E12+E13+E14+E15+E16</f>
        <v>4097789</v>
      </c>
      <c r="F17" s="1436"/>
      <c r="H17" s="40">
        <f>E17-C17</f>
        <v>1585227</v>
      </c>
    </row>
    <row r="18" spans="1:6" ht="12.75" customHeight="1">
      <c r="A18" s="508" t="s">
        <v>29</v>
      </c>
      <c r="B18" s="537" t="s">
        <v>248</v>
      </c>
      <c r="C18" s="538">
        <f>+C19+C20+C21+C22+C23</f>
        <v>0</v>
      </c>
      <c r="D18" s="513" t="s">
        <v>188</v>
      </c>
      <c r="E18" s="511"/>
      <c r="F18" s="1436"/>
    </row>
    <row r="19" spans="1:6" ht="12.75" customHeight="1">
      <c r="A19" s="512" t="s">
        <v>30</v>
      </c>
      <c r="B19" s="539" t="s">
        <v>237</v>
      </c>
      <c r="C19" s="514"/>
      <c r="D19" s="513" t="s">
        <v>191</v>
      </c>
      <c r="E19" s="517"/>
      <c r="F19" s="1436"/>
    </row>
    <row r="20" spans="1:6" ht="12.75" customHeight="1">
      <c r="A20" s="508" t="s">
        <v>31</v>
      </c>
      <c r="B20" s="539" t="s">
        <v>238</v>
      </c>
      <c r="C20" s="514"/>
      <c r="D20" s="513" t="s">
        <v>153</v>
      </c>
      <c r="E20" s="517"/>
      <c r="F20" s="1436"/>
    </row>
    <row r="21" spans="1:6" ht="12.75" customHeight="1">
      <c r="A21" s="512" t="s">
        <v>32</v>
      </c>
      <c r="B21" s="539" t="s">
        <v>239</v>
      </c>
      <c r="C21" s="514"/>
      <c r="D21" s="513" t="s">
        <v>154</v>
      </c>
      <c r="E21" s="517"/>
      <c r="F21" s="1436"/>
    </row>
    <row r="22" spans="1:6" ht="12.75" customHeight="1">
      <c r="A22" s="508" t="s">
        <v>33</v>
      </c>
      <c r="B22" s="539" t="s">
        <v>240</v>
      </c>
      <c r="C22" s="514"/>
      <c r="D22" s="526" t="s">
        <v>234</v>
      </c>
      <c r="E22" s="517"/>
      <c r="F22" s="1436"/>
    </row>
    <row r="23" spans="1:6" ht="12.75" customHeight="1">
      <c r="A23" s="512" t="s">
        <v>34</v>
      </c>
      <c r="B23" s="540" t="s">
        <v>241</v>
      </c>
      <c r="C23" s="514"/>
      <c r="D23" s="513" t="s">
        <v>192</v>
      </c>
      <c r="E23" s="517"/>
      <c r="F23" s="1436"/>
    </row>
    <row r="24" spans="1:6" ht="12.75" customHeight="1">
      <c r="A24" s="508" t="s">
        <v>35</v>
      </c>
      <c r="B24" s="541" t="s">
        <v>242</v>
      </c>
      <c r="C24" s="529">
        <f>+C25+C26+C27+C28+C29</f>
        <v>0</v>
      </c>
      <c r="D24" s="509" t="s">
        <v>190</v>
      </c>
      <c r="E24" s="517"/>
      <c r="F24" s="1436"/>
    </row>
    <row r="25" spans="1:6" ht="12.75" customHeight="1">
      <c r="A25" s="512" t="s">
        <v>36</v>
      </c>
      <c r="B25" s="540" t="s">
        <v>243</v>
      </c>
      <c r="C25" s="514"/>
      <c r="D25" s="509" t="s">
        <v>392</v>
      </c>
      <c r="E25" s="517"/>
      <c r="F25" s="1436"/>
    </row>
    <row r="26" spans="1:6" ht="12.75" customHeight="1">
      <c r="A26" s="508" t="s">
        <v>37</v>
      </c>
      <c r="B26" s="540" t="s">
        <v>244</v>
      </c>
      <c r="C26" s="514"/>
      <c r="D26" s="542"/>
      <c r="E26" s="517"/>
      <c r="F26" s="1436"/>
    </row>
    <row r="27" spans="1:6" ht="12.75" customHeight="1">
      <c r="A27" s="512" t="s">
        <v>38</v>
      </c>
      <c r="B27" s="539" t="s">
        <v>245</v>
      </c>
      <c r="C27" s="514"/>
      <c r="D27" s="542"/>
      <c r="E27" s="517"/>
      <c r="F27" s="1436"/>
    </row>
    <row r="28" spans="1:6" ht="21.75" customHeight="1">
      <c r="A28" s="508" t="s">
        <v>39</v>
      </c>
      <c r="B28" s="543" t="s">
        <v>246</v>
      </c>
      <c r="C28" s="514"/>
      <c r="D28" s="518"/>
      <c r="E28" s="517"/>
      <c r="F28" s="1436"/>
    </row>
    <row r="29" spans="1:6" ht="13.5" thickBot="1">
      <c r="A29" s="512" t="s">
        <v>40</v>
      </c>
      <c r="B29" s="544" t="s">
        <v>247</v>
      </c>
      <c r="C29" s="514"/>
      <c r="D29" s="542"/>
      <c r="E29" s="517"/>
      <c r="F29" s="1436"/>
    </row>
    <row r="30" spans="1:6" ht="26.25" thickBot="1">
      <c r="A30" s="266" t="s">
        <v>41</v>
      </c>
      <c r="B30" s="267" t="s">
        <v>389</v>
      </c>
      <c r="C30" s="523">
        <f>+C18+C24</f>
        <v>0</v>
      </c>
      <c r="D30" s="267" t="s">
        <v>393</v>
      </c>
      <c r="E30" s="524">
        <f>SUM(E18:E29)</f>
        <v>0</v>
      </c>
      <c r="F30" s="1436"/>
    </row>
    <row r="31" spans="1:6" ht="13.5" thickBot="1">
      <c r="A31" s="266" t="s">
        <v>42</v>
      </c>
      <c r="B31" s="267" t="s">
        <v>394</v>
      </c>
      <c r="C31" s="268">
        <f>+C17+C30</f>
        <v>2512562</v>
      </c>
      <c r="D31" s="267" t="s">
        <v>395</v>
      </c>
      <c r="E31" s="268">
        <f>+E17+E30</f>
        <v>4097789</v>
      </c>
      <c r="F31" s="1436"/>
    </row>
    <row r="32" spans="1:5" ht="13.5" thickBot="1">
      <c r="A32" s="266" t="s">
        <v>43</v>
      </c>
      <c r="B32" s="267" t="s">
        <v>166</v>
      </c>
      <c r="C32" s="268">
        <f>IF(C17-E17&lt;0,E17-C17,"-")</f>
        <v>1585227</v>
      </c>
      <c r="D32" s="267" t="s">
        <v>167</v>
      </c>
      <c r="E32" s="268" t="str">
        <f>IF(C17-E17&gt;0,C17-E17,"-")</f>
        <v>-</v>
      </c>
    </row>
    <row r="33" spans="1:5" ht="13.5" thickBot="1">
      <c r="A33" s="266" t="s">
        <v>44</v>
      </c>
      <c r="B33" s="267" t="s">
        <v>235</v>
      </c>
      <c r="C33" s="268">
        <f>IF(C17+C30-E31&lt;0,E31-(C17+C30),"-")</f>
        <v>1585227</v>
      </c>
      <c r="D33" s="267" t="s">
        <v>236</v>
      </c>
      <c r="E33" s="268" t="str">
        <f>IF(C17+C30-E31&gt;0,C17+C30-E31,"-")</f>
        <v>-</v>
      </c>
    </row>
  </sheetData>
  <sheetProtection/>
  <mergeCells count="1">
    <mergeCell ref="F1:F31"/>
  </mergeCells>
  <printOptions horizontalCentered="1"/>
  <pageMargins left="0.31496062992125984" right="0.4724409448818898" top="0.9055118110236221" bottom="0.5118110236220472" header="0.4724409448818898" footer="0.7874015748031497"/>
  <pageSetup horizontalDpi="600" verticalDpi="600" orientation="landscape" paperSize="9" scale="93" r:id="rId1"/>
  <headerFooter alignWithMargins="0">
    <oddHeader>&amp;C&amp;"Times New Roman CE,Félkövér"&amp;12Siófok Város Önkormányzat&amp;R&amp;"Times New Roman CE,Félkövér dőlt"5.2.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09" t="s">
        <v>148</v>
      </c>
      <c r="E1" s="112" t="s">
        <v>152</v>
      </c>
    </row>
    <row r="3" spans="1:5" ht="12.75">
      <c r="A3" s="118"/>
      <c r="B3" s="119"/>
      <c r="C3" s="118"/>
      <c r="D3" s="121"/>
      <c r="E3" s="119"/>
    </row>
    <row r="4" spans="1:5" ht="15.75">
      <c r="A4" s="72" t="str">
        <f>+ÖSSZEFÜGGÉSEK!A5</f>
        <v>2015. évi előirányzat BEVÉTELEK</v>
      </c>
      <c r="B4" s="120"/>
      <c r="C4" s="123"/>
      <c r="D4" s="121"/>
      <c r="E4" s="119"/>
    </row>
    <row r="5" spans="1:5" ht="12.75">
      <c r="A5" s="118"/>
      <c r="B5" s="119"/>
      <c r="C5" s="118"/>
      <c r="D5" s="121"/>
      <c r="E5" s="119"/>
    </row>
    <row r="6" spans="1:5" ht="12.75">
      <c r="A6" s="118" t="s">
        <v>540</v>
      </c>
      <c r="B6" s="119">
        <f>+4!C62</f>
        <v>9878664.91</v>
      </c>
      <c r="C6" s="118" t="s">
        <v>486</v>
      </c>
      <c r="D6" s="121">
        <f>+'5.1'!C18+'5.2'!C17</f>
        <v>9878664.91</v>
      </c>
      <c r="E6" s="119">
        <f aca="true" t="shared" si="0" ref="E6:E15">+B6-D6</f>
        <v>0</v>
      </c>
    </row>
    <row r="7" spans="1:5" ht="12.75">
      <c r="A7" s="118" t="s">
        <v>541</v>
      </c>
      <c r="B7" s="119">
        <f>+4!C86</f>
        <v>1214671</v>
      </c>
      <c r="C7" s="118" t="s">
        <v>487</v>
      </c>
      <c r="D7" s="121">
        <f>+'5.1'!C29+'5.2'!C30</f>
        <v>1214671</v>
      </c>
      <c r="E7" s="119">
        <f t="shared" si="0"/>
        <v>0</v>
      </c>
    </row>
    <row r="8" spans="1:5" ht="12.75">
      <c r="A8" s="118" t="s">
        <v>542</v>
      </c>
      <c r="B8" s="119">
        <f>+4!C87</f>
        <v>11093335.91</v>
      </c>
      <c r="C8" s="118" t="s">
        <v>488</v>
      </c>
      <c r="D8" s="121">
        <f>+'5.1'!C30+'5.2'!C31</f>
        <v>11093335.91</v>
      </c>
      <c r="E8" s="119">
        <f t="shared" si="0"/>
        <v>0</v>
      </c>
    </row>
    <row r="9" spans="1:5" ht="12.75">
      <c r="A9" s="118"/>
      <c r="B9" s="119"/>
      <c r="C9" s="118"/>
      <c r="D9" s="121"/>
      <c r="E9" s="119"/>
    </row>
    <row r="10" spans="1:5" ht="12.75">
      <c r="A10" s="118"/>
      <c r="B10" s="119"/>
      <c r="C10" s="118"/>
      <c r="D10" s="121"/>
      <c r="E10" s="119"/>
    </row>
    <row r="11" spans="1:5" ht="15.75">
      <c r="A11" s="72" t="str">
        <f>+ÖSSZEFÜGGÉSEK!A12</f>
        <v>2015. évi előirányzat KIADÁSOK</v>
      </c>
      <c r="B11" s="120"/>
      <c r="C11" s="123"/>
      <c r="D11" s="121"/>
      <c r="E11" s="119"/>
    </row>
    <row r="12" spans="1:5" ht="12.75">
      <c r="A12" s="118"/>
      <c r="B12" s="119"/>
      <c r="C12" s="118"/>
      <c r="D12" s="121"/>
      <c r="E12" s="119"/>
    </row>
    <row r="13" spans="1:5" ht="12.75">
      <c r="A13" s="118" t="s">
        <v>543</v>
      </c>
      <c r="B13" s="119">
        <f>+4!C128</f>
        <v>10289779</v>
      </c>
      <c r="C13" s="118" t="s">
        <v>489</v>
      </c>
      <c r="D13" s="121">
        <f>+'5.1'!E18+'5.2'!E17</f>
        <v>10289779</v>
      </c>
      <c r="E13" s="119">
        <f t="shared" si="0"/>
        <v>0</v>
      </c>
    </row>
    <row r="14" spans="1:5" ht="12.75">
      <c r="A14" s="118" t="s">
        <v>544</v>
      </c>
      <c r="B14" s="119">
        <f>+4!C153</f>
        <v>803557</v>
      </c>
      <c r="C14" s="118" t="s">
        <v>490</v>
      </c>
      <c r="D14" s="121">
        <f>+'5.1'!E29+'5.2'!E30</f>
        <v>803557</v>
      </c>
      <c r="E14" s="119">
        <f t="shared" si="0"/>
        <v>0</v>
      </c>
    </row>
    <row r="15" spans="1:5" ht="12.75">
      <c r="A15" s="118" t="s">
        <v>545</v>
      </c>
      <c r="B15" s="119">
        <f>+4!C154</f>
        <v>11093336</v>
      </c>
      <c r="C15" s="118" t="s">
        <v>491</v>
      </c>
      <c r="D15" s="121">
        <f>+'5.1'!E30+'5.2'!E31</f>
        <v>11093336</v>
      </c>
      <c r="E15" s="119">
        <f t="shared" si="0"/>
        <v>0</v>
      </c>
    </row>
    <row r="16" spans="1:5" ht="12.75">
      <c r="A16" s="110"/>
      <c r="B16" s="110"/>
      <c r="C16" s="118"/>
      <c r="D16" s="121"/>
      <c r="E16" s="111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</sheetData>
  <sheetProtection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" sqref="A1:C1"/>
    </sheetView>
  </sheetViews>
  <sheetFormatPr defaultColWidth="9.375" defaultRowHeight="12.75"/>
  <cols>
    <col min="1" max="1" width="5.00390625" style="31" customWidth="1"/>
    <col min="2" max="2" width="74.125" style="31" customWidth="1"/>
    <col min="3" max="3" width="15.625" style="30" customWidth="1"/>
    <col min="4" max="5" width="12.875" style="30" customWidth="1"/>
    <col min="6" max="6" width="13.875" style="30" customWidth="1"/>
    <col min="7" max="16384" width="9.375" style="30" customWidth="1"/>
  </cols>
  <sheetData>
    <row r="1" spans="1:3" ht="44.25" customHeight="1">
      <c r="A1" s="1438" t="s">
        <v>609</v>
      </c>
      <c r="B1" s="1438"/>
      <c r="C1" s="1438"/>
    </row>
    <row r="2" spans="1:3" ht="14.25" customHeight="1" thickBot="1">
      <c r="A2" s="173"/>
      <c r="B2" s="173"/>
      <c r="C2" s="38" t="s">
        <v>558</v>
      </c>
    </row>
    <row r="3" spans="1:3" s="33" customFormat="1" ht="38.25" customHeight="1" thickBot="1">
      <c r="A3" s="545"/>
      <c r="B3" s="546" t="s">
        <v>577</v>
      </c>
      <c r="C3" s="39" t="s">
        <v>1211</v>
      </c>
    </row>
    <row r="4" spans="1:3" s="40" customFormat="1" ht="17.25" customHeight="1">
      <c r="A4" s="1241" t="s">
        <v>17</v>
      </c>
      <c r="B4" s="1242" t="str">
        <f>'Ö3'!B8</f>
        <v>Panel program</v>
      </c>
      <c r="C4" s="550">
        <f>'Ö3'!D8</f>
        <v>15000</v>
      </c>
    </row>
    <row r="5" spans="1:3" s="40" customFormat="1" ht="17.25" customHeight="1">
      <c r="A5" s="1241" t="s">
        <v>18</v>
      </c>
      <c r="B5" s="1242" t="str">
        <f>'Ö3'!B9</f>
        <v>Fonyódi erdőberuházás</v>
      </c>
      <c r="C5" s="550">
        <f>'Ö3'!D9</f>
        <v>5000</v>
      </c>
    </row>
    <row r="6" spans="1:3" ht="36">
      <c r="A6" s="1241" t="s">
        <v>19</v>
      </c>
      <c r="B6" s="1242" t="str">
        <f>'Ö3'!B10</f>
        <v>Bethlen Gábor utca (Erkel Ferenc utca - Szigliget utca között) Szigliget utca csapadékvízelvezetés, út, járda, parkoló építése, zöldfelület kialakítása és műszaki ellenőri tevékenység</v>
      </c>
      <c r="C6" s="550">
        <f>'Ö3'!D10</f>
        <v>61275</v>
      </c>
    </row>
    <row r="7" spans="1:3" ht="17.25" customHeight="1">
      <c r="A7" s="1241" t="s">
        <v>20</v>
      </c>
      <c r="B7" s="1242" t="str">
        <f>'Ö3'!B11</f>
        <v>Ságvári utca járdaépítési munkái és műszaki ellenőri tevékenység, forgalomba helyezés</v>
      </c>
      <c r="C7" s="550">
        <f>'Ö3'!D11</f>
        <v>21034</v>
      </c>
    </row>
    <row r="8" spans="1:3" ht="17.25" customHeight="1">
      <c r="A8" s="1241" t="s">
        <v>21</v>
      </c>
      <c r="B8" s="1242" t="str">
        <f>'Ö3'!B12</f>
        <v>Eperfa utca csapadékvíz elvezetése + használatba vételi engedélyeztetése</v>
      </c>
      <c r="C8" s="550">
        <f>'Ö3'!D12</f>
        <v>3454</v>
      </c>
    </row>
    <row r="9" spans="1:3" ht="24">
      <c r="A9" s="1241" t="s">
        <v>22</v>
      </c>
      <c r="B9" s="1242" t="str">
        <f>'Ö3'!B13</f>
        <v>Halápy utca kiépítése (út, járda, csapadékvíz, közvilágítás) és műszaki ellenőri tevékenység, forgalomba helyezése</v>
      </c>
      <c r="C9" s="550">
        <f>'Ö3'!D13</f>
        <v>31479</v>
      </c>
    </row>
    <row r="10" spans="1:3" ht="17.25" customHeight="1">
      <c r="A10" s="1241" t="s">
        <v>23</v>
      </c>
      <c r="B10" s="1242" t="str">
        <f>'Ö3'!B14</f>
        <v>Vadvirág utca csapadékvíz elvezetés helyreállítása és műszaki ellenőri tevékenység </v>
      </c>
      <c r="C10" s="550">
        <f>'Ö3'!D14</f>
        <v>26433</v>
      </c>
    </row>
    <row r="11" spans="1:3" ht="24">
      <c r="A11" s="1241" t="s">
        <v>24</v>
      </c>
      <c r="B11" s="1242" t="str">
        <f>'Ö3'!B15</f>
        <v>Szépvölgyi utcában (Beszédes J. Általános Iskola előtt) nyílt árok lefedésével parkolók kialakítása és műszaki ellenőri tevékenység + forgalomba helyezés</v>
      </c>
      <c r="C11" s="550">
        <f>'Ö3'!D15</f>
        <v>20488</v>
      </c>
    </row>
    <row r="12" spans="1:3" ht="24">
      <c r="A12" s="1241" t="s">
        <v>25</v>
      </c>
      <c r="B12" s="1242" t="str">
        <f>'Ö3'!B16</f>
        <v>Erkel Ferenc utca - Tünde utca csomópontban gyalogátkelőhely építése és forgalomba helyezése</v>
      </c>
      <c r="C12" s="550">
        <f>'Ö3'!D16</f>
        <v>2272</v>
      </c>
    </row>
    <row r="13" spans="1:3" ht="24">
      <c r="A13" s="1241" t="s">
        <v>26</v>
      </c>
      <c r="B13" s="1242" t="str">
        <f>'Ö3'!B17</f>
        <v>Estike utca  vízelvezetése, út és járda építése és műszaki ellenőri tevékenység, forgalomba helyezés</v>
      </c>
      <c r="C13" s="550">
        <f>'Ö3'!D17</f>
        <v>18845</v>
      </c>
    </row>
    <row r="14" spans="1:3" ht="24">
      <c r="A14" s="1241" t="s">
        <v>27</v>
      </c>
      <c r="B14" s="1242" t="str">
        <f>'Ö3'!B18</f>
        <v>Szőlőhegyi utca kétirányúvá tétele, kátyútalanítása, felületi zárása Ringló u. - Birs u. közötti részen és műszaki ellenőri tevékenység, forgalomba helyezés</v>
      </c>
      <c r="C14" s="550">
        <f>'Ö3'!D18</f>
        <v>28568</v>
      </c>
    </row>
    <row r="15" spans="1:3" ht="17.25" customHeight="1">
      <c r="A15" s="1241" t="s">
        <v>28</v>
      </c>
      <c r="B15" s="1242" t="str">
        <f>'Ö3'!B19</f>
        <v>Koch Róbert utca 2-6. szám előtti parkolók bővítése, forgalomba helyezése</v>
      </c>
      <c r="C15" s="550">
        <f>'Ö3'!D19</f>
        <v>3221</v>
      </c>
    </row>
    <row r="16" spans="1:3" ht="17.25" customHeight="1">
      <c r="A16" s="1241" t="s">
        <v>29</v>
      </c>
      <c r="B16" s="1242" t="str">
        <f>'Ö3'!B20</f>
        <v>Dózsa György utca - 65. számú út közötti híd építési engedélyének meghosszabbítása</v>
      </c>
      <c r="C16" s="550">
        <f>'Ö3'!D20</f>
        <v>4000</v>
      </c>
    </row>
    <row r="17" spans="1:3" ht="17.25" customHeight="1">
      <c r="A17" s="1241" t="s">
        <v>30</v>
      </c>
      <c r="B17" s="1242" t="str">
        <f>'Ö3'!B21</f>
        <v>Idősek parkja - zöldterületek rendbetétele és felnőttjátszótér kialakítása</v>
      </c>
      <c r="C17" s="550">
        <f>'Ö3'!D21</f>
        <v>6600</v>
      </c>
    </row>
    <row r="18" spans="1:3" ht="17.25" customHeight="1">
      <c r="A18" s="1241" t="s">
        <v>31</v>
      </c>
      <c r="B18" s="1242" t="str">
        <f>'Ö3'!B22</f>
        <v>Vak Bottyán utca - zajvédő fal tervezési díja</v>
      </c>
      <c r="C18" s="550">
        <f>'Ö3'!D22</f>
        <v>717</v>
      </c>
    </row>
    <row r="19" spans="1:3" ht="17.25" customHeight="1">
      <c r="A19" s="1241" t="s">
        <v>32</v>
      </c>
      <c r="B19" s="1242" t="str">
        <f>'Ö3'!B23</f>
        <v>Béri Balogh Á. u. vízelvezető csatorna építése, út és járda felújítása</v>
      </c>
      <c r="C19" s="550">
        <f>'Ö3'!D23</f>
        <v>62303</v>
      </c>
    </row>
    <row r="20" spans="1:3" ht="17.25" customHeight="1">
      <c r="A20" s="1241" t="s">
        <v>33</v>
      </c>
      <c r="B20" s="1242" t="str">
        <f>'Ö3'!B24</f>
        <v>Malom utcában járda építése (Tóth Á. utca - Asztalos utca között)</v>
      </c>
      <c r="C20" s="550">
        <f>'Ö3'!D24</f>
        <v>8562</v>
      </c>
    </row>
    <row r="21" spans="1:3" ht="17.25" customHeight="1">
      <c r="A21" s="1241" t="s">
        <v>34</v>
      </c>
      <c r="B21" s="1242" t="str">
        <f>'Ö3'!B25</f>
        <v>Malom utcában aszfaltozás (gázfogadó - Asztalos u. között)</v>
      </c>
      <c r="C21" s="550">
        <f>'Ö3'!D25</f>
        <v>13985</v>
      </c>
    </row>
    <row r="22" spans="1:3" ht="24">
      <c r="A22" s="1241" t="s">
        <v>35</v>
      </c>
      <c r="B22" s="1242" t="str">
        <f>'Ö3'!B26</f>
        <v>Asztalos utcában parkolók építése - csapadékvíz elvezetés megoldása a parkolók alatti szakaszon</v>
      </c>
      <c r="C22" s="550">
        <f>'Ö3'!D26</f>
        <v>27738</v>
      </c>
    </row>
    <row r="23" spans="1:3" ht="17.25" customHeight="1">
      <c r="A23" s="1241" t="s">
        <v>36</v>
      </c>
      <c r="B23" s="1242" t="str">
        <f>'Ö3'!B27</f>
        <v>Borítékoló gép + szoftver</v>
      </c>
      <c r="C23" s="550">
        <f>'Ö3'!D27</f>
        <v>1715</v>
      </c>
    </row>
    <row r="24" spans="1:3" ht="17.25" customHeight="1">
      <c r="A24" s="1241" t="s">
        <v>37</v>
      </c>
      <c r="B24" s="1242" t="str">
        <f>'Ö3'!B28</f>
        <v>Beszédes J.Ált.Isk. tetőhéjazatának helyreállítása</v>
      </c>
      <c r="C24" s="550">
        <f>'Ö3'!D28</f>
        <v>3952</v>
      </c>
    </row>
    <row r="25" spans="1:3" ht="17.25" customHeight="1">
      <c r="A25" s="1241" t="s">
        <v>38</v>
      </c>
      <c r="B25" s="1242" t="str">
        <f>'Ö3'!B42</f>
        <v>Közösségi közlekedés fejlesztése a Balaton térségében DDOP-5.1.2/B-11-2012-0001</v>
      </c>
      <c r="C25" s="550">
        <f>'Ö3'!D42</f>
        <v>29000</v>
      </c>
    </row>
    <row r="26" spans="1:3" s="41" customFormat="1" ht="17.25" customHeight="1">
      <c r="A26" s="1241" t="s">
        <v>39</v>
      </c>
      <c r="B26" s="1242" t="str">
        <f>'Ö3'!B43</f>
        <v>Közbiztonság növelését szolgáló kamerapályázat</v>
      </c>
      <c r="C26" s="550">
        <f>'Ö3'!D43</f>
        <v>15130</v>
      </c>
    </row>
    <row r="27" spans="1:3" ht="17.25" customHeight="1">
      <c r="A27" s="1241" t="s">
        <v>40</v>
      </c>
      <c r="B27" s="1242" t="str">
        <f>'Ö3'!B44</f>
        <v>Nemzeti stadionfejlesztési program keretében a Révész u.-i stadion fejlesztése</v>
      </c>
      <c r="C27" s="550">
        <f>'Ö3'!D44</f>
        <v>573737</v>
      </c>
    </row>
    <row r="28" spans="1:3" ht="24">
      <c r="A28" s="1241" t="s">
        <v>41</v>
      </c>
      <c r="B28" s="1242" t="str">
        <f>'Ö3'!B45</f>
        <v>Környezet-tudatos Balatoni Települések hullagazd.-i rendszerének közös fejlesztése KEOP-1.1.1/C/13-2013-0033</v>
      </c>
      <c r="C28" s="550">
        <f>'Ö3'!D45</f>
        <v>366200</v>
      </c>
    </row>
    <row r="29" spans="1:3" ht="29.25" customHeight="1">
      <c r="A29" s="1241" t="s">
        <v>42</v>
      </c>
      <c r="B29" s="1242" t="str">
        <f>'Ö3'!B70</f>
        <v>A siófoki önkormányzat Gondozási Központ épületének energetikai fejlesztése megújuló energiaforrás hasznosításával kombinálva - KEOP-2014-4.10.0/F - benyújott, nem elbírált</v>
      </c>
      <c r="C29" s="550">
        <f>'Ö3'!D70</f>
        <v>149568</v>
      </c>
    </row>
    <row r="30" spans="1:3" ht="36">
      <c r="A30" s="1241" t="s">
        <v>43</v>
      </c>
      <c r="B30" s="1242" t="str">
        <f>'Ö3'!B71</f>
        <v>A siófoki önkormányzat Gondozási Központ épületének energetikai fejlesztése megújuló energiaforrás hasznosításával kombinálva - KEOP-2014-4.10.0/F - egyéb költségek</v>
      </c>
      <c r="C30" s="550">
        <f>'Ö3'!D71</f>
        <v>10000</v>
      </c>
    </row>
    <row r="31" spans="1:3" ht="24">
      <c r="A31" s="1241" t="s">
        <v>44</v>
      </c>
      <c r="B31" s="1242" t="str">
        <f>'Ö3'!B72</f>
        <v>Siófok közvilágítás energiatakarékos átalakítása - KEOP-5.5.0/K/14-2014-0035 - elnyert pályázat</v>
      </c>
      <c r="C31" s="550">
        <f>'Ö3'!D72</f>
        <v>421052</v>
      </c>
    </row>
    <row r="32" spans="1:3" ht="24">
      <c r="A32" s="1241" t="s">
        <v>45</v>
      </c>
      <c r="B32" s="1242" t="str">
        <f>'Ö3'!B73</f>
        <v>Siófok közvilágítás energiatakarékos átalakítása - KEOP-5.5.0/K/14-2014-0035 - egyéb költségek</v>
      </c>
      <c r="C32" s="550">
        <f>'Ö3'!D73</f>
        <v>10000</v>
      </c>
    </row>
    <row r="33" spans="1:3" ht="24">
      <c r="A33" s="1241" t="s">
        <v>123</v>
      </c>
      <c r="B33" s="1242" t="str">
        <f>'Ö3'!B74</f>
        <v>Fotovoltaikus rendszer kialakítása a siófoki Csicsergő Bölcsödében - KEOP-2012-4.10.0/N - elnyert pályázat</v>
      </c>
      <c r="C33" s="550">
        <f>'Ö3'!D74</f>
        <v>22391</v>
      </c>
    </row>
    <row r="34" spans="1:3" ht="24">
      <c r="A34" s="1241" t="s">
        <v>124</v>
      </c>
      <c r="B34" s="1242" t="str">
        <f>'Ö3'!B75</f>
        <v>Fotovoltaikus rendszer kialakítása a siófoki Csicsergő Bölcsödében - KEOP-2012-4.10.0/N - egyéb költségek</v>
      </c>
      <c r="C34" s="550">
        <f>'Ö3'!D75</f>
        <v>3000</v>
      </c>
    </row>
    <row r="35" spans="1:3" ht="24">
      <c r="A35" s="1241" t="s">
        <v>125</v>
      </c>
      <c r="B35" s="1242" t="str">
        <f>'Ö3'!B76</f>
        <v>Energetikai korszerűsítés a Siófoki Csárdaréti úti Pillangó Óvodában - KEOP-4.9.0/11-2014-0199 - benyújtott, nem elbírált</v>
      </c>
      <c r="C35" s="550">
        <f>'Ö3'!D76</f>
        <v>33570</v>
      </c>
    </row>
    <row r="36" spans="1:3" ht="24">
      <c r="A36" s="1241" t="s">
        <v>126</v>
      </c>
      <c r="B36" s="1242" t="str">
        <f>'Ö3'!B77</f>
        <v>Energetikai korszerűsítés a Siófoki Csárdaréti úti Pillangó Óvodában - KEOP-4.9.0/11-2014-0199  - egyéb költségei (könyvvizsgálat, műszaki ellenőr, szakhatóságok, stb.)</v>
      </c>
      <c r="C36" s="550">
        <f>'Ö3'!D77</f>
        <v>3000</v>
      </c>
    </row>
    <row r="37" spans="1:3" ht="12.75">
      <c r="A37" s="1241" t="s">
        <v>578</v>
      </c>
      <c r="B37" s="1242" t="str">
        <f>'Ö3'!B78</f>
        <v>Galérius fürdő - KEOP-4.2.0/A/11-2011-0515 - benyújtott, nem elbírált</v>
      </c>
      <c r="C37" s="550">
        <f>'Ö3'!D78</f>
        <v>60000</v>
      </c>
    </row>
    <row r="38" spans="1:3" ht="12.75">
      <c r="A38" s="1241" t="s">
        <v>579</v>
      </c>
      <c r="B38" s="1242" t="str">
        <f>'Ö3'!B79</f>
        <v>Galérius fürdő - KEOP-4.2.0/A/11-2011-0515 - egyéb költségek</v>
      </c>
      <c r="C38" s="550">
        <f>'Ö3'!D79</f>
        <v>3000</v>
      </c>
    </row>
    <row r="39" spans="1:3" ht="24">
      <c r="A39" s="1241" t="s">
        <v>580</v>
      </c>
      <c r="B39" s="1242" t="str">
        <f>'Ö3'!B80</f>
        <v>Területi együttműködést segítő programok kialakítása az önkormányzatoknál a konvergencia régiókban ÁROP-1.A13-2014</v>
      </c>
      <c r="C39" s="550">
        <f>'Ö3'!D80</f>
        <v>21999</v>
      </c>
    </row>
    <row r="40" spans="1:3" ht="18" customHeight="1">
      <c r="A40" s="1241" t="s">
        <v>581</v>
      </c>
      <c r="B40" s="1242" t="str">
        <f>'Ö3'!B81</f>
        <v>Nyitnikék Óvoda kapacitás-bővítése</v>
      </c>
      <c r="C40" s="550">
        <f>'Ö3'!D81</f>
        <v>37986</v>
      </c>
    </row>
    <row r="41" spans="1:3" ht="18" customHeight="1">
      <c r="A41" s="1241" t="s">
        <v>582</v>
      </c>
      <c r="B41" s="1242" t="str">
        <f>'Ö3'!B82</f>
        <v>Egészségügyi alapellátás fejlesztése Siófokon DDOP-3.1.3/G-14-2014-0043</v>
      </c>
      <c r="C41" s="550">
        <f>'Ö3'!D82</f>
        <v>44066</v>
      </c>
    </row>
    <row r="42" spans="1:3" ht="18" customHeight="1">
      <c r="A42" s="1241" t="s">
        <v>583</v>
      </c>
      <c r="B42" s="1242" t="s">
        <v>1244</v>
      </c>
      <c r="C42" s="550">
        <f>'Ö3'!D83</f>
        <v>2985</v>
      </c>
    </row>
    <row r="43" spans="1:3" ht="17.25" customHeight="1">
      <c r="A43" s="1241" t="s">
        <v>1263</v>
      </c>
      <c r="B43" s="1242" t="str">
        <f>'Ö3'!B89</f>
        <v>Informatika</v>
      </c>
      <c r="C43" s="550">
        <f>'Ö3'!D89</f>
        <v>10000</v>
      </c>
    </row>
    <row r="44" spans="1:3" ht="17.25" customHeight="1">
      <c r="A44" s="1241" t="s">
        <v>1264</v>
      </c>
      <c r="B44" s="1242" t="str">
        <f>'Ö3'!B90</f>
        <v>Kis értékű tárgyi eszköz beszerzés </v>
      </c>
      <c r="C44" s="550">
        <f>'Ö3'!D90</f>
        <v>4000</v>
      </c>
    </row>
    <row r="45" spans="1:3" ht="17.25" customHeight="1">
      <c r="A45" s="1241" t="s">
        <v>1265</v>
      </c>
      <c r="B45" s="1242" t="str">
        <f>'Ö3'!B91</f>
        <v>Kis értékű tárgyi eszköz beszerzés Gondozási Központ</v>
      </c>
      <c r="C45" s="550">
        <f>'Ö3'!D91</f>
        <v>3270</v>
      </c>
    </row>
    <row r="46" spans="1:3" ht="17.25" customHeight="1">
      <c r="A46" s="1241" t="s">
        <v>1266</v>
      </c>
      <c r="B46" s="1242" t="str">
        <f>'Ö3'!B92</f>
        <v>Kézilabda munkacsarnok vételi előleg</v>
      </c>
      <c r="C46" s="550">
        <f>'Ö3'!D92</f>
        <v>20357</v>
      </c>
    </row>
    <row r="47" spans="1:3" ht="17.25" customHeight="1">
      <c r="A47" s="1241" t="s">
        <v>1267</v>
      </c>
      <c r="B47" s="1242" t="str">
        <f>'Ö3'!B93</f>
        <v>4 db szivattyú tartozékokkal</v>
      </c>
      <c r="C47" s="550">
        <f>'Ö3'!D93</f>
        <v>3679</v>
      </c>
    </row>
    <row r="48" spans="1:3" ht="17.25" customHeight="1">
      <c r="A48" s="1241" t="s">
        <v>1268</v>
      </c>
      <c r="B48" s="1242" t="str">
        <f>'Ö3'!B94</f>
        <v>BFC Siófok Kft. TAO pályázat</v>
      </c>
      <c r="C48" s="550">
        <f>'Ö3'!D94</f>
        <v>19559</v>
      </c>
    </row>
    <row r="49" spans="1:3" ht="17.25" customHeight="1">
      <c r="A49" s="1241" t="s">
        <v>1269</v>
      </c>
      <c r="B49" s="1242" t="str">
        <f>'Ö3'!B95</f>
        <v>Eszközbeszerzés, irodai bútor (Rendőrség)</v>
      </c>
      <c r="C49" s="550">
        <f>'Ö3'!D95</f>
        <v>5000</v>
      </c>
    </row>
    <row r="50" spans="1:3" ht="17.25" customHeight="1">
      <c r="A50" s="1241" t="s">
        <v>1270</v>
      </c>
      <c r="B50" s="1242" t="str">
        <f>'Ö3'!B96</f>
        <v>Kisajátítások, kártalanítási összegek</v>
      </c>
      <c r="C50" s="550">
        <f>'Ö3'!D96</f>
        <v>3000</v>
      </c>
    </row>
    <row r="51" spans="1:3" ht="17.25" customHeight="1">
      <c r="A51" s="1241" t="s">
        <v>1271</v>
      </c>
      <c r="B51" s="1242" t="str">
        <f>'Ö3'!B97</f>
        <v>Kameratelepítés</v>
      </c>
      <c r="C51" s="550">
        <f>'Ö3'!D97</f>
        <v>25000</v>
      </c>
    </row>
    <row r="52" spans="1:3" ht="17.25" customHeight="1">
      <c r="A52" s="1241" t="s">
        <v>1272</v>
      </c>
      <c r="B52" s="1242" t="str">
        <f>'Ö3'!B98</f>
        <v>Tinódi tér játszóeszközök felújítása, fittnesz eszközök beszerzése</v>
      </c>
      <c r="C52" s="550">
        <f>'Ö3'!D98</f>
        <v>10000</v>
      </c>
    </row>
    <row r="53" spans="1:3" ht="17.25" customHeight="1">
      <c r="A53" s="1241" t="s">
        <v>1273</v>
      </c>
      <c r="B53" s="1242" t="str">
        <f>'Ö3'!B99</f>
        <v>"Intelligens Siófok" okostelefon beszerzés</v>
      </c>
      <c r="C53" s="550">
        <f>'Ö3'!D99</f>
        <v>15850</v>
      </c>
    </row>
    <row r="54" spans="1:3" ht="17.25" customHeight="1">
      <c r="A54" s="1241" t="s">
        <v>1274</v>
      </c>
      <c r="B54" s="1242" t="str">
        <f>'Ö3'!B100</f>
        <v>Fő tér áramvételi hely átépítése és teljesítmény növelése rendezvényekhez</v>
      </c>
      <c r="C54" s="550">
        <f>'Ö3'!D100</f>
        <v>2600</v>
      </c>
    </row>
    <row r="55" spans="1:3" ht="17.25" customHeight="1">
      <c r="A55" s="1241" t="s">
        <v>1275</v>
      </c>
      <c r="B55" s="1242" t="str">
        <f>'Ö3'!B101</f>
        <v>Lízingelt lámpatestek maradványértékének rendezése</v>
      </c>
      <c r="C55" s="550">
        <f>'Ö3'!D101</f>
        <v>2731</v>
      </c>
    </row>
    <row r="56" spans="1:3" ht="17.25" customHeight="1">
      <c r="A56" s="1241" t="s">
        <v>1276</v>
      </c>
      <c r="B56" s="1242" t="str">
        <f>'Ö3'!B102</f>
        <v>Ingatlan-rész megvásárlása közműtelek céljából</v>
      </c>
      <c r="C56" s="550">
        <f>'Ö3'!D102</f>
        <v>2000</v>
      </c>
    </row>
    <row r="57" spans="1:3" ht="17.25" customHeight="1">
      <c r="A57" s="1241" t="s">
        <v>1277</v>
      </c>
      <c r="B57" s="1242" t="str">
        <f>'Ö3'!B103</f>
        <v>Siófoki Kézilabda és Tenisz Club Kft. részére TAO pályázat önkormányzati önrész</v>
      </c>
      <c r="C57" s="550">
        <f>'Ö3'!D103</f>
        <v>215898</v>
      </c>
    </row>
    <row r="58" spans="1:3" ht="17.25" customHeight="1">
      <c r="A58" s="1241" t="s">
        <v>1278</v>
      </c>
      <c r="B58" s="1242" t="str">
        <f>'Ö3'!B104</f>
        <v>Bölcsőde és Óvodák felújítási munkái, hiányzó eszközök pótlása</v>
      </c>
      <c r="C58" s="550">
        <f>'Ö3'!D104</f>
        <v>3000</v>
      </c>
    </row>
    <row r="59" spans="1:3" ht="17.25" customHeight="1">
      <c r="A59" s="1241" t="s">
        <v>1279</v>
      </c>
      <c r="B59" s="1242" t="str">
        <f>'Ö3'!B105</f>
        <v>Eszközhasználati díj átadása (ISPA projekt)</v>
      </c>
      <c r="C59" s="550">
        <f>'Ö3'!D105</f>
        <v>793929</v>
      </c>
    </row>
    <row r="60" spans="1:3" ht="17.25" customHeight="1">
      <c r="A60" s="1241" t="s">
        <v>1280</v>
      </c>
      <c r="B60" s="1242" t="str">
        <f>'Ö3'!B106</f>
        <v>SIÓKOM Nonprofit Kft. törzstőke </v>
      </c>
      <c r="C60" s="550">
        <f>'Ö3'!D106</f>
        <v>1629</v>
      </c>
    </row>
    <row r="61" spans="1:3" ht="17.25" customHeight="1">
      <c r="A61" s="1241" t="s">
        <v>1281</v>
      </c>
      <c r="B61" s="1242" t="str">
        <f>'Ö3'!B107</f>
        <v>Koch Róbert utca posta melletti játszótér balesetveszélyes burkolatának cseréje</v>
      </c>
      <c r="C61" s="550">
        <f>'Ö3'!D107</f>
        <v>2500</v>
      </c>
    </row>
    <row r="62" spans="1:3" ht="17.25" customHeight="1">
      <c r="A62" s="1241" t="s">
        <v>1282</v>
      </c>
      <c r="B62" s="1242" t="s">
        <v>1245</v>
      </c>
      <c r="C62" s="550">
        <f>'Ö3'!D108</f>
        <v>400</v>
      </c>
    </row>
    <row r="63" spans="1:3" ht="17.25" customHeight="1">
      <c r="A63" s="1241" t="s">
        <v>1283</v>
      </c>
      <c r="B63" s="1242" t="s">
        <v>1246</v>
      </c>
      <c r="C63" s="550">
        <f>'Ö3'!D109</f>
        <v>6579</v>
      </c>
    </row>
    <row r="64" spans="1:3" ht="17.25" customHeight="1">
      <c r="A64" s="1241" t="s">
        <v>1284</v>
      </c>
      <c r="B64" s="1242" t="s">
        <v>1247</v>
      </c>
      <c r="C64" s="550">
        <f>'Ö3'!D110</f>
        <v>1000</v>
      </c>
    </row>
    <row r="65" spans="1:3" ht="17.25" customHeight="1">
      <c r="A65" s="1241" t="s">
        <v>1285</v>
      </c>
      <c r="B65" s="1242" t="s">
        <v>1248</v>
      </c>
      <c r="C65" s="550">
        <f>'Ö3'!D111</f>
        <v>3860</v>
      </c>
    </row>
    <row r="66" spans="1:3" ht="17.25" customHeight="1">
      <c r="A66" s="1241" t="s">
        <v>1286</v>
      </c>
      <c r="B66" s="1242" t="s">
        <v>1315</v>
      </c>
      <c r="C66" s="550">
        <v>200000</v>
      </c>
    </row>
    <row r="67" spans="1:3" ht="17.25" customHeight="1">
      <c r="A67" s="1241" t="s">
        <v>1287</v>
      </c>
      <c r="B67" s="1242" t="s">
        <v>1316</v>
      </c>
      <c r="C67" s="550">
        <v>3821</v>
      </c>
    </row>
    <row r="68" spans="1:3" ht="24">
      <c r="A68" s="1241" t="s">
        <v>1288</v>
      </c>
      <c r="B68" s="1242" t="str">
        <f>'Ö3'!B123</f>
        <v>Lidl áruháznál létesülő vasúti gyalogátkelőhely csatlakozásához járda és gyalogátkelőhely létesítése</v>
      </c>
      <c r="C68" s="550">
        <f>'Ö3'!D123</f>
        <v>5300</v>
      </c>
    </row>
    <row r="69" spans="1:3" ht="17.25" customHeight="1">
      <c r="A69" s="1241" t="s">
        <v>1289</v>
      </c>
      <c r="B69" s="1242" t="str">
        <f>'Ö3'!B124</f>
        <v>Sándor utca járdaépítés</v>
      </c>
      <c r="C69" s="550">
        <f>'Ö3'!D124</f>
        <v>11500</v>
      </c>
    </row>
    <row r="70" spans="1:3" ht="17.25" customHeight="1">
      <c r="A70" s="1241" t="s">
        <v>1290</v>
      </c>
      <c r="B70" s="1242" t="str">
        <f>'Ö3'!B125</f>
        <v>Mező utcában járdaépítés (Szeptember 6. tértől északi irányba)</v>
      </c>
      <c r="C70" s="550">
        <f>'Ö3'!D125</f>
        <v>12000</v>
      </c>
    </row>
    <row r="71" spans="1:3" ht="17.25" customHeight="1">
      <c r="A71" s="1241" t="s">
        <v>1291</v>
      </c>
      <c r="B71" s="1242" t="str">
        <f>'Ö3'!B126</f>
        <v>Szeptember 6. tér északi oldalán járda építés</v>
      </c>
      <c r="C71" s="550">
        <f>'Ö3'!D126</f>
        <v>4000</v>
      </c>
    </row>
    <row r="72" spans="1:3" ht="17.25" customHeight="1">
      <c r="A72" s="1241" t="s">
        <v>1292</v>
      </c>
      <c r="B72" s="1242" t="str">
        <f>'Ö3'!B127</f>
        <v>Töltényi utcában csapadékvíz elvezetés, járda és út építése </v>
      </c>
      <c r="C72" s="550">
        <f>'Ö3'!D127</f>
        <v>37000</v>
      </c>
    </row>
    <row r="73" spans="1:3" ht="17.25" customHeight="1">
      <c r="A73" s="1241" t="s">
        <v>1293</v>
      </c>
      <c r="B73" s="1242" t="str">
        <f>'Ö3'!B128</f>
        <v>Tihany utca folytatása - partra vezető sétány kiépítése közvilágítással</v>
      </c>
      <c r="C73" s="550">
        <f>'Ö3'!D128</f>
        <v>11100</v>
      </c>
    </row>
    <row r="74" spans="1:3" ht="17.25" customHeight="1">
      <c r="A74" s="1241" t="s">
        <v>1294</v>
      </c>
      <c r="B74" s="1242" t="str">
        <f>'Ö3'!B129</f>
        <v>Csobánc utca folytatása - partra vezető sétány kiépítése közvilágítással</v>
      </c>
      <c r="C74" s="550">
        <f>'Ö3'!D129</f>
        <v>11100</v>
      </c>
    </row>
    <row r="75" spans="1:3" ht="17.25" customHeight="1">
      <c r="A75" s="1241" t="s">
        <v>1295</v>
      </c>
      <c r="B75" s="1242" t="str">
        <f>'Ö3'!B130</f>
        <v>Zamárdi utcában járdaépítés - Lidl áruháztól a Vadalma utcáig</v>
      </c>
      <c r="C75" s="550">
        <f>'Ö3'!D130</f>
        <v>19000</v>
      </c>
    </row>
    <row r="76" spans="1:3" ht="17.25" customHeight="1">
      <c r="A76" s="1241" t="s">
        <v>1296</v>
      </c>
      <c r="B76" s="1242" t="str">
        <f>'Ö3'!B131</f>
        <v>Tavasz utcában közlekedők</v>
      </c>
      <c r="C76" s="550">
        <f>'Ö3'!D131</f>
        <v>17000</v>
      </c>
    </row>
    <row r="77" spans="1:3" ht="17.25" customHeight="1">
      <c r="A77" s="1241" t="s">
        <v>1297</v>
      </c>
      <c r="B77" s="1242" t="str">
        <f>'Ö3'!B132</f>
        <v>Panoráma utca csapadékvíz elvezető rendszer kiépítése és útburkolat felújítása</v>
      </c>
      <c r="C77" s="550">
        <f>'Ö3'!D132</f>
        <v>36500</v>
      </c>
    </row>
    <row r="78" spans="1:3" ht="17.25" customHeight="1">
      <c r="A78" s="1241" t="s">
        <v>1298</v>
      </c>
      <c r="B78" s="1242" t="str">
        <f>'Ö3'!B133</f>
        <v>Zsilip sor Fő utca felöli lejáró kiszélesítése és aszfaltozása</v>
      </c>
      <c r="C78" s="550">
        <f>'Ö3'!D133</f>
        <v>2500</v>
      </c>
    </row>
    <row r="79" spans="1:3" ht="17.25" customHeight="1">
      <c r="A79" s="1241" t="s">
        <v>1299</v>
      </c>
      <c r="B79" s="1242" t="str">
        <f>'Ö3'!B134</f>
        <v>Tátra utcában egyoldali járda építése</v>
      </c>
      <c r="C79" s="550">
        <f>'Ö3'!D134</f>
        <v>7000</v>
      </c>
    </row>
    <row r="80" spans="1:3" ht="17.25" customHeight="1">
      <c r="A80" s="1241" t="s">
        <v>1300</v>
      </c>
      <c r="B80" s="1242" t="str">
        <f>'Ö3'!B135</f>
        <v>Magisztern szálló melletti lejáró aszfaltozása</v>
      </c>
      <c r="C80" s="550">
        <f>'Ö3'!D135</f>
        <v>3700</v>
      </c>
    </row>
    <row r="81" spans="1:3" ht="17.25" customHeight="1">
      <c r="A81" s="1241" t="s">
        <v>1301</v>
      </c>
      <c r="B81" s="1242" t="str">
        <f>'Ö3'!B136</f>
        <v>Honvéd utcában a Blaha Lujza utca vonalában gyalogos átkelőhely kialakítása</v>
      </c>
      <c r="C81" s="550">
        <f>'Ö3'!D136</f>
        <v>4500</v>
      </c>
    </row>
    <row r="82" spans="1:3" ht="24">
      <c r="A82" s="1241" t="s">
        <v>1302</v>
      </c>
      <c r="B82" s="1242" t="str">
        <f>'Ö3'!B152</f>
        <v>Dózsa Gy. utca - Molnár I. u. - Klapka Gy. u. - Alsó u. csapadékvízelvezetési rendszer bővítés</v>
      </c>
      <c r="C82" s="550">
        <f>'Ö3'!D152</f>
        <v>60000</v>
      </c>
    </row>
    <row r="83" spans="1:3" ht="24">
      <c r="A83" s="1241" t="s">
        <v>1303</v>
      </c>
      <c r="B83" s="1242" t="str">
        <f>'Ö3'!B153</f>
        <v>Dózsa György utca Tanácsház utca - Bajcsy Zsilinszky utca között csapadékvíz elvezetés megoldása</v>
      </c>
      <c r="C83" s="550">
        <f>'Ö3'!D153</f>
        <v>17200</v>
      </c>
    </row>
    <row r="84" spans="1:3" ht="17.25" customHeight="1">
      <c r="A84" s="1241" t="s">
        <v>1304</v>
      </c>
      <c r="B84" s="1242" t="str">
        <f>'Ö3'!B154</f>
        <v>Társulati szennyvízcsatornák hiányzó és hibás bekötéseinek építése, javítása </v>
      </c>
      <c r="C84" s="550">
        <f>'Ö3'!D154</f>
        <v>2200</v>
      </c>
    </row>
    <row r="85" spans="1:3" ht="17.25" customHeight="1">
      <c r="A85" s="1241" t="s">
        <v>1305</v>
      </c>
      <c r="B85" s="1242" t="str">
        <f>'Ö3'!B155</f>
        <v>Új utca csapadékvíz elvezetése</v>
      </c>
      <c r="C85" s="550">
        <f>'Ö3'!D155</f>
        <v>8300</v>
      </c>
    </row>
    <row r="86" spans="1:3" ht="17.25" customHeight="1">
      <c r="A86" s="1241" t="s">
        <v>1306</v>
      </c>
      <c r="B86" s="1242" t="str">
        <f>'Ö3'!B172</f>
        <v>Sió utca - Spar előtti parkoló murvás részének térkövezése</v>
      </c>
      <c r="C86" s="550">
        <f>'Ö3'!D172</f>
        <v>6200</v>
      </c>
    </row>
    <row r="87" spans="1:3" ht="17.25" customHeight="1">
      <c r="A87" s="1241" t="s">
        <v>1307</v>
      </c>
      <c r="B87" s="1242" t="str">
        <f>'Ö3'!B188</f>
        <v>Déli városrész csapadékvíz elvezetése tervezésének módosítása</v>
      </c>
      <c r="C87" s="550">
        <f>'Ö3'!D188</f>
        <v>1993</v>
      </c>
    </row>
    <row r="88" spans="1:3" ht="17.25" customHeight="1">
      <c r="A88" s="1241" t="s">
        <v>1308</v>
      </c>
      <c r="B88" s="1242" t="str">
        <f>'Ö3'!B189</f>
        <v>Siófok - Ságvár kerékpárút építési engedélyének meghosszabbítása</v>
      </c>
      <c r="C88" s="550">
        <f>'Ö3'!D189</f>
        <v>2888</v>
      </c>
    </row>
    <row r="89" spans="1:3" ht="24">
      <c r="A89" s="1241" t="s">
        <v>1309</v>
      </c>
      <c r="B89" s="1242" t="str">
        <f>'Ö3'!B190</f>
        <v>Aranyparti szállódák előtti partvédőmű korszerűsítésének tervezése - Balaton szálló - Európa szálló közötti szakasz</v>
      </c>
      <c r="C89" s="550">
        <f>'Ö3'!D190</f>
        <v>1200</v>
      </c>
    </row>
    <row r="90" spans="1:3" ht="17.25" customHeight="1">
      <c r="A90" s="1241" t="s">
        <v>1310</v>
      </c>
      <c r="B90" s="1242" t="str">
        <f>'Ö3'!B191</f>
        <v>Stadionprojekttel kapcsoltos hatástanulmányok elkészíttetése</v>
      </c>
      <c r="C90" s="550">
        <f>'Ö3'!D191</f>
        <v>0</v>
      </c>
    </row>
    <row r="91" spans="1:3" ht="17.25" customHeight="1">
      <c r="A91" s="1241" t="s">
        <v>1311</v>
      </c>
      <c r="B91" s="1242" t="str">
        <f>'Ö3'!B192</f>
        <v>Zajvédő fallal kapcsoltos hatástanulmányok elkészíttetése</v>
      </c>
      <c r="C91" s="550">
        <f>'Ö3'!D192</f>
        <v>0</v>
      </c>
    </row>
    <row r="92" spans="1:3" ht="24">
      <c r="A92" s="1241" t="s">
        <v>1312</v>
      </c>
      <c r="B92" s="1242" t="str">
        <f>'Ö3'!B193</f>
        <v>Kökény utca - Bodza utca - Vadalma utca - Bláthy Ottó utca (Eperfa utcától) út, járda és csapadékvíz elvezető építése, zöldfelület tervezése</v>
      </c>
      <c r="C92" s="550">
        <f>'Ö3'!D193</f>
        <v>5000</v>
      </c>
    </row>
    <row r="93" spans="1:3" ht="17.25" customHeight="1">
      <c r="A93" s="1241" t="s">
        <v>584</v>
      </c>
      <c r="B93" s="1242" t="str">
        <f>'Ö3'!B194</f>
        <v>Ipari park fejlesztési koncepció elkészítése</v>
      </c>
      <c r="C93" s="550">
        <f>'Ö3'!D194</f>
        <v>0</v>
      </c>
    </row>
    <row r="94" spans="1:3" ht="17.25" customHeight="1">
      <c r="A94" s="1241" t="s">
        <v>585</v>
      </c>
      <c r="B94" s="1242" t="str">
        <f>'Ö3'!B195</f>
        <v>Marosi út építési engedély meghosszabbítása</v>
      </c>
      <c r="C94" s="550">
        <f>'Ö3'!D195</f>
        <v>955</v>
      </c>
    </row>
    <row r="95" spans="1:3" ht="17.25" customHeight="1">
      <c r="A95" s="1241" t="s">
        <v>586</v>
      </c>
      <c r="B95" s="1242" t="s">
        <v>1313</v>
      </c>
      <c r="C95" s="550">
        <v>0</v>
      </c>
    </row>
    <row r="96" spans="1:3" ht="17.25" customHeight="1">
      <c r="A96" s="1241" t="s">
        <v>587</v>
      </c>
      <c r="B96" s="1242" t="s">
        <v>1250</v>
      </c>
      <c r="C96" s="550">
        <v>12065</v>
      </c>
    </row>
    <row r="97" spans="1:3" ht="17.25" customHeight="1">
      <c r="A97" s="1241" t="s">
        <v>588</v>
      </c>
      <c r="B97" s="1242" t="str">
        <f>'Ö3'!B205</f>
        <v>Fokihegyi kutyafuttató kerítés építése</v>
      </c>
      <c r="C97" s="550">
        <f>'Ö3'!D205</f>
        <v>5000</v>
      </c>
    </row>
    <row r="98" spans="1:3" ht="17.25" customHeight="1">
      <c r="A98" s="1241" t="s">
        <v>589</v>
      </c>
      <c r="B98" s="1242" t="str">
        <f>'Ö3'!B206</f>
        <v>Koch Róbert utca 27/A, B társasházak előtt padok kihelyezése</v>
      </c>
      <c r="C98" s="550">
        <f>'Ö3'!D206</f>
        <v>420</v>
      </c>
    </row>
    <row r="99" spans="1:3" ht="17.25" customHeight="1">
      <c r="A99" s="1241" t="s">
        <v>590</v>
      </c>
      <c r="B99" s="1242" t="str">
        <f>'Ö3'!B207</f>
        <v>Árpád utca - Báthory fejedelem utca végén játszótér, tornapálya kialakítása</v>
      </c>
      <c r="C99" s="550">
        <f>'Ö3'!D207</f>
        <v>9000</v>
      </c>
    </row>
    <row r="100" spans="1:3" ht="24">
      <c r="A100" s="1241" t="s">
        <v>591</v>
      </c>
      <c r="B100" s="1242" t="str">
        <f>'Ö3'!B208</f>
        <v>Motoros fűkaszák beszerzése 6 db (közfoglalkoztatásban elhasználódott eszközök pótlása)</v>
      </c>
      <c r="C100" s="550">
        <f>'Ö3'!D208</f>
        <v>1680</v>
      </c>
    </row>
    <row r="101" spans="1:3" ht="24">
      <c r="A101" s="1241" t="s">
        <v>592</v>
      </c>
      <c r="B101" s="1242" t="str">
        <f>'Ö3'!B209</f>
        <v>Koch Róbert utca és Berda utca közötti füves területen erdei tornapálya, grillezők, sütők elhelyezése</v>
      </c>
      <c r="C101" s="550">
        <f>'Ö3'!D209</f>
        <v>15000</v>
      </c>
    </row>
    <row r="102" spans="1:3" ht="16.5" customHeight="1">
      <c r="A102" s="1241" t="s">
        <v>593</v>
      </c>
      <c r="B102" s="1242" t="str">
        <f>'Ö3'!B210</f>
        <v>Krúdy Iskola előtti padok és iskola területén lévő lelátók felújítása</v>
      </c>
      <c r="C102" s="550">
        <f>'Ö3'!D210</f>
        <v>0</v>
      </c>
    </row>
    <row r="103" spans="1:3" ht="24">
      <c r="A103" s="1241" t="s">
        <v>594</v>
      </c>
      <c r="B103" s="1242" t="str">
        <f>'Ö3'!B211</f>
        <v>Kele utca - Sorház utca sarkán lévő zöldterület iskola területébe történő bevonása, kerítés építése, gyerekfittnesz  kialakítása</v>
      </c>
      <c r="C103" s="550">
        <f>'Ö3'!D211</f>
        <v>18000</v>
      </c>
    </row>
    <row r="104" spans="1:3" ht="16.5" customHeight="1">
      <c r="A104" s="1241" t="s">
        <v>595</v>
      </c>
      <c r="B104" s="1242" t="str">
        <f>'Ö3'!B220</f>
        <v>Minta lakótelep virágosítása</v>
      </c>
      <c r="C104" s="550">
        <f>'Ö3'!D220</f>
        <v>0</v>
      </c>
    </row>
    <row r="105" spans="1:3" ht="16.5" customHeight="1">
      <c r="A105" s="1241" t="s">
        <v>596</v>
      </c>
      <c r="B105" s="1242" t="str">
        <f>'Ö3'!B242</f>
        <v>Rizling utca közvilágításának kiegészítése</v>
      </c>
      <c r="C105" s="550">
        <f>'Ö3'!D242</f>
        <v>1000</v>
      </c>
    </row>
    <row r="106" spans="1:3" ht="16.5" customHeight="1">
      <c r="A106" s="1241" t="s">
        <v>597</v>
      </c>
      <c r="B106" s="1242" t="str">
        <f>'Ö3'!B243</f>
        <v>Töreki Erdész u. közvilágítás kiépítésének folytatása</v>
      </c>
      <c r="C106" s="550">
        <f>'Ö3'!D243</f>
        <v>4000</v>
      </c>
    </row>
    <row r="107" spans="1:3" ht="16.5" customHeight="1">
      <c r="A107" s="1241" t="s">
        <v>598</v>
      </c>
      <c r="B107" s="1242" t="str">
        <f>'Ö3'!B260</f>
        <v>KIKK felújítási munkái, eszközök cseréje, pótlása</v>
      </c>
      <c r="C107" s="550">
        <f>'Ö3'!D260</f>
        <v>49800</v>
      </c>
    </row>
    <row r="108" spans="1:3" ht="16.5" customHeight="1">
      <c r="A108" s="1241" t="s">
        <v>599</v>
      </c>
      <c r="B108" s="1242" t="str">
        <f>'Ö3'!B261</f>
        <v>Kiliti - Asztalos u. 18. általános iskola kazáncseréje</v>
      </c>
      <c r="C108" s="550">
        <f>'Ö3'!D261</f>
        <v>4400</v>
      </c>
    </row>
    <row r="109" spans="1:3" ht="16.5" customHeight="1">
      <c r="A109" s="1241" t="s">
        <v>600</v>
      </c>
      <c r="B109" s="1242" t="str">
        <f>'Ö3'!B262</f>
        <v>Nyitnikék óvoda fűtéscsőcseréje</v>
      </c>
      <c r="C109" s="550">
        <f>'Ö3'!D262</f>
        <v>8500</v>
      </c>
    </row>
    <row r="110" spans="1:3" ht="16.5" customHeight="1">
      <c r="A110" s="1241" t="s">
        <v>1317</v>
      </c>
      <c r="B110" s="1242" t="str">
        <f>'Ö3'!B263</f>
        <v>Iskola, orvosi rendelők akadálymentesítése - ÁNTSZ hiányosságok pótlása</v>
      </c>
      <c r="C110" s="550">
        <f>'Ö3'!D263</f>
        <v>10000</v>
      </c>
    </row>
    <row r="111" spans="1:3" ht="24.75" thickBot="1">
      <c r="A111" s="1241" t="s">
        <v>1318</v>
      </c>
      <c r="B111" s="1242" t="str">
        <f>'Ö3'!B264</f>
        <v>Gondozási Központ mosókonyha és konyha biztonságtechnikai szintjének és tűzjelző központ javítása</v>
      </c>
      <c r="C111" s="550">
        <f>'Ö3'!D264</f>
        <v>746</v>
      </c>
    </row>
    <row r="112" spans="1:3" ht="16.5" customHeight="1" hidden="1">
      <c r="A112" s="1241" t="s">
        <v>1319</v>
      </c>
      <c r="B112" s="1242"/>
      <c r="C112" s="550"/>
    </row>
    <row r="113" spans="1:3" ht="16.5" customHeight="1" hidden="1">
      <c r="A113" s="1241" t="s">
        <v>1320</v>
      </c>
      <c r="B113" s="1242"/>
      <c r="C113" s="550"/>
    </row>
    <row r="114" spans="1:3" ht="16.5" customHeight="1" hidden="1">
      <c r="A114" s="1241" t="s">
        <v>1321</v>
      </c>
      <c r="B114" s="1242"/>
      <c r="C114" s="550"/>
    </row>
    <row r="115" spans="1:3" ht="16.5" customHeight="1" hidden="1">
      <c r="A115" s="1241" t="s">
        <v>1322</v>
      </c>
      <c r="B115" s="1242"/>
      <c r="C115" s="550"/>
    </row>
    <row r="116" spans="1:3" ht="16.5" customHeight="1" hidden="1">
      <c r="A116" s="1241" t="s">
        <v>1323</v>
      </c>
      <c r="B116" s="1242"/>
      <c r="C116" s="550"/>
    </row>
    <row r="117" spans="1:3" ht="16.5" customHeight="1" hidden="1">
      <c r="A117" s="1241" t="s">
        <v>1324</v>
      </c>
      <c r="B117" s="1242"/>
      <c r="C117" s="550"/>
    </row>
    <row r="118" spans="1:3" ht="16.5" customHeight="1" hidden="1">
      <c r="A118" s="1241" t="s">
        <v>1325</v>
      </c>
      <c r="B118" s="1242"/>
      <c r="C118" s="550"/>
    </row>
    <row r="119" spans="1:3" ht="16.5" customHeight="1" hidden="1">
      <c r="A119" s="1241" t="s">
        <v>1326</v>
      </c>
      <c r="B119" s="1242"/>
      <c r="C119" s="550"/>
    </row>
    <row r="120" spans="1:3" ht="16.5" customHeight="1" hidden="1">
      <c r="A120" s="1241" t="s">
        <v>1327</v>
      </c>
      <c r="B120" s="1242"/>
      <c r="C120" s="550"/>
    </row>
    <row r="121" spans="1:3" ht="16.5" customHeight="1" hidden="1">
      <c r="A121" s="1241" t="s">
        <v>1328</v>
      </c>
      <c r="B121" s="1242"/>
      <c r="C121" s="550"/>
    </row>
    <row r="122" spans="1:3" ht="16.5" customHeight="1" hidden="1">
      <c r="A122" s="1241" t="s">
        <v>1329</v>
      </c>
      <c r="B122" s="1242"/>
      <c r="C122" s="550"/>
    </row>
    <row r="123" spans="1:3" ht="16.5" customHeight="1" hidden="1">
      <c r="A123" s="1241" t="s">
        <v>1330</v>
      </c>
      <c r="B123" s="1242"/>
      <c r="C123" s="550"/>
    </row>
    <row r="124" spans="1:3" ht="16.5" customHeight="1" hidden="1">
      <c r="A124" s="1241" t="s">
        <v>1331</v>
      </c>
      <c r="B124" s="1242"/>
      <c r="C124" s="550"/>
    </row>
    <row r="125" spans="1:3" ht="16.5" customHeight="1" hidden="1">
      <c r="A125" s="1241" t="s">
        <v>1332</v>
      </c>
      <c r="B125" s="1242"/>
      <c r="C125" s="550"/>
    </row>
    <row r="126" spans="1:3" ht="16.5" customHeight="1" hidden="1">
      <c r="A126" s="1241" t="s">
        <v>1333</v>
      </c>
      <c r="B126" s="1242"/>
      <c r="C126" s="550"/>
    </row>
    <row r="127" spans="1:3" ht="16.5" customHeight="1" hidden="1">
      <c r="A127" s="1241" t="s">
        <v>1334</v>
      </c>
      <c r="B127" s="1242"/>
      <c r="C127" s="550"/>
    </row>
    <row r="128" spans="1:3" ht="12.75" hidden="1">
      <c r="A128" s="1241" t="s">
        <v>1335</v>
      </c>
      <c r="B128" s="1242"/>
      <c r="C128" s="550"/>
    </row>
    <row r="129" spans="1:4" ht="18" customHeight="1" hidden="1">
      <c r="A129" s="1241" t="s">
        <v>1336</v>
      </c>
      <c r="B129" s="1243" t="s">
        <v>601</v>
      </c>
      <c r="C129" s="1244">
        <f>SUM(C4:C128)</f>
        <v>3960734</v>
      </c>
      <c r="D129" s="30">
        <f>'[1]Ö3'!D297</f>
        <v>2809323</v>
      </c>
    </row>
    <row r="130" spans="1:3" ht="16.5" customHeight="1" hidden="1">
      <c r="A130" s="1241" t="s">
        <v>1337</v>
      </c>
      <c r="B130" s="1242"/>
      <c r="C130" s="550"/>
    </row>
    <row r="131" spans="1:3" ht="16.5" customHeight="1" hidden="1">
      <c r="A131" s="1241" t="s">
        <v>1338</v>
      </c>
      <c r="B131" s="1242"/>
      <c r="C131" s="550"/>
    </row>
    <row r="132" spans="1:3" ht="16.5" customHeight="1" hidden="1">
      <c r="A132" s="1241" t="s">
        <v>1339</v>
      </c>
      <c r="B132" s="551"/>
      <c r="C132" s="552"/>
    </row>
    <row r="133" spans="1:3" ht="16.5" customHeight="1" hidden="1">
      <c r="A133" s="1241" t="s">
        <v>1340</v>
      </c>
      <c r="B133" s="1245"/>
      <c r="C133" s="11"/>
    </row>
    <row r="134" spans="1:3" ht="16.5" customHeight="1" hidden="1">
      <c r="A134" s="1241" t="s">
        <v>1341</v>
      </c>
      <c r="B134" s="1245"/>
      <c r="C134" s="11"/>
    </row>
    <row r="135" spans="1:4" ht="16.5" customHeight="1" hidden="1">
      <c r="A135" s="1241" t="s">
        <v>1342</v>
      </c>
      <c r="B135" s="1243" t="s">
        <v>602</v>
      </c>
      <c r="C135" s="1244">
        <f>SUM(C130:C134)</f>
        <v>0</v>
      </c>
      <c r="D135" s="30">
        <f>'[1]14'!C51</f>
        <v>1000</v>
      </c>
    </row>
    <row r="136" spans="1:3" ht="17.25" customHeight="1" hidden="1">
      <c r="A136" s="1241" t="s">
        <v>1343</v>
      </c>
      <c r="B136" s="1242"/>
      <c r="C136" s="550"/>
    </row>
    <row r="137" spans="1:3" ht="17.25" customHeight="1" hidden="1">
      <c r="A137" s="1241" t="s">
        <v>1344</v>
      </c>
      <c r="B137" s="1246"/>
      <c r="C137" s="550"/>
    </row>
    <row r="138" spans="1:3" ht="17.25" customHeight="1" hidden="1">
      <c r="A138" s="1241" t="s">
        <v>1345</v>
      </c>
      <c r="B138" s="1247"/>
      <c r="C138" s="550"/>
    </row>
    <row r="139" spans="1:3" ht="17.25" customHeight="1" hidden="1">
      <c r="A139" s="1241" t="s">
        <v>1346</v>
      </c>
      <c r="B139" s="1248"/>
      <c r="C139" s="550"/>
    </row>
    <row r="140" spans="1:3" ht="17.25" customHeight="1" hidden="1">
      <c r="A140" s="1241" t="s">
        <v>1347</v>
      </c>
      <c r="B140" s="1248"/>
      <c r="C140" s="550"/>
    </row>
    <row r="141" spans="1:3" ht="17.25" customHeight="1" hidden="1">
      <c r="A141" s="1241" t="s">
        <v>1348</v>
      </c>
      <c r="B141" s="1248"/>
      <c r="C141" s="550"/>
    </row>
    <row r="142" spans="1:3" ht="17.25" customHeight="1" hidden="1">
      <c r="A142" s="1241" t="s">
        <v>1349</v>
      </c>
      <c r="B142" s="1248"/>
      <c r="C142" s="550"/>
    </row>
    <row r="143" spans="1:3" ht="17.25" customHeight="1" hidden="1">
      <c r="A143" s="1241" t="s">
        <v>1350</v>
      </c>
      <c r="B143" s="1248"/>
      <c r="C143" s="550"/>
    </row>
    <row r="144" spans="1:3" ht="17.25" customHeight="1" hidden="1">
      <c r="A144" s="1241" t="s">
        <v>1351</v>
      </c>
      <c r="B144" s="1248"/>
      <c r="C144" s="550"/>
    </row>
    <row r="145" spans="1:3" ht="17.25" customHeight="1" hidden="1">
      <c r="A145" s="1241" t="s">
        <v>1352</v>
      </c>
      <c r="B145" s="1242"/>
      <c r="C145" s="550"/>
    </row>
    <row r="146" spans="1:3" ht="17.25" customHeight="1" hidden="1">
      <c r="A146" s="1241" t="s">
        <v>1353</v>
      </c>
      <c r="B146" s="1242"/>
      <c r="C146" s="550"/>
    </row>
    <row r="147" spans="1:4" ht="17.25" customHeight="1" hidden="1">
      <c r="A147" s="1241" t="s">
        <v>1354</v>
      </c>
      <c r="B147" s="1243" t="s">
        <v>603</v>
      </c>
      <c r="C147" s="1244">
        <f>SUM(C136:C146)</f>
        <v>0</v>
      </c>
      <c r="D147" s="30">
        <f>'[1]13'!C51</f>
        <v>17900</v>
      </c>
    </row>
    <row r="148" spans="1:3" ht="17.25" customHeight="1" hidden="1">
      <c r="A148" s="1241" t="s">
        <v>1355</v>
      </c>
      <c r="B148" s="1242"/>
      <c r="C148" s="550"/>
    </row>
    <row r="149" spans="1:3" ht="17.25" customHeight="1" hidden="1">
      <c r="A149" s="1241" t="s">
        <v>1356</v>
      </c>
      <c r="B149" s="1242"/>
      <c r="C149" s="550"/>
    </row>
    <row r="150" spans="1:3" ht="17.25" customHeight="1" hidden="1">
      <c r="A150" s="1241" t="s">
        <v>1357</v>
      </c>
      <c r="B150" s="1242"/>
      <c r="C150" s="550"/>
    </row>
    <row r="151" spans="1:4" ht="17.25" customHeight="1" hidden="1">
      <c r="A151" s="1241" t="s">
        <v>1358</v>
      </c>
      <c r="B151" s="1243" t="s">
        <v>604</v>
      </c>
      <c r="C151" s="1244">
        <f>SUM(C148:C150)</f>
        <v>0</v>
      </c>
      <c r="D151" s="30">
        <f>'[1]12'!C51</f>
        <v>8270</v>
      </c>
    </row>
    <row r="152" spans="1:3" ht="15.75" customHeight="1" hidden="1">
      <c r="A152" s="1241" t="s">
        <v>1359</v>
      </c>
      <c r="B152" s="1242"/>
      <c r="C152" s="550"/>
    </row>
    <row r="153" spans="1:3" ht="15.75" customHeight="1" hidden="1">
      <c r="A153" s="1241" t="s">
        <v>1360</v>
      </c>
      <c r="B153" s="1242"/>
      <c r="C153" s="550"/>
    </row>
    <row r="154" spans="1:3" ht="15.75" customHeight="1" hidden="1">
      <c r="A154" s="1241" t="s">
        <v>1361</v>
      </c>
      <c r="B154" s="1242"/>
      <c r="C154" s="550"/>
    </row>
    <row r="155" spans="1:3" ht="15.75" customHeight="1" hidden="1">
      <c r="A155" s="1241" t="s">
        <v>1362</v>
      </c>
      <c r="B155" s="1242"/>
      <c r="C155" s="550"/>
    </row>
    <row r="156" spans="1:3" ht="15.75" customHeight="1" hidden="1">
      <c r="A156" s="1241" t="s">
        <v>1363</v>
      </c>
      <c r="B156" s="1242"/>
      <c r="C156" s="550"/>
    </row>
    <row r="157" spans="1:3" ht="15.75" customHeight="1" hidden="1">
      <c r="A157" s="1241" t="s">
        <v>1364</v>
      </c>
      <c r="B157" s="1242"/>
      <c r="C157" s="550"/>
    </row>
    <row r="158" spans="1:3" ht="15.75" customHeight="1" hidden="1">
      <c r="A158" s="1241" t="s">
        <v>1365</v>
      </c>
      <c r="B158" s="1242"/>
      <c r="C158" s="550"/>
    </row>
    <row r="159" spans="1:3" ht="15.75" customHeight="1" hidden="1">
      <c r="A159" s="1241" t="s">
        <v>1366</v>
      </c>
      <c r="B159" s="1242"/>
      <c r="C159" s="550"/>
    </row>
    <row r="160" spans="1:3" ht="15.75" customHeight="1" hidden="1">
      <c r="A160" s="1241" t="s">
        <v>1367</v>
      </c>
      <c r="B160" s="1242"/>
      <c r="C160" s="550"/>
    </row>
    <row r="161" spans="1:3" ht="17.25" customHeight="1" hidden="1">
      <c r="A161" s="1241" t="s">
        <v>1368</v>
      </c>
      <c r="B161" s="1242"/>
      <c r="C161" s="550"/>
    </row>
    <row r="162" spans="1:3" ht="17.25" customHeight="1" hidden="1">
      <c r="A162" s="1241" t="s">
        <v>1369</v>
      </c>
      <c r="B162" s="1242"/>
      <c r="C162" s="550"/>
    </row>
    <row r="163" spans="1:4" ht="17.25" customHeight="1" hidden="1" thickBot="1">
      <c r="A163" s="1241" t="s">
        <v>1370</v>
      </c>
      <c r="B163" s="1243" t="s">
        <v>605</v>
      </c>
      <c r="C163" s="1244">
        <f>SUM(C152:C162)</f>
        <v>0</v>
      </c>
      <c r="D163" s="30">
        <f>'[1]11'!C51</f>
        <v>1625</v>
      </c>
    </row>
    <row r="164" spans="1:3" ht="17.25" customHeight="1" thickBot="1">
      <c r="A164" s="554"/>
      <c r="B164" s="555" t="s">
        <v>606</v>
      </c>
      <c r="C164" s="556">
        <f>C129+C135+C147+C151+C163</f>
        <v>3960734</v>
      </c>
    </row>
    <row r="166" spans="1:2" s="559" customFormat="1" ht="12.75">
      <c r="A166" s="557"/>
      <c r="B166" s="558" t="s">
        <v>607</v>
      </c>
    </row>
    <row r="167" spans="1:3" ht="14.25" customHeight="1">
      <c r="A167" s="560" t="s">
        <v>17</v>
      </c>
      <c r="B167" s="1375" t="s">
        <v>1206</v>
      </c>
      <c r="C167" s="1376">
        <v>19559</v>
      </c>
    </row>
    <row r="168" spans="1:3" ht="14.25" customHeight="1">
      <c r="A168" s="560" t="s">
        <v>18</v>
      </c>
      <c r="B168" s="1375" t="s">
        <v>960</v>
      </c>
      <c r="C168" s="1376">
        <v>15000</v>
      </c>
    </row>
    <row r="169" spans="1:3" ht="14.25" customHeight="1">
      <c r="A169" s="560" t="s">
        <v>19</v>
      </c>
      <c r="B169" s="1375" t="s">
        <v>1208</v>
      </c>
      <c r="C169" s="1376">
        <v>215898</v>
      </c>
    </row>
    <row r="170" spans="1:3" ht="14.25" customHeight="1">
      <c r="A170" s="560" t="s">
        <v>20</v>
      </c>
      <c r="B170" s="1375" t="s">
        <v>1202</v>
      </c>
      <c r="C170" s="1376">
        <v>793929</v>
      </c>
    </row>
    <row r="171" spans="1:3" ht="14.25" customHeight="1">
      <c r="A171" s="560" t="s">
        <v>21</v>
      </c>
      <c r="B171" s="1375" t="s">
        <v>1219</v>
      </c>
      <c r="C171" s="1376">
        <v>379</v>
      </c>
    </row>
    <row r="172" spans="1:3" ht="14.25" customHeight="1">
      <c r="A172" s="560" t="s">
        <v>22</v>
      </c>
      <c r="B172" s="1375" t="s">
        <v>1248</v>
      </c>
      <c r="C172" s="1376">
        <v>3860</v>
      </c>
    </row>
    <row r="173" spans="1:3" ht="14.25" customHeight="1">
      <c r="A173" s="560" t="s">
        <v>23</v>
      </c>
      <c r="B173" s="1242" t="s">
        <v>1316</v>
      </c>
      <c r="C173" s="1376">
        <v>3821</v>
      </c>
    </row>
    <row r="174" spans="1:3" ht="14.25" customHeight="1" hidden="1">
      <c r="A174" s="560" t="s">
        <v>23</v>
      </c>
      <c r="B174" s="561"/>
      <c r="C174" s="562"/>
    </row>
    <row r="175" spans="1:3" ht="14.25" customHeight="1">
      <c r="A175" s="560"/>
      <c r="B175" s="563" t="s">
        <v>608</v>
      </c>
      <c r="C175" s="564">
        <f>C167+C168+C169+C170+C171+C172+C173</f>
        <v>1052446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 dőlt"6.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375" defaultRowHeight="12.75"/>
  <cols>
    <col min="1" max="1" width="4.375" style="31" customWidth="1"/>
    <col min="2" max="2" width="101.50390625" style="30" customWidth="1"/>
    <col min="3" max="3" width="16.375" style="30" customWidth="1"/>
    <col min="4" max="5" width="12.875" style="30" customWidth="1"/>
    <col min="6" max="6" width="13.875" style="30" customWidth="1"/>
    <col min="7" max="16384" width="9.375" style="30" customWidth="1"/>
  </cols>
  <sheetData>
    <row r="1" spans="1:3" ht="37.5" customHeight="1">
      <c r="A1" s="1438" t="s">
        <v>612</v>
      </c>
      <c r="B1" s="1438"/>
      <c r="C1" s="1438"/>
    </row>
    <row r="2" spans="1:3" ht="23.25" customHeight="1" thickBot="1">
      <c r="A2" s="173"/>
      <c r="B2" s="40"/>
      <c r="C2" s="40"/>
    </row>
    <row r="3" spans="1:3" s="33" customFormat="1" ht="48.75" customHeight="1" thickBot="1">
      <c r="A3" s="545"/>
      <c r="B3" s="546" t="s">
        <v>611</v>
      </c>
      <c r="C3" s="39" t="s">
        <v>1211</v>
      </c>
    </row>
    <row r="4" spans="1:3" s="40" customFormat="1" ht="16.5" customHeight="1">
      <c r="A4" s="547" t="s">
        <v>17</v>
      </c>
      <c r="B4" s="548" t="str">
        <f>'Ö3'!B300</f>
        <v>Fő tér (Gáti gödör) támfalak kerámialapok és műkő fedlapok javítása, pótlása</v>
      </c>
      <c r="C4" s="549">
        <f>'Ö3'!D300</f>
        <v>506</v>
      </c>
    </row>
    <row r="5" spans="1:3" ht="15.75" customHeight="1">
      <c r="A5" s="547" t="s">
        <v>18</v>
      </c>
      <c r="B5" s="548" t="str">
        <f>'Ö3'!B301</f>
        <v>Önkormányzati lakások, ingatanok folyamatos felújítása</v>
      </c>
      <c r="C5" s="549">
        <f>'Ö3'!D301</f>
        <v>8096</v>
      </c>
    </row>
    <row r="6" spans="1:3" ht="16.5" customHeight="1">
      <c r="A6" s="547" t="s">
        <v>19</v>
      </c>
      <c r="B6" s="548" t="str">
        <f>'Ö3'!B302</f>
        <v>Petőfi sétány rekonstrukció (Táncsics u. - Tátra utca között)</v>
      </c>
      <c r="C6" s="549">
        <f>'Ö3'!D302</f>
        <v>30000</v>
      </c>
    </row>
    <row r="7" spans="1:3" ht="16.5" customHeight="1">
      <c r="A7" s="547" t="s">
        <v>20</v>
      </c>
      <c r="B7" s="548" t="str">
        <f>'Ö3'!B303</f>
        <v>Koch Róbert utca posta melletti játszótér balesetveszélyes burkolatának cseréje</v>
      </c>
      <c r="C7" s="549">
        <f>'Ö3'!D303</f>
        <v>0</v>
      </c>
    </row>
    <row r="8" spans="1:3" ht="16.5" customHeight="1">
      <c r="A8" s="547" t="s">
        <v>21</v>
      </c>
      <c r="B8" s="548" t="str">
        <f>'Ö3'!B304</f>
        <v>Reviczky utcában a Koltói utca - Korányi utca közötti szakasz meglévő betonlapos járda átforgatása</v>
      </c>
      <c r="C8" s="549">
        <f>'Ö3'!D304</f>
        <v>600</v>
      </c>
    </row>
    <row r="9" spans="1:3" ht="16.5" customHeight="1">
      <c r="A9" s="547" t="s">
        <v>22</v>
      </c>
      <c r="B9" s="548" t="str">
        <f>'Ö3'!B305</f>
        <v>Fő utca (Sió utca - Mixmárket udvar közötti szakasz) déli oldalán aszfalt burkolatú járda térkövezése</v>
      </c>
      <c r="C9" s="549">
        <f>'Ö3'!D305</f>
        <v>7330</v>
      </c>
    </row>
    <row r="10" spans="1:3" ht="16.5" customHeight="1">
      <c r="A10" s="547" t="s">
        <v>23</v>
      </c>
      <c r="B10" s="548" t="str">
        <f>'Ö3'!B306</f>
        <v>Vámház utca (Semmelweis utca - Kossuth utca között) útburkolat felújítása</v>
      </c>
      <c r="C10" s="549">
        <f>'Ö3'!D306</f>
        <v>14400</v>
      </c>
    </row>
    <row r="11" spans="1:3" ht="16.5" customHeight="1">
      <c r="A11" s="547" t="s">
        <v>24</v>
      </c>
      <c r="B11" s="548" t="str">
        <f>'Ö3'!B307</f>
        <v>Darnay tér keleti oldal csapadékvíz átemelő felújítása</v>
      </c>
      <c r="C11" s="549">
        <f>'Ö3'!D307</f>
        <v>3600</v>
      </c>
    </row>
    <row r="12" spans="1:3" ht="16.5" customHeight="1">
      <c r="A12" s="547" t="s">
        <v>25</v>
      </c>
      <c r="B12" s="548" t="str">
        <f>'Ö3'!B308</f>
        <v>Szent László utca 160. szám alatti csapadékvíz átemelő felújítása</v>
      </c>
      <c r="C12" s="549">
        <f>'Ö3'!D308</f>
        <v>9500</v>
      </c>
    </row>
    <row r="13" spans="1:3" ht="16.5" customHeight="1">
      <c r="A13" s="547" t="s">
        <v>26</v>
      </c>
      <c r="B13" s="548" t="str">
        <f>'Ö3'!B309</f>
        <v>Fő utca járda felújítása buszpályaudvar és Dózsa Gy. u. közötti szakaszon északi oldalon</v>
      </c>
      <c r="C13" s="549">
        <f>'Ö3'!D309</f>
        <v>25500</v>
      </c>
    </row>
    <row r="14" spans="1:3" ht="16.5" customHeight="1">
      <c r="A14" s="547" t="s">
        <v>27</v>
      </c>
      <c r="B14" s="548" t="str">
        <f>'Ö3'!B310</f>
        <v>Hóvirág utcában út aszfaltozása, csapadékvíz elvezető árok felújítása</v>
      </c>
      <c r="C14" s="549">
        <f>'Ö3'!D310</f>
        <v>16200</v>
      </c>
    </row>
    <row r="15" spans="1:3" ht="16.5" customHeight="1">
      <c r="A15" s="547" t="s">
        <v>28</v>
      </c>
      <c r="B15" s="548" t="str">
        <f>'Ö3'!B311</f>
        <v>Sorház u. - Bajcsy Zs. u. közötti járda feléújítás a Sió u.-ban</v>
      </c>
      <c r="C15" s="549">
        <f>'Ö3'!D311</f>
        <v>8000</v>
      </c>
    </row>
    <row r="16" spans="1:3" ht="16.5" customHeight="1">
      <c r="A16" s="547" t="s">
        <v>29</v>
      </c>
      <c r="B16" s="548" t="str">
        <f>'Ö3'!B312</f>
        <v>Puskás T. u. 3. sz. előtti járda felújítása</v>
      </c>
      <c r="C16" s="549">
        <f>'Ö3'!D312</f>
        <v>800</v>
      </c>
    </row>
    <row r="17" spans="1:3" ht="16.5" customHeight="1">
      <c r="A17" s="547" t="s">
        <v>30</v>
      </c>
      <c r="B17" s="548" t="str">
        <f>'Ö3'!B313</f>
        <v>Siófoki Református Egyházközség (parókia épület felújítás)</v>
      </c>
      <c r="C17" s="549">
        <f>'Ö3'!D313</f>
        <v>4000</v>
      </c>
    </row>
    <row r="18" spans="1:3" ht="16.5" customHeight="1" thickBot="1">
      <c r="A18" s="547" t="s">
        <v>31</v>
      </c>
      <c r="B18" s="548" t="str">
        <f>'Ö3'!B314</f>
        <v>Krúdy Iskola előtti padok és iskola területén lévő lelátók felújítása</v>
      </c>
      <c r="C18" s="549">
        <f>'Ö3'!D314</f>
        <v>7500</v>
      </c>
    </row>
    <row r="19" spans="1:3" ht="16.5" customHeight="1" hidden="1" thickBot="1">
      <c r="A19" s="547" t="s">
        <v>32</v>
      </c>
      <c r="B19" s="565"/>
      <c r="C19" s="566"/>
    </row>
    <row r="20" spans="1:3" ht="18" customHeight="1" thickBot="1">
      <c r="A20" s="567"/>
      <c r="B20" s="568" t="s">
        <v>601</v>
      </c>
      <c r="C20" s="569">
        <f>SUM(C4:C19)</f>
        <v>136032</v>
      </c>
    </row>
    <row r="22" spans="1:2" s="559" customFormat="1" ht="12.75">
      <c r="A22" s="557"/>
      <c r="B22" s="558" t="s">
        <v>607</v>
      </c>
    </row>
    <row r="23" spans="1:3" ht="15" customHeight="1">
      <c r="A23" s="560" t="s">
        <v>17</v>
      </c>
      <c r="B23" s="561" t="str">
        <f>B17</f>
        <v>Siófoki Református Egyházközség (parókia épület felújítás)</v>
      </c>
      <c r="C23" s="562">
        <f>C17</f>
        <v>4000</v>
      </c>
    </row>
    <row r="24" spans="1:3" ht="12.75" hidden="1">
      <c r="A24" s="560" t="s">
        <v>18</v>
      </c>
      <c r="B24" s="561"/>
      <c r="C24" s="562"/>
    </row>
    <row r="25" spans="1:3" ht="12.75" hidden="1">
      <c r="A25" s="560" t="s">
        <v>19</v>
      </c>
      <c r="B25" s="561"/>
      <c r="C25" s="562"/>
    </row>
    <row r="26" spans="1:3" ht="12.75" hidden="1">
      <c r="A26" s="560" t="s">
        <v>20</v>
      </c>
      <c r="B26" s="561"/>
      <c r="C26" s="562"/>
    </row>
    <row r="27" spans="1:3" ht="12.75" hidden="1">
      <c r="A27" s="560" t="s">
        <v>21</v>
      </c>
      <c r="B27" s="561"/>
      <c r="C27" s="562"/>
    </row>
    <row r="28" spans="1:3" ht="12.75" hidden="1">
      <c r="A28" s="560" t="s">
        <v>22</v>
      </c>
      <c r="B28" s="561"/>
      <c r="C28" s="562"/>
    </row>
    <row r="29" spans="1:3" ht="12.75" hidden="1">
      <c r="A29" s="560" t="s">
        <v>23</v>
      </c>
      <c r="B29" s="561"/>
      <c r="C29" s="562"/>
    </row>
    <row r="30" spans="1:3" ht="12.75">
      <c r="A30" s="560"/>
      <c r="B30" s="563" t="s">
        <v>608</v>
      </c>
      <c r="C30" s="564">
        <f>C23+C24+C25+C26+C27+C28</f>
        <v>4000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80" r:id="rId1"/>
  <headerFooter>
    <oddHeader>&amp;R&amp;"Times New Roman CE,Félkövér dőlt"7.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243"/>
  <sheetViews>
    <sheetView zoomScaleSheetLayoutView="136" zoomScalePageLayoutView="0" workbookViewId="0" topLeftCell="A1">
      <selection activeCell="A1" sqref="A1"/>
    </sheetView>
  </sheetViews>
  <sheetFormatPr defaultColWidth="9.375" defaultRowHeight="12.75"/>
  <cols>
    <col min="1" max="1" width="38.625" style="34" customWidth="1"/>
    <col min="2" max="5" width="13.875" style="34" customWidth="1"/>
    <col min="6" max="16384" width="9.375" style="34" customWidth="1"/>
  </cols>
  <sheetData>
    <row r="1" spans="1:5" ht="12.75">
      <c r="A1" s="193"/>
      <c r="B1" s="193"/>
      <c r="C1" s="193"/>
      <c r="D1" s="193"/>
      <c r="E1" s="193"/>
    </row>
    <row r="2" spans="1:5" ht="15.75">
      <c r="A2" s="194" t="s">
        <v>135</v>
      </c>
      <c r="B2" s="1440" t="s">
        <v>1156</v>
      </c>
      <c r="C2" s="1440"/>
      <c r="D2" s="1440"/>
      <c r="E2" s="1440"/>
    </row>
    <row r="3" spans="1:5" ht="14.25" thickBot="1">
      <c r="A3" s="193" t="s">
        <v>1157</v>
      </c>
      <c r="B3" s="193"/>
      <c r="C3" s="193"/>
      <c r="D3" s="1439" t="s">
        <v>128</v>
      </c>
      <c r="E3" s="1439"/>
    </row>
    <row r="4" spans="1:5" ht="15" customHeight="1" thickBot="1">
      <c r="A4" s="195" t="s">
        <v>127</v>
      </c>
      <c r="B4" s="196" t="s">
        <v>613</v>
      </c>
      <c r="C4" s="196" t="s">
        <v>614</v>
      </c>
      <c r="D4" s="196" t="s">
        <v>615</v>
      </c>
      <c r="E4" s="197" t="s">
        <v>50</v>
      </c>
    </row>
    <row r="5" spans="1:5" ht="12.75">
      <c r="A5" s="198" t="s">
        <v>129</v>
      </c>
      <c r="B5" s="73"/>
      <c r="C5" s="73"/>
      <c r="D5" s="73"/>
      <c r="E5" s="199">
        <f aca="true" t="shared" si="0" ref="E5:E11">SUM(B5:D5)</f>
        <v>0</v>
      </c>
    </row>
    <row r="6" spans="1:5" ht="12.75">
      <c r="A6" s="200" t="s">
        <v>142</v>
      </c>
      <c r="B6" s="74"/>
      <c r="C6" s="74"/>
      <c r="D6" s="74"/>
      <c r="E6" s="201">
        <f t="shared" si="0"/>
        <v>0</v>
      </c>
    </row>
    <row r="7" spans="1:5" ht="12.75">
      <c r="A7" s="202" t="s">
        <v>130</v>
      </c>
      <c r="B7" s="75">
        <v>19000</v>
      </c>
      <c r="C7" s="75"/>
      <c r="D7" s="75"/>
      <c r="E7" s="203">
        <f t="shared" si="0"/>
        <v>19000</v>
      </c>
    </row>
    <row r="8" spans="1:5" ht="12.75">
      <c r="A8" s="202" t="s">
        <v>143</v>
      </c>
      <c r="B8" s="75"/>
      <c r="C8" s="75"/>
      <c r="D8" s="75"/>
      <c r="E8" s="203">
        <f t="shared" si="0"/>
        <v>0</v>
      </c>
    </row>
    <row r="9" spans="1:5" ht="12.75">
      <c r="A9" s="202" t="s">
        <v>131</v>
      </c>
      <c r="B9" s="75"/>
      <c r="C9" s="75"/>
      <c r="D9" s="75"/>
      <c r="E9" s="203">
        <f t="shared" si="0"/>
        <v>0</v>
      </c>
    </row>
    <row r="10" spans="1:5" ht="12.75">
      <c r="A10" s="202" t="s">
        <v>132</v>
      </c>
      <c r="B10" s="75"/>
      <c r="C10" s="75"/>
      <c r="D10" s="75"/>
      <c r="E10" s="203">
        <f t="shared" si="0"/>
        <v>0</v>
      </c>
    </row>
    <row r="11" spans="1:5" ht="13.5" thickBot="1">
      <c r="A11" s="76"/>
      <c r="B11" s="77"/>
      <c r="C11" s="77"/>
      <c r="D11" s="77"/>
      <c r="E11" s="203">
        <f t="shared" si="0"/>
        <v>0</v>
      </c>
    </row>
    <row r="12" spans="1:5" ht="13.5" thickBot="1">
      <c r="A12" s="204" t="s">
        <v>134</v>
      </c>
      <c r="B12" s="205">
        <f>B5+SUM(B7:B11)</f>
        <v>19000</v>
      </c>
      <c r="C12" s="205">
        <f>C5+SUM(C7:C11)</f>
        <v>0</v>
      </c>
      <c r="D12" s="205">
        <f>D5+SUM(D7:D11)</f>
        <v>0</v>
      </c>
      <c r="E12" s="206">
        <f>E5+SUM(E7:E11)</f>
        <v>19000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95" t="s">
        <v>133</v>
      </c>
      <c r="B14" s="196" t="str">
        <f>+B4</f>
        <v>2015.</v>
      </c>
      <c r="C14" s="196" t="str">
        <f>+C4</f>
        <v>2016.</v>
      </c>
      <c r="D14" s="196" t="str">
        <f>+D4</f>
        <v>2016. után</v>
      </c>
      <c r="E14" s="197" t="s">
        <v>50</v>
      </c>
    </row>
    <row r="15" spans="1:5" ht="12.75">
      <c r="A15" s="198" t="s">
        <v>138</v>
      </c>
      <c r="B15" s="73"/>
      <c r="C15" s="73"/>
      <c r="D15" s="73"/>
      <c r="E15" s="199">
        <f aca="true" t="shared" si="1" ref="E15:E21">SUM(B15:D15)</f>
        <v>0</v>
      </c>
    </row>
    <row r="16" spans="1:5" ht="12.75">
      <c r="A16" s="207" t="s">
        <v>139</v>
      </c>
      <c r="B16" s="75">
        <v>24200</v>
      </c>
      <c r="C16" s="75"/>
      <c r="D16" s="75"/>
      <c r="E16" s="203">
        <f t="shared" si="1"/>
        <v>24200</v>
      </c>
    </row>
    <row r="17" spans="1:5" ht="12.75">
      <c r="A17" s="202" t="s">
        <v>140</v>
      </c>
      <c r="B17" s="75">
        <v>4800</v>
      </c>
      <c r="C17" s="75"/>
      <c r="D17" s="75"/>
      <c r="E17" s="203">
        <f t="shared" si="1"/>
        <v>4800</v>
      </c>
    </row>
    <row r="18" spans="1:5" ht="12.75">
      <c r="A18" s="202" t="s">
        <v>141</v>
      </c>
      <c r="B18" s="75"/>
      <c r="C18" s="75"/>
      <c r="D18" s="75"/>
      <c r="E18" s="203">
        <f t="shared" si="1"/>
        <v>0</v>
      </c>
    </row>
    <row r="19" spans="1:5" ht="12.75">
      <c r="A19" s="78" t="s">
        <v>914</v>
      </c>
      <c r="B19" s="75">
        <v>1000</v>
      </c>
      <c r="C19" s="75"/>
      <c r="D19" s="75"/>
      <c r="E19" s="203">
        <f t="shared" si="1"/>
        <v>1000</v>
      </c>
    </row>
    <row r="20" spans="1:5" ht="12.75">
      <c r="A20" s="78"/>
      <c r="B20" s="75"/>
      <c r="C20" s="75"/>
      <c r="D20" s="75"/>
      <c r="E20" s="203">
        <f t="shared" si="1"/>
        <v>0</v>
      </c>
    </row>
    <row r="21" spans="1:5" ht="13.5" thickBot="1">
      <c r="A21" s="76"/>
      <c r="B21" s="77"/>
      <c r="C21" s="77"/>
      <c r="D21" s="77"/>
      <c r="E21" s="203">
        <f t="shared" si="1"/>
        <v>0</v>
      </c>
    </row>
    <row r="22" spans="1:5" ht="13.5" thickBot="1">
      <c r="A22" s="204" t="s">
        <v>52</v>
      </c>
      <c r="B22" s="205">
        <f>SUM(B15:B21)</f>
        <v>30000</v>
      </c>
      <c r="C22" s="205">
        <f>SUM(C15:C21)</f>
        <v>0</v>
      </c>
      <c r="D22" s="205">
        <f>SUM(D15:D21)</f>
        <v>0</v>
      </c>
      <c r="E22" s="206">
        <f>SUM(E15:E21)</f>
        <v>30000</v>
      </c>
    </row>
    <row r="23" spans="1:5" ht="12.75">
      <c r="A23" s="193"/>
      <c r="B23" s="193"/>
      <c r="C23" s="193"/>
      <c r="D23" s="193"/>
      <c r="E23" s="193"/>
    </row>
    <row r="24" spans="1:5" ht="12.75">
      <c r="A24" s="193"/>
      <c r="B24" s="193"/>
      <c r="C24" s="193"/>
      <c r="D24" s="193"/>
      <c r="E24" s="193"/>
    </row>
    <row r="25" spans="1:5" ht="15.75">
      <c r="A25" s="194" t="s">
        <v>135</v>
      </c>
      <c r="B25" s="1440" t="s">
        <v>1158</v>
      </c>
      <c r="C25" s="1440"/>
      <c r="D25" s="1440"/>
      <c r="E25" s="1440"/>
    </row>
    <row r="26" spans="1:5" ht="14.25" thickBot="1">
      <c r="A26" s="193" t="s">
        <v>1159</v>
      </c>
      <c r="B26" s="193"/>
      <c r="C26" s="193"/>
      <c r="E26" s="1327" t="s">
        <v>128</v>
      </c>
    </row>
    <row r="27" spans="1:5" ht="13.5" thickBot="1">
      <c r="A27" s="195" t="s">
        <v>127</v>
      </c>
      <c r="B27" s="196" t="str">
        <f>+B14</f>
        <v>2015.</v>
      </c>
      <c r="C27" s="196" t="str">
        <f>+C14</f>
        <v>2016.</v>
      </c>
      <c r="D27" s="196" t="str">
        <f>+D14</f>
        <v>2016. után</v>
      </c>
      <c r="E27" s="197" t="s">
        <v>50</v>
      </c>
    </row>
    <row r="28" spans="1:5" ht="12.75">
      <c r="A28" s="198" t="s">
        <v>129</v>
      </c>
      <c r="B28" s="73">
        <v>24563</v>
      </c>
      <c r="C28" s="73"/>
      <c r="D28" s="73"/>
      <c r="E28" s="199">
        <f aca="true" t="shared" si="2" ref="E28:E34">SUM(B28:D28)</f>
        <v>24563</v>
      </c>
    </row>
    <row r="29" spans="1:5" ht="12.75">
      <c r="A29" s="200" t="s">
        <v>142</v>
      </c>
      <c r="B29" s="74"/>
      <c r="C29" s="74"/>
      <c r="D29" s="74"/>
      <c r="E29" s="201">
        <f t="shared" si="2"/>
        <v>0</v>
      </c>
    </row>
    <row r="30" spans="1:5" ht="12.75">
      <c r="A30" s="202" t="s">
        <v>130</v>
      </c>
      <c r="B30" s="75">
        <v>329580</v>
      </c>
      <c r="C30" s="75"/>
      <c r="D30" s="75"/>
      <c r="E30" s="203">
        <f t="shared" si="2"/>
        <v>329580</v>
      </c>
    </row>
    <row r="31" spans="1:5" ht="12.75">
      <c r="A31" s="202" t="s">
        <v>143</v>
      </c>
      <c r="B31" s="75">
        <v>12057</v>
      </c>
      <c r="C31" s="75"/>
      <c r="D31" s="75"/>
      <c r="E31" s="203">
        <f t="shared" si="2"/>
        <v>12057</v>
      </c>
    </row>
    <row r="32" spans="1:5" ht="12.75">
      <c r="A32" s="202" t="s">
        <v>131</v>
      </c>
      <c r="B32" s="75"/>
      <c r="C32" s="75"/>
      <c r="D32" s="75"/>
      <c r="E32" s="203">
        <f t="shared" si="2"/>
        <v>0</v>
      </c>
    </row>
    <row r="33" spans="1:5" ht="12.75">
      <c r="A33" s="202" t="s">
        <v>132</v>
      </c>
      <c r="B33" s="75"/>
      <c r="C33" s="75"/>
      <c r="D33" s="75"/>
      <c r="E33" s="203">
        <f t="shared" si="2"/>
        <v>0</v>
      </c>
    </row>
    <row r="34" spans="1:5" ht="13.5" thickBot="1">
      <c r="A34" s="76"/>
      <c r="B34" s="77"/>
      <c r="C34" s="77"/>
      <c r="D34" s="77"/>
      <c r="E34" s="203">
        <f t="shared" si="2"/>
        <v>0</v>
      </c>
    </row>
    <row r="35" spans="1:5" ht="13.5" thickBot="1">
      <c r="A35" s="204" t="s">
        <v>134</v>
      </c>
      <c r="B35" s="205">
        <f>B28+SUM(B30:B34)</f>
        <v>366200</v>
      </c>
      <c r="C35" s="205">
        <f>C28+SUM(C30:C34)</f>
        <v>0</v>
      </c>
      <c r="D35" s="205">
        <f>D28+SUM(D30:D34)</f>
        <v>0</v>
      </c>
      <c r="E35" s="206">
        <f>E28+SUM(E30:E34)</f>
        <v>366200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95" t="s">
        <v>133</v>
      </c>
      <c r="B37" s="196" t="str">
        <f>+B27</f>
        <v>2015.</v>
      </c>
      <c r="C37" s="196" t="str">
        <f>+C27</f>
        <v>2016.</v>
      </c>
      <c r="D37" s="196" t="str">
        <f>+D27</f>
        <v>2016. után</v>
      </c>
      <c r="E37" s="197" t="s">
        <v>50</v>
      </c>
    </row>
    <row r="38" spans="1:5" ht="12.75">
      <c r="A38" s="198" t="s">
        <v>138</v>
      </c>
      <c r="B38" s="73"/>
      <c r="C38" s="73"/>
      <c r="D38" s="73"/>
      <c r="E38" s="199">
        <f aca="true" t="shared" si="3" ref="E38:E44">SUM(B38:D38)</f>
        <v>0</v>
      </c>
    </row>
    <row r="39" spans="1:5" ht="12.75">
      <c r="A39" s="207" t="s">
        <v>139</v>
      </c>
      <c r="B39" s="75">
        <v>354800</v>
      </c>
      <c r="C39" s="75"/>
      <c r="D39" s="75"/>
      <c r="E39" s="203">
        <f t="shared" si="3"/>
        <v>354800</v>
      </c>
    </row>
    <row r="40" spans="1:5" ht="12.75">
      <c r="A40" s="202" t="s">
        <v>140</v>
      </c>
      <c r="B40" s="75">
        <v>11400</v>
      </c>
      <c r="C40" s="75"/>
      <c r="D40" s="75"/>
      <c r="E40" s="203">
        <f t="shared" si="3"/>
        <v>11400</v>
      </c>
    </row>
    <row r="41" spans="1:5" ht="12.75">
      <c r="A41" s="202" t="s">
        <v>141</v>
      </c>
      <c r="B41" s="75"/>
      <c r="C41" s="75"/>
      <c r="D41" s="75"/>
      <c r="E41" s="203">
        <f t="shared" si="3"/>
        <v>0</v>
      </c>
    </row>
    <row r="42" spans="1:5" ht="12.75">
      <c r="A42" s="78"/>
      <c r="B42" s="75"/>
      <c r="C42" s="75"/>
      <c r="D42" s="75"/>
      <c r="E42" s="203">
        <f t="shared" si="3"/>
        <v>0</v>
      </c>
    </row>
    <row r="43" spans="1:5" ht="12.75">
      <c r="A43" s="78"/>
      <c r="B43" s="75"/>
      <c r="C43" s="75"/>
      <c r="D43" s="75"/>
      <c r="E43" s="203">
        <f t="shared" si="3"/>
        <v>0</v>
      </c>
    </row>
    <row r="44" spans="1:5" ht="13.5" thickBot="1">
      <c r="A44" s="76"/>
      <c r="B44" s="77"/>
      <c r="C44" s="77"/>
      <c r="D44" s="77"/>
      <c r="E44" s="203">
        <f t="shared" si="3"/>
        <v>0</v>
      </c>
    </row>
    <row r="45" spans="1:5" ht="13.5" thickBot="1">
      <c r="A45" s="204" t="s">
        <v>52</v>
      </c>
      <c r="B45" s="205">
        <f>SUM(B38:B44)</f>
        <v>366200</v>
      </c>
      <c r="C45" s="205">
        <f>SUM(C38:C44)</f>
        <v>0</v>
      </c>
      <c r="D45" s="205">
        <f>SUM(D38:D44)</f>
        <v>0</v>
      </c>
      <c r="E45" s="206">
        <f>SUM(E38:E44)</f>
        <v>366200</v>
      </c>
    </row>
    <row r="46" spans="1:5" ht="12.75">
      <c r="A46" s="193"/>
      <c r="B46" s="193"/>
      <c r="C46" s="193"/>
      <c r="D46" s="193"/>
      <c r="E46" s="193"/>
    </row>
    <row r="49" ht="12.75">
      <c r="H49" s="35"/>
    </row>
    <row r="55" spans="1:5" ht="15.75">
      <c r="A55" s="194" t="s">
        <v>135</v>
      </c>
      <c r="B55" s="1440" t="s">
        <v>1160</v>
      </c>
      <c r="C55" s="1440"/>
      <c r="D55" s="1440"/>
      <c r="E55" s="1440"/>
    </row>
    <row r="56" spans="1:5" ht="14.25" thickBot="1">
      <c r="A56" s="193" t="s">
        <v>1161</v>
      </c>
      <c r="B56" s="193"/>
      <c r="C56" s="193"/>
      <c r="E56" s="1326" t="s">
        <v>128</v>
      </c>
    </row>
    <row r="57" spans="1:5" ht="13.5" thickBot="1">
      <c r="A57" s="195" t="s">
        <v>127</v>
      </c>
      <c r="B57" s="196" t="s">
        <v>613</v>
      </c>
      <c r="C57" s="196" t="s">
        <v>614</v>
      </c>
      <c r="D57" s="196" t="s">
        <v>615</v>
      </c>
      <c r="E57" s="197" t="s">
        <v>50</v>
      </c>
    </row>
    <row r="58" spans="1:5" ht="12.75">
      <c r="A58" s="198" t="s">
        <v>129</v>
      </c>
      <c r="B58" s="73"/>
      <c r="C58" s="73"/>
      <c r="D58" s="73"/>
      <c r="E58" s="199">
        <f aca="true" t="shared" si="4" ref="E58:E64">SUM(B58:D58)</f>
        <v>0</v>
      </c>
    </row>
    <row r="59" spans="1:5" ht="12.75">
      <c r="A59" s="200" t="s">
        <v>142</v>
      </c>
      <c r="B59" s="74"/>
      <c r="C59" s="74"/>
      <c r="D59" s="74"/>
      <c r="E59" s="201">
        <f t="shared" si="4"/>
        <v>0</v>
      </c>
    </row>
    <row r="60" spans="1:5" ht="12.75">
      <c r="A60" s="202" t="s">
        <v>130</v>
      </c>
      <c r="B60" s="75">
        <v>149568</v>
      </c>
      <c r="C60" s="75"/>
      <c r="D60" s="75"/>
      <c r="E60" s="203">
        <f t="shared" si="4"/>
        <v>149568</v>
      </c>
    </row>
    <row r="61" spans="1:5" ht="12.75">
      <c r="A61" s="202" t="s">
        <v>143</v>
      </c>
      <c r="B61" s="75"/>
      <c r="C61" s="75"/>
      <c r="D61" s="75"/>
      <c r="E61" s="203">
        <f t="shared" si="4"/>
        <v>0</v>
      </c>
    </row>
    <row r="62" spans="1:5" ht="12.75">
      <c r="A62" s="202" t="s">
        <v>131</v>
      </c>
      <c r="B62" s="75"/>
      <c r="C62" s="75"/>
      <c r="D62" s="75"/>
      <c r="E62" s="203">
        <f t="shared" si="4"/>
        <v>0</v>
      </c>
    </row>
    <row r="63" spans="1:5" ht="12.75">
      <c r="A63" s="202" t="s">
        <v>132</v>
      </c>
      <c r="B63" s="75"/>
      <c r="C63" s="75"/>
      <c r="D63" s="75"/>
      <c r="E63" s="203">
        <f t="shared" si="4"/>
        <v>0</v>
      </c>
    </row>
    <row r="64" spans="1:5" ht="13.5" thickBot="1">
      <c r="A64" s="76"/>
      <c r="B64" s="77"/>
      <c r="C64" s="77"/>
      <c r="D64" s="77"/>
      <c r="E64" s="203">
        <f t="shared" si="4"/>
        <v>0</v>
      </c>
    </row>
    <row r="65" spans="1:5" ht="13.5" thickBot="1">
      <c r="A65" s="204" t="s">
        <v>134</v>
      </c>
      <c r="B65" s="205">
        <f>B58+SUM(B60:B64)</f>
        <v>149568</v>
      </c>
      <c r="C65" s="205">
        <f>C58+SUM(C60:C64)</f>
        <v>0</v>
      </c>
      <c r="D65" s="205">
        <f>D58+SUM(D60:D64)</f>
        <v>0</v>
      </c>
      <c r="E65" s="206">
        <f>E58+SUM(E60:E64)</f>
        <v>149568</v>
      </c>
    </row>
    <row r="66" spans="1:5" ht="13.5" thickBot="1">
      <c r="A66" s="37"/>
      <c r="B66" s="37"/>
      <c r="C66" s="37"/>
      <c r="D66" s="37"/>
      <c r="E66" s="37"/>
    </row>
    <row r="67" spans="1:5" ht="13.5" thickBot="1">
      <c r="A67" s="195" t="s">
        <v>133</v>
      </c>
      <c r="B67" s="196" t="str">
        <f>+B57</f>
        <v>2015.</v>
      </c>
      <c r="C67" s="196" t="str">
        <f>+C57</f>
        <v>2016.</v>
      </c>
      <c r="D67" s="196" t="str">
        <f>+D57</f>
        <v>2016. után</v>
      </c>
      <c r="E67" s="197" t="s">
        <v>50</v>
      </c>
    </row>
    <row r="68" spans="1:5" ht="12.75">
      <c r="A68" s="198" t="s">
        <v>138</v>
      </c>
      <c r="B68" s="73"/>
      <c r="C68" s="73"/>
      <c r="D68" s="73"/>
      <c r="E68" s="199">
        <f aca="true" t="shared" si="5" ref="E68:E74">SUM(B68:D68)</f>
        <v>0</v>
      </c>
    </row>
    <row r="69" spans="1:5" ht="12.75">
      <c r="A69" s="207" t="s">
        <v>139</v>
      </c>
      <c r="B69" s="75">
        <v>149568</v>
      </c>
      <c r="C69" s="75"/>
      <c r="D69" s="75"/>
      <c r="E69" s="203">
        <f t="shared" si="5"/>
        <v>149568</v>
      </c>
    </row>
    <row r="70" spans="1:5" ht="12.75">
      <c r="A70" s="202" t="s">
        <v>140</v>
      </c>
      <c r="B70" s="75"/>
      <c r="C70" s="75"/>
      <c r="D70" s="75"/>
      <c r="E70" s="203">
        <f t="shared" si="5"/>
        <v>0</v>
      </c>
    </row>
    <row r="71" spans="1:5" ht="12.75">
      <c r="A71" s="202" t="s">
        <v>141</v>
      </c>
      <c r="B71" s="75"/>
      <c r="C71" s="75"/>
      <c r="D71" s="75"/>
      <c r="E71" s="203">
        <f t="shared" si="5"/>
        <v>0</v>
      </c>
    </row>
    <row r="72" spans="1:5" ht="12.75">
      <c r="A72" s="78"/>
      <c r="B72" s="75"/>
      <c r="C72" s="75"/>
      <c r="D72" s="75"/>
      <c r="E72" s="203">
        <f t="shared" si="5"/>
        <v>0</v>
      </c>
    </row>
    <row r="73" spans="1:5" ht="12.75">
      <c r="A73" s="78"/>
      <c r="B73" s="75"/>
      <c r="C73" s="75"/>
      <c r="D73" s="75"/>
      <c r="E73" s="203">
        <f t="shared" si="5"/>
        <v>0</v>
      </c>
    </row>
    <row r="74" spans="1:5" ht="13.5" thickBot="1">
      <c r="A74" s="76"/>
      <c r="B74" s="77"/>
      <c r="C74" s="77"/>
      <c r="D74" s="77"/>
      <c r="E74" s="203">
        <f t="shared" si="5"/>
        <v>0</v>
      </c>
    </row>
    <row r="75" spans="1:5" ht="13.5" thickBot="1">
      <c r="A75" s="204" t="s">
        <v>52</v>
      </c>
      <c r="B75" s="205">
        <f>SUM(B68:B74)</f>
        <v>149568</v>
      </c>
      <c r="C75" s="205">
        <f>SUM(C68:C74)</f>
        <v>0</v>
      </c>
      <c r="D75" s="205">
        <f>SUM(D68:D74)</f>
        <v>0</v>
      </c>
      <c r="E75" s="206">
        <f>SUM(E68:E74)</f>
        <v>149568</v>
      </c>
    </row>
    <row r="76" spans="1:5" ht="12.75">
      <c r="A76" s="193"/>
      <c r="B76" s="193"/>
      <c r="C76" s="193"/>
      <c r="D76" s="193"/>
      <c r="E76" s="193"/>
    </row>
    <row r="77" spans="1:5" ht="12.75">
      <c r="A77" s="193"/>
      <c r="B77" s="193"/>
      <c r="C77" s="193"/>
      <c r="D77" s="193"/>
      <c r="E77" s="193"/>
    </row>
    <row r="78" spans="1:5" ht="15.75">
      <c r="A78" s="194" t="s">
        <v>135</v>
      </c>
      <c r="B78" s="1440" t="s">
        <v>1162</v>
      </c>
      <c r="C78" s="1440"/>
      <c r="D78" s="1440"/>
      <c r="E78" s="1440"/>
    </row>
    <row r="79" spans="1:5" ht="14.25" thickBot="1">
      <c r="A79" s="193" t="s">
        <v>1163</v>
      </c>
      <c r="B79" s="193"/>
      <c r="C79" s="193"/>
      <c r="D79" s="1439" t="s">
        <v>128</v>
      </c>
      <c r="E79" s="1439"/>
    </row>
    <row r="80" spans="1:5" ht="13.5" thickBot="1">
      <c r="A80" s="195" t="s">
        <v>127</v>
      </c>
      <c r="B80" s="196" t="str">
        <f>+B67</f>
        <v>2015.</v>
      </c>
      <c r="C80" s="196" t="str">
        <f>+C67</f>
        <v>2016.</v>
      </c>
      <c r="D80" s="196" t="str">
        <f>+D67</f>
        <v>2016. után</v>
      </c>
      <c r="E80" s="197" t="s">
        <v>50</v>
      </c>
    </row>
    <row r="81" spans="1:5" ht="12.75">
      <c r="A81" s="198" t="s">
        <v>129</v>
      </c>
      <c r="B81" s="73"/>
      <c r="C81" s="73"/>
      <c r="D81" s="73"/>
      <c r="E81" s="199">
        <f aca="true" t="shared" si="6" ref="E81:E87">SUM(B81:D81)</f>
        <v>0</v>
      </c>
    </row>
    <row r="82" spans="1:5" ht="12.75">
      <c r="A82" s="200" t="s">
        <v>142</v>
      </c>
      <c r="B82" s="74"/>
      <c r="C82" s="74"/>
      <c r="D82" s="74"/>
      <c r="E82" s="201">
        <f t="shared" si="6"/>
        <v>0</v>
      </c>
    </row>
    <row r="83" spans="1:5" ht="12.75">
      <c r="A83" s="202" t="s">
        <v>130</v>
      </c>
      <c r="B83" s="75">
        <v>426005</v>
      </c>
      <c r="C83" s="75"/>
      <c r="D83" s="75"/>
      <c r="E83" s="203">
        <f t="shared" si="6"/>
        <v>426005</v>
      </c>
    </row>
    <row r="84" spans="1:5" ht="12.75">
      <c r="A84" s="202" t="s">
        <v>143</v>
      </c>
      <c r="B84" s="75"/>
      <c r="C84" s="75"/>
      <c r="D84" s="75"/>
      <c r="E84" s="203">
        <f t="shared" si="6"/>
        <v>0</v>
      </c>
    </row>
    <row r="85" spans="1:5" ht="12.75">
      <c r="A85" s="202" t="s">
        <v>131</v>
      </c>
      <c r="B85" s="75"/>
      <c r="C85" s="75"/>
      <c r="D85" s="75"/>
      <c r="E85" s="203">
        <f t="shared" si="6"/>
        <v>0</v>
      </c>
    </row>
    <row r="86" spans="1:5" ht="12.75">
      <c r="A86" s="202" t="s">
        <v>132</v>
      </c>
      <c r="B86" s="75"/>
      <c r="C86" s="75"/>
      <c r="D86" s="75"/>
      <c r="E86" s="203">
        <f t="shared" si="6"/>
        <v>0</v>
      </c>
    </row>
    <row r="87" spans="1:5" ht="13.5" thickBot="1">
      <c r="A87" s="76"/>
      <c r="B87" s="77"/>
      <c r="C87" s="77"/>
      <c r="D87" s="77"/>
      <c r="E87" s="203">
        <f t="shared" si="6"/>
        <v>0</v>
      </c>
    </row>
    <row r="88" spans="1:5" ht="13.5" thickBot="1">
      <c r="A88" s="204" t="s">
        <v>134</v>
      </c>
      <c r="B88" s="205">
        <f>B81+SUM(B83:B87)</f>
        <v>426005</v>
      </c>
      <c r="C88" s="205">
        <f>C81+SUM(C83:C87)</f>
        <v>0</v>
      </c>
      <c r="D88" s="205">
        <f>D81+SUM(D83:D87)</f>
        <v>0</v>
      </c>
      <c r="E88" s="206">
        <f>E81+SUM(E83:E87)</f>
        <v>426005</v>
      </c>
    </row>
    <row r="89" spans="1:5" ht="13.5" thickBot="1">
      <c r="A89" s="37"/>
      <c r="B89" s="37"/>
      <c r="C89" s="37"/>
      <c r="D89" s="37"/>
      <c r="E89" s="37"/>
    </row>
    <row r="90" spans="1:5" ht="13.5" thickBot="1">
      <c r="A90" s="195" t="s">
        <v>133</v>
      </c>
      <c r="B90" s="196" t="str">
        <f>+B80</f>
        <v>2015.</v>
      </c>
      <c r="C90" s="196" t="str">
        <f>+C80</f>
        <v>2016.</v>
      </c>
      <c r="D90" s="196" t="str">
        <f>+D80</f>
        <v>2016. után</v>
      </c>
      <c r="E90" s="197" t="s">
        <v>50</v>
      </c>
    </row>
    <row r="91" spans="1:5" ht="12.75">
      <c r="A91" s="198" t="s">
        <v>138</v>
      </c>
      <c r="B91" s="73"/>
      <c r="C91" s="73"/>
      <c r="D91" s="73"/>
      <c r="E91" s="199">
        <f aca="true" t="shared" si="7" ref="E91:E97">SUM(B91:D91)</f>
        <v>0</v>
      </c>
    </row>
    <row r="92" spans="1:5" ht="12.75">
      <c r="A92" s="207" t="s">
        <v>139</v>
      </c>
      <c r="B92" s="75">
        <v>421052</v>
      </c>
      <c r="C92" s="75"/>
      <c r="D92" s="75"/>
      <c r="E92" s="203">
        <f t="shared" si="7"/>
        <v>421052</v>
      </c>
    </row>
    <row r="93" spans="1:5" ht="12.75">
      <c r="A93" s="202" t="s">
        <v>140</v>
      </c>
      <c r="B93" s="75"/>
      <c r="C93" s="75"/>
      <c r="D93" s="75"/>
      <c r="E93" s="203">
        <f t="shared" si="7"/>
        <v>0</v>
      </c>
    </row>
    <row r="94" spans="1:5" ht="12.75">
      <c r="A94" s="202" t="s">
        <v>141</v>
      </c>
      <c r="B94" s="75"/>
      <c r="C94" s="75"/>
      <c r="D94" s="75"/>
      <c r="E94" s="203">
        <f t="shared" si="7"/>
        <v>0</v>
      </c>
    </row>
    <row r="95" spans="1:5" ht="12.75">
      <c r="A95" s="78" t="s">
        <v>914</v>
      </c>
      <c r="B95" s="75">
        <v>4953</v>
      </c>
      <c r="C95" s="75"/>
      <c r="D95" s="75"/>
      <c r="E95" s="203">
        <f t="shared" si="7"/>
        <v>4953</v>
      </c>
    </row>
    <row r="96" spans="1:5" ht="12.75">
      <c r="A96" s="78"/>
      <c r="B96" s="75"/>
      <c r="C96" s="75"/>
      <c r="D96" s="75"/>
      <c r="E96" s="203">
        <f t="shared" si="7"/>
        <v>0</v>
      </c>
    </row>
    <row r="97" spans="1:5" ht="13.5" thickBot="1">
      <c r="A97" s="76"/>
      <c r="B97" s="77"/>
      <c r="C97" s="77"/>
      <c r="D97" s="77"/>
      <c r="E97" s="203">
        <f t="shared" si="7"/>
        <v>0</v>
      </c>
    </row>
    <row r="98" spans="1:5" ht="13.5" thickBot="1">
      <c r="A98" s="204" t="s">
        <v>52</v>
      </c>
      <c r="B98" s="205">
        <f>SUM(B91:B97)</f>
        <v>426005</v>
      </c>
      <c r="C98" s="205">
        <f>SUM(C91:C97)</f>
        <v>0</v>
      </c>
      <c r="D98" s="205">
        <f>SUM(D91:D97)</f>
        <v>0</v>
      </c>
      <c r="E98" s="206">
        <f>SUM(E91:E97)</f>
        <v>426005</v>
      </c>
    </row>
    <row r="109" spans="1:5" ht="15.75">
      <c r="A109" s="194" t="s">
        <v>135</v>
      </c>
      <c r="B109" s="1440" t="s">
        <v>1164</v>
      </c>
      <c r="C109" s="1440"/>
      <c r="D109" s="1440"/>
      <c r="E109" s="1440"/>
    </row>
    <row r="110" spans="1:5" ht="14.25" thickBot="1">
      <c r="A110" s="193" t="s">
        <v>1165</v>
      </c>
      <c r="B110" s="193"/>
      <c r="C110" s="193"/>
      <c r="D110" s="1439" t="s">
        <v>128</v>
      </c>
      <c r="E110" s="1439"/>
    </row>
    <row r="111" spans="1:5" ht="13.5" thickBot="1">
      <c r="A111" s="195" t="s">
        <v>127</v>
      </c>
      <c r="B111" s="196" t="s">
        <v>613</v>
      </c>
      <c r="C111" s="196" t="s">
        <v>614</v>
      </c>
      <c r="D111" s="196" t="s">
        <v>615</v>
      </c>
      <c r="E111" s="197" t="s">
        <v>50</v>
      </c>
    </row>
    <row r="112" spans="1:5" ht="12.75">
      <c r="A112" s="198" t="s">
        <v>129</v>
      </c>
      <c r="B112" s="73">
        <f>B129-B114</f>
        <v>1793</v>
      </c>
      <c r="C112" s="73"/>
      <c r="D112" s="73"/>
      <c r="E112" s="199">
        <f aca="true" t="shared" si="8" ref="E112:E118">SUM(B112:D112)</f>
        <v>1793</v>
      </c>
    </row>
    <row r="113" spans="1:5" ht="12.75">
      <c r="A113" s="200" t="s">
        <v>142</v>
      </c>
      <c r="B113" s="74"/>
      <c r="C113" s="74"/>
      <c r="D113" s="74"/>
      <c r="E113" s="201">
        <f t="shared" si="8"/>
        <v>0</v>
      </c>
    </row>
    <row r="114" spans="1:5" ht="12.75">
      <c r="A114" s="202" t="s">
        <v>130</v>
      </c>
      <c r="B114" s="75">
        <v>20607</v>
      </c>
      <c r="C114" s="75"/>
      <c r="D114" s="75"/>
      <c r="E114" s="203">
        <f t="shared" si="8"/>
        <v>20607</v>
      </c>
    </row>
    <row r="115" spans="1:5" ht="12.75">
      <c r="A115" s="202" t="s">
        <v>143</v>
      </c>
      <c r="B115" s="75"/>
      <c r="C115" s="75"/>
      <c r="D115" s="75"/>
      <c r="E115" s="203">
        <f t="shared" si="8"/>
        <v>0</v>
      </c>
    </row>
    <row r="116" spans="1:5" ht="12.75">
      <c r="A116" s="202" t="s">
        <v>131</v>
      </c>
      <c r="B116" s="75"/>
      <c r="C116" s="75"/>
      <c r="D116" s="75"/>
      <c r="E116" s="203">
        <f t="shared" si="8"/>
        <v>0</v>
      </c>
    </row>
    <row r="117" spans="1:5" ht="12.75">
      <c r="A117" s="202" t="s">
        <v>132</v>
      </c>
      <c r="B117" s="75"/>
      <c r="C117" s="75"/>
      <c r="D117" s="75"/>
      <c r="E117" s="203">
        <f t="shared" si="8"/>
        <v>0</v>
      </c>
    </row>
    <row r="118" spans="1:5" ht="13.5" thickBot="1">
      <c r="A118" s="76"/>
      <c r="B118" s="77"/>
      <c r="C118" s="77"/>
      <c r="D118" s="77"/>
      <c r="E118" s="203">
        <f t="shared" si="8"/>
        <v>0</v>
      </c>
    </row>
    <row r="119" spans="1:5" ht="13.5" thickBot="1">
      <c r="A119" s="204" t="s">
        <v>134</v>
      </c>
      <c r="B119" s="205">
        <f>B112+SUM(B114:B118)</f>
        <v>22400</v>
      </c>
      <c r="C119" s="205">
        <f>C112+SUM(C114:C118)</f>
        <v>0</v>
      </c>
      <c r="D119" s="205">
        <f>D112+SUM(D114:D118)</f>
        <v>0</v>
      </c>
      <c r="E119" s="206">
        <f>E112+SUM(E114:E118)</f>
        <v>22400</v>
      </c>
    </row>
    <row r="120" spans="1:5" ht="13.5" thickBot="1">
      <c r="A120" s="37"/>
      <c r="B120" s="37"/>
      <c r="C120" s="37"/>
      <c r="D120" s="37"/>
      <c r="E120" s="37"/>
    </row>
    <row r="121" spans="1:5" ht="13.5" thickBot="1">
      <c r="A121" s="195" t="s">
        <v>133</v>
      </c>
      <c r="B121" s="196" t="str">
        <f>+B111</f>
        <v>2015.</v>
      </c>
      <c r="C121" s="196" t="str">
        <f>+C111</f>
        <v>2016.</v>
      </c>
      <c r="D121" s="196" t="str">
        <f>+D111</f>
        <v>2016. után</v>
      </c>
      <c r="E121" s="197" t="s">
        <v>50</v>
      </c>
    </row>
    <row r="122" spans="1:5" ht="12.75">
      <c r="A122" s="198" t="s">
        <v>138</v>
      </c>
      <c r="B122" s="73"/>
      <c r="C122" s="73"/>
      <c r="D122" s="73"/>
      <c r="E122" s="199">
        <f aca="true" t="shared" si="9" ref="E122:E128">SUM(B122:D122)</f>
        <v>0</v>
      </c>
    </row>
    <row r="123" spans="1:5" ht="12.75">
      <c r="A123" s="207" t="s">
        <v>139</v>
      </c>
      <c r="B123" s="75">
        <v>22391</v>
      </c>
      <c r="C123" s="75"/>
      <c r="D123" s="75"/>
      <c r="E123" s="203">
        <f t="shared" si="9"/>
        <v>22391</v>
      </c>
    </row>
    <row r="124" spans="1:5" ht="12.75">
      <c r="A124" s="202" t="s">
        <v>140</v>
      </c>
      <c r="B124" s="75"/>
      <c r="C124" s="75"/>
      <c r="D124" s="75"/>
      <c r="E124" s="203">
        <f t="shared" si="9"/>
        <v>0</v>
      </c>
    </row>
    <row r="125" spans="1:5" ht="12.75">
      <c r="A125" s="202" t="s">
        <v>141</v>
      </c>
      <c r="B125" s="75"/>
      <c r="C125" s="75"/>
      <c r="D125" s="75"/>
      <c r="E125" s="203">
        <f t="shared" si="9"/>
        <v>0</v>
      </c>
    </row>
    <row r="126" spans="1:5" ht="12.75">
      <c r="A126" s="78" t="s">
        <v>914</v>
      </c>
      <c r="B126" s="75">
        <v>9</v>
      </c>
      <c r="C126" s="75"/>
      <c r="D126" s="75"/>
      <c r="E126" s="203">
        <f t="shared" si="9"/>
        <v>9</v>
      </c>
    </row>
    <row r="127" spans="1:5" ht="12.75">
      <c r="A127" s="78"/>
      <c r="B127" s="75"/>
      <c r="C127" s="75"/>
      <c r="D127" s="75"/>
      <c r="E127" s="203">
        <f t="shared" si="9"/>
        <v>0</v>
      </c>
    </row>
    <row r="128" spans="1:5" ht="13.5" thickBot="1">
      <c r="A128" s="76"/>
      <c r="B128" s="77"/>
      <c r="C128" s="77"/>
      <c r="D128" s="77"/>
      <c r="E128" s="203">
        <f t="shared" si="9"/>
        <v>0</v>
      </c>
    </row>
    <row r="129" spans="1:5" ht="13.5" thickBot="1">
      <c r="A129" s="204" t="s">
        <v>52</v>
      </c>
      <c r="B129" s="205">
        <f>SUM(B122:B128)</f>
        <v>22400</v>
      </c>
      <c r="C129" s="205">
        <f>SUM(C122:C128)</f>
        <v>0</v>
      </c>
      <c r="D129" s="205">
        <f>SUM(D122:D128)</f>
        <v>0</v>
      </c>
      <c r="E129" s="206">
        <f>SUM(E122:E128)</f>
        <v>22400</v>
      </c>
    </row>
    <row r="130" spans="1:5" ht="12.75">
      <c r="A130" s="193"/>
      <c r="B130" s="193"/>
      <c r="C130" s="193"/>
      <c r="D130" s="193"/>
      <c r="E130" s="193"/>
    </row>
    <row r="131" spans="1:5" ht="12.75">
      <c r="A131" s="193"/>
      <c r="B131" s="193"/>
      <c r="C131" s="193"/>
      <c r="D131" s="193"/>
      <c r="E131" s="193"/>
    </row>
    <row r="132" spans="1:5" ht="15.75">
      <c r="A132" s="194" t="s">
        <v>135</v>
      </c>
      <c r="B132" s="1440" t="s">
        <v>1166</v>
      </c>
      <c r="C132" s="1440"/>
      <c r="D132" s="1440"/>
      <c r="E132" s="1440"/>
    </row>
    <row r="133" spans="1:5" ht="14.25" thickBot="1">
      <c r="A133" s="193" t="s">
        <v>1167</v>
      </c>
      <c r="B133" s="193"/>
      <c r="C133" s="193"/>
      <c r="D133" s="1439" t="s">
        <v>128</v>
      </c>
      <c r="E133" s="1439"/>
    </row>
    <row r="134" spans="1:5" ht="13.5" thickBot="1">
      <c r="A134" s="195" t="s">
        <v>127</v>
      </c>
      <c r="B134" s="196" t="str">
        <f>+B121</f>
        <v>2015.</v>
      </c>
      <c r="C134" s="196" t="str">
        <f>+C121</f>
        <v>2016.</v>
      </c>
      <c r="D134" s="196" t="str">
        <f>+D121</f>
        <v>2016. után</v>
      </c>
      <c r="E134" s="197" t="s">
        <v>50</v>
      </c>
    </row>
    <row r="135" spans="1:5" ht="12.75">
      <c r="A135" s="198" t="s">
        <v>129</v>
      </c>
      <c r="B135" s="73">
        <f>B152-B137</f>
        <v>5040</v>
      </c>
      <c r="C135" s="73"/>
      <c r="D135" s="73"/>
      <c r="E135" s="199">
        <f aca="true" t="shared" si="10" ref="E135:E141">SUM(B135:D135)</f>
        <v>5040</v>
      </c>
    </row>
    <row r="136" spans="1:5" ht="12.75">
      <c r="A136" s="200" t="s">
        <v>142</v>
      </c>
      <c r="B136" s="74"/>
      <c r="C136" s="74"/>
      <c r="D136" s="74"/>
      <c r="E136" s="201">
        <f t="shared" si="10"/>
        <v>0</v>
      </c>
    </row>
    <row r="137" spans="1:5" ht="12.75">
      <c r="A137" s="202" t="s">
        <v>130</v>
      </c>
      <c r="B137" s="75">
        <v>28530</v>
      </c>
      <c r="C137" s="75"/>
      <c r="D137" s="75"/>
      <c r="E137" s="203">
        <f t="shared" si="10"/>
        <v>28530</v>
      </c>
    </row>
    <row r="138" spans="1:5" ht="12.75">
      <c r="A138" s="202" t="s">
        <v>143</v>
      </c>
      <c r="B138" s="75"/>
      <c r="C138" s="75"/>
      <c r="D138" s="75"/>
      <c r="E138" s="203">
        <f t="shared" si="10"/>
        <v>0</v>
      </c>
    </row>
    <row r="139" spans="1:5" ht="12.75">
      <c r="A139" s="202" t="s">
        <v>131</v>
      </c>
      <c r="B139" s="75"/>
      <c r="C139" s="75"/>
      <c r="D139" s="75"/>
      <c r="E139" s="203">
        <f t="shared" si="10"/>
        <v>0</v>
      </c>
    </row>
    <row r="140" spans="1:5" ht="12.75">
      <c r="A140" s="202" t="s">
        <v>132</v>
      </c>
      <c r="B140" s="75"/>
      <c r="C140" s="75"/>
      <c r="D140" s="75"/>
      <c r="E140" s="203">
        <f t="shared" si="10"/>
        <v>0</v>
      </c>
    </row>
    <row r="141" spans="1:5" ht="13.5" thickBot="1">
      <c r="A141" s="76"/>
      <c r="B141" s="77"/>
      <c r="C141" s="77"/>
      <c r="D141" s="77"/>
      <c r="E141" s="203">
        <f t="shared" si="10"/>
        <v>0</v>
      </c>
    </row>
    <row r="142" spans="1:5" ht="13.5" thickBot="1">
      <c r="A142" s="204" t="s">
        <v>134</v>
      </c>
      <c r="B142" s="205">
        <f>B135+SUM(B137:B141)</f>
        <v>33570</v>
      </c>
      <c r="C142" s="205">
        <f>C135+SUM(C137:C141)</f>
        <v>0</v>
      </c>
      <c r="D142" s="205">
        <f>D135+SUM(D137:D141)</f>
        <v>0</v>
      </c>
      <c r="E142" s="206">
        <f>E135+SUM(E137:E141)</f>
        <v>33570</v>
      </c>
    </row>
    <row r="143" spans="1:5" ht="13.5" thickBot="1">
      <c r="A143" s="37"/>
      <c r="B143" s="37"/>
      <c r="C143" s="37"/>
      <c r="D143" s="37"/>
      <c r="E143" s="37"/>
    </row>
    <row r="144" spans="1:5" ht="13.5" thickBot="1">
      <c r="A144" s="195" t="s">
        <v>133</v>
      </c>
      <c r="B144" s="196" t="str">
        <f>+B134</f>
        <v>2015.</v>
      </c>
      <c r="C144" s="196" t="str">
        <f>+C134</f>
        <v>2016.</v>
      </c>
      <c r="D144" s="196" t="str">
        <f>+D134</f>
        <v>2016. után</v>
      </c>
      <c r="E144" s="197" t="s">
        <v>50</v>
      </c>
    </row>
    <row r="145" spans="1:5" ht="12.75">
      <c r="A145" s="198" t="s">
        <v>138</v>
      </c>
      <c r="B145" s="73"/>
      <c r="C145" s="73"/>
      <c r="D145" s="73"/>
      <c r="E145" s="199">
        <f aca="true" t="shared" si="11" ref="E145:E151">SUM(B145:D145)</f>
        <v>0</v>
      </c>
    </row>
    <row r="146" spans="1:5" ht="12.75">
      <c r="A146" s="207" t="s">
        <v>139</v>
      </c>
      <c r="B146" s="75">
        <v>33570</v>
      </c>
      <c r="C146" s="75"/>
      <c r="D146" s="75"/>
      <c r="E146" s="203">
        <f t="shared" si="11"/>
        <v>33570</v>
      </c>
    </row>
    <row r="147" spans="1:5" ht="12.75">
      <c r="A147" s="202" t="s">
        <v>140</v>
      </c>
      <c r="B147" s="75"/>
      <c r="C147" s="75"/>
      <c r="D147" s="75"/>
      <c r="E147" s="203">
        <f t="shared" si="11"/>
        <v>0</v>
      </c>
    </row>
    <row r="148" spans="1:5" ht="12.75">
      <c r="A148" s="202" t="s">
        <v>141</v>
      </c>
      <c r="B148" s="75"/>
      <c r="C148" s="75"/>
      <c r="D148" s="75"/>
      <c r="E148" s="203">
        <f t="shared" si="11"/>
        <v>0</v>
      </c>
    </row>
    <row r="149" spans="1:5" ht="12.75">
      <c r="A149" s="78"/>
      <c r="B149" s="75"/>
      <c r="C149" s="75"/>
      <c r="D149" s="75"/>
      <c r="E149" s="203">
        <f t="shared" si="11"/>
        <v>0</v>
      </c>
    </row>
    <row r="150" spans="1:5" ht="12.75">
      <c r="A150" s="78"/>
      <c r="B150" s="75"/>
      <c r="C150" s="75"/>
      <c r="D150" s="75"/>
      <c r="E150" s="203">
        <f t="shared" si="11"/>
        <v>0</v>
      </c>
    </row>
    <row r="151" spans="1:5" ht="13.5" thickBot="1">
      <c r="A151" s="76"/>
      <c r="B151" s="77"/>
      <c r="C151" s="77"/>
      <c r="D151" s="77"/>
      <c r="E151" s="203">
        <f t="shared" si="11"/>
        <v>0</v>
      </c>
    </row>
    <row r="152" spans="1:5" ht="13.5" thickBot="1">
      <c r="A152" s="204" t="s">
        <v>52</v>
      </c>
      <c r="B152" s="205">
        <f>SUM(B145:B151)</f>
        <v>33570</v>
      </c>
      <c r="C152" s="205">
        <f>SUM(C145:C151)</f>
        <v>0</v>
      </c>
      <c r="D152" s="205">
        <f>SUM(D145:D151)</f>
        <v>0</v>
      </c>
      <c r="E152" s="206">
        <f>SUM(E145:E151)</f>
        <v>33570</v>
      </c>
    </row>
    <row r="161" spans="1:5" ht="15.75">
      <c r="A161" s="194" t="s">
        <v>135</v>
      </c>
      <c r="B161" s="1440" t="s">
        <v>1168</v>
      </c>
      <c r="C161" s="1440"/>
      <c r="D161" s="1440"/>
      <c r="E161" s="1440"/>
    </row>
    <row r="162" spans="1:5" ht="14.25" thickBot="1">
      <c r="A162" s="193" t="s">
        <v>1169</v>
      </c>
      <c r="B162" s="193"/>
      <c r="C162" s="193"/>
      <c r="D162" s="1439" t="s">
        <v>128</v>
      </c>
      <c r="E162" s="1439"/>
    </row>
    <row r="163" spans="1:5" ht="13.5" thickBot="1">
      <c r="A163" s="195" t="s">
        <v>127</v>
      </c>
      <c r="B163" s="196" t="s">
        <v>613</v>
      </c>
      <c r="C163" s="196" t="s">
        <v>614</v>
      </c>
      <c r="D163" s="196" t="s">
        <v>615</v>
      </c>
      <c r="E163" s="197" t="s">
        <v>50</v>
      </c>
    </row>
    <row r="164" spans="1:5" ht="12.75">
      <c r="A164" s="198" t="s">
        <v>129</v>
      </c>
      <c r="B164" s="73">
        <v>10000</v>
      </c>
      <c r="C164" s="73"/>
      <c r="D164" s="73"/>
      <c r="E164" s="199">
        <f aca="true" t="shared" si="12" ref="E164:E170">SUM(B164:D164)</f>
        <v>10000</v>
      </c>
    </row>
    <row r="165" spans="1:5" ht="12.75">
      <c r="A165" s="200" t="s">
        <v>142</v>
      </c>
      <c r="B165" s="74"/>
      <c r="C165" s="74"/>
      <c r="D165" s="74"/>
      <c r="E165" s="201">
        <f t="shared" si="12"/>
        <v>0</v>
      </c>
    </row>
    <row r="166" spans="1:5" ht="12.75">
      <c r="A166" s="202" t="s">
        <v>130</v>
      </c>
      <c r="B166" s="75">
        <v>50000</v>
      </c>
      <c r="C166" s="75"/>
      <c r="D166" s="75"/>
      <c r="E166" s="203">
        <f t="shared" si="12"/>
        <v>50000</v>
      </c>
    </row>
    <row r="167" spans="1:5" ht="12.75">
      <c r="A167" s="202" t="s">
        <v>143</v>
      </c>
      <c r="B167" s="75"/>
      <c r="C167" s="75"/>
      <c r="D167" s="75"/>
      <c r="E167" s="203">
        <f t="shared" si="12"/>
        <v>0</v>
      </c>
    </row>
    <row r="168" spans="1:5" ht="12.75">
      <c r="A168" s="202" t="s">
        <v>131</v>
      </c>
      <c r="B168" s="75"/>
      <c r="C168" s="75"/>
      <c r="D168" s="75"/>
      <c r="E168" s="203">
        <f t="shared" si="12"/>
        <v>0</v>
      </c>
    </row>
    <row r="169" spans="1:5" ht="12.75">
      <c r="A169" s="202" t="s">
        <v>132</v>
      </c>
      <c r="B169" s="75"/>
      <c r="C169" s="75"/>
      <c r="D169" s="75"/>
      <c r="E169" s="203">
        <f t="shared" si="12"/>
        <v>0</v>
      </c>
    </row>
    <row r="170" spans="1:5" ht="13.5" thickBot="1">
      <c r="A170" s="76"/>
      <c r="B170" s="77"/>
      <c r="C170" s="77"/>
      <c r="D170" s="77"/>
      <c r="E170" s="203">
        <f t="shared" si="12"/>
        <v>0</v>
      </c>
    </row>
    <row r="171" spans="1:5" ht="13.5" thickBot="1">
      <c r="A171" s="204" t="s">
        <v>134</v>
      </c>
      <c r="B171" s="205">
        <f>B164+SUM(B166:B170)</f>
        <v>60000</v>
      </c>
      <c r="C171" s="205">
        <f>C164+SUM(C166:C170)</f>
        <v>0</v>
      </c>
      <c r="D171" s="205">
        <f>D164+SUM(D166:D170)</f>
        <v>0</v>
      </c>
      <c r="E171" s="206">
        <f>E164+SUM(E166:E170)</f>
        <v>60000</v>
      </c>
    </row>
    <row r="172" spans="1:5" ht="13.5" thickBot="1">
      <c r="A172" s="37"/>
      <c r="B172" s="37"/>
      <c r="C172" s="37"/>
      <c r="D172" s="37"/>
      <c r="E172" s="37"/>
    </row>
    <row r="173" spans="1:5" ht="13.5" thickBot="1">
      <c r="A173" s="195" t="s">
        <v>133</v>
      </c>
      <c r="B173" s="196" t="str">
        <f>+B163</f>
        <v>2015.</v>
      </c>
      <c r="C173" s="196" t="str">
        <f>+C163</f>
        <v>2016.</v>
      </c>
      <c r="D173" s="196" t="str">
        <f>+D163</f>
        <v>2016. után</v>
      </c>
      <c r="E173" s="197" t="s">
        <v>50</v>
      </c>
    </row>
    <row r="174" spans="1:5" ht="12.75">
      <c r="A174" s="198" t="s">
        <v>138</v>
      </c>
      <c r="B174" s="73"/>
      <c r="C174" s="73"/>
      <c r="D174" s="73"/>
      <c r="E174" s="199">
        <f aca="true" t="shared" si="13" ref="E174:E180">SUM(B174:D174)</f>
        <v>0</v>
      </c>
    </row>
    <row r="175" spans="1:5" ht="12.75">
      <c r="A175" s="207" t="s">
        <v>139</v>
      </c>
      <c r="B175" s="75">
        <v>60000</v>
      </c>
      <c r="C175" s="75"/>
      <c r="D175" s="75"/>
      <c r="E175" s="203">
        <f t="shared" si="13"/>
        <v>60000</v>
      </c>
    </row>
    <row r="176" spans="1:5" ht="12.75">
      <c r="A176" s="202" t="s">
        <v>140</v>
      </c>
      <c r="B176" s="75"/>
      <c r="C176" s="75"/>
      <c r="D176" s="75"/>
      <c r="E176" s="203">
        <f t="shared" si="13"/>
        <v>0</v>
      </c>
    </row>
    <row r="177" spans="1:5" ht="12.75">
      <c r="A177" s="202" t="s">
        <v>141</v>
      </c>
      <c r="B177" s="75"/>
      <c r="C177" s="75"/>
      <c r="D177" s="75"/>
      <c r="E177" s="203">
        <f t="shared" si="13"/>
        <v>0</v>
      </c>
    </row>
    <row r="178" spans="1:5" ht="12.75">
      <c r="A178" s="78"/>
      <c r="B178" s="75"/>
      <c r="C178" s="75"/>
      <c r="D178" s="75"/>
      <c r="E178" s="203">
        <f t="shared" si="13"/>
        <v>0</v>
      </c>
    </row>
    <row r="179" spans="1:5" ht="12.75">
      <c r="A179" s="78"/>
      <c r="B179" s="75"/>
      <c r="C179" s="75"/>
      <c r="D179" s="75"/>
      <c r="E179" s="203">
        <f t="shared" si="13"/>
        <v>0</v>
      </c>
    </row>
    <row r="180" spans="1:5" ht="13.5" thickBot="1">
      <c r="A180" s="76"/>
      <c r="B180" s="77"/>
      <c r="C180" s="77"/>
      <c r="D180" s="77"/>
      <c r="E180" s="203">
        <f t="shared" si="13"/>
        <v>0</v>
      </c>
    </row>
    <row r="181" spans="1:5" ht="13.5" thickBot="1">
      <c r="A181" s="204" t="s">
        <v>52</v>
      </c>
      <c r="B181" s="205">
        <f>SUM(B174:B180)</f>
        <v>60000</v>
      </c>
      <c r="C181" s="205">
        <f>SUM(C174:C180)</f>
        <v>0</v>
      </c>
      <c r="D181" s="205">
        <f>SUM(D174:D180)</f>
        <v>0</v>
      </c>
      <c r="E181" s="206">
        <f>SUM(E174:E180)</f>
        <v>60000</v>
      </c>
    </row>
    <row r="182" spans="1:5" ht="12.75">
      <c r="A182" s="193"/>
      <c r="B182" s="193"/>
      <c r="C182" s="193"/>
      <c r="D182" s="193"/>
      <c r="E182" s="193"/>
    </row>
    <row r="183" spans="1:5" ht="12.75">
      <c r="A183" s="193"/>
      <c r="B183" s="193"/>
      <c r="C183" s="193"/>
      <c r="D183" s="193"/>
      <c r="E183" s="193"/>
    </row>
    <row r="184" spans="1:5" ht="15.75">
      <c r="A184" s="194" t="s">
        <v>135</v>
      </c>
      <c r="B184" s="1440" t="s">
        <v>1170</v>
      </c>
      <c r="C184" s="1440"/>
      <c r="D184" s="1440"/>
      <c r="E184" s="1440"/>
    </row>
    <row r="185" spans="1:5" ht="14.25" thickBot="1">
      <c r="A185" s="193" t="s">
        <v>1171</v>
      </c>
      <c r="B185" s="193"/>
      <c r="C185" s="193"/>
      <c r="E185" s="1326" t="s">
        <v>128</v>
      </c>
    </row>
    <row r="186" spans="1:5" ht="13.5" thickBot="1">
      <c r="A186" s="195" t="s">
        <v>127</v>
      </c>
      <c r="B186" s="196" t="str">
        <f>+B173</f>
        <v>2015.</v>
      </c>
      <c r="C186" s="196" t="str">
        <f>+C173</f>
        <v>2016.</v>
      </c>
      <c r="D186" s="196" t="str">
        <f>+D173</f>
        <v>2016. után</v>
      </c>
      <c r="E186" s="197" t="s">
        <v>50</v>
      </c>
    </row>
    <row r="187" spans="1:5" ht="12.75">
      <c r="A187" s="198" t="s">
        <v>129</v>
      </c>
      <c r="B187" s="73"/>
      <c r="C187" s="73"/>
      <c r="D187" s="73"/>
      <c r="E187" s="199">
        <f aca="true" t="shared" si="14" ref="E187:E193">SUM(B187:D187)</f>
        <v>0</v>
      </c>
    </row>
    <row r="188" spans="1:5" ht="12.75">
      <c r="A188" s="200" t="s">
        <v>142</v>
      </c>
      <c r="B188" s="74"/>
      <c r="C188" s="74"/>
      <c r="D188" s="74"/>
      <c r="E188" s="201">
        <f t="shared" si="14"/>
        <v>0</v>
      </c>
    </row>
    <row r="189" spans="1:5" ht="12.75">
      <c r="A189" s="202" t="s">
        <v>130</v>
      </c>
      <c r="B189" s="75">
        <v>21999</v>
      </c>
      <c r="C189" s="75"/>
      <c r="D189" s="75"/>
      <c r="E189" s="203">
        <f t="shared" si="14"/>
        <v>21999</v>
      </c>
    </row>
    <row r="190" spans="1:5" ht="12.75">
      <c r="A190" s="202" t="s">
        <v>143</v>
      </c>
      <c r="B190" s="75"/>
      <c r="C190" s="75"/>
      <c r="D190" s="75"/>
      <c r="E190" s="203">
        <f t="shared" si="14"/>
        <v>0</v>
      </c>
    </row>
    <row r="191" spans="1:5" ht="12.75">
      <c r="A191" s="202" t="s">
        <v>131</v>
      </c>
      <c r="B191" s="75"/>
      <c r="C191" s="75"/>
      <c r="D191" s="75"/>
      <c r="E191" s="203">
        <f t="shared" si="14"/>
        <v>0</v>
      </c>
    </row>
    <row r="192" spans="1:5" ht="12.75">
      <c r="A192" s="202" t="s">
        <v>132</v>
      </c>
      <c r="B192" s="75"/>
      <c r="C192" s="75"/>
      <c r="D192" s="75"/>
      <c r="E192" s="203">
        <f t="shared" si="14"/>
        <v>0</v>
      </c>
    </row>
    <row r="193" spans="1:5" ht="13.5" thickBot="1">
      <c r="A193" s="76"/>
      <c r="B193" s="77"/>
      <c r="C193" s="77"/>
      <c r="D193" s="77"/>
      <c r="E193" s="203">
        <f t="shared" si="14"/>
        <v>0</v>
      </c>
    </row>
    <row r="194" spans="1:5" ht="13.5" thickBot="1">
      <c r="A194" s="204" t="s">
        <v>134</v>
      </c>
      <c r="B194" s="205">
        <f>B187+SUM(B189:B193)</f>
        <v>21999</v>
      </c>
      <c r="C194" s="205">
        <f>C187+SUM(C189:C193)</f>
        <v>0</v>
      </c>
      <c r="D194" s="205">
        <f>D187+SUM(D189:D193)</f>
        <v>0</v>
      </c>
      <c r="E194" s="206">
        <f>E187+SUM(E189:E193)</f>
        <v>21999</v>
      </c>
    </row>
    <row r="195" spans="1:5" ht="13.5" thickBot="1">
      <c r="A195" s="37"/>
      <c r="B195" s="37"/>
      <c r="C195" s="37"/>
      <c r="D195" s="37"/>
      <c r="E195" s="37"/>
    </row>
    <row r="196" spans="1:5" ht="13.5" thickBot="1">
      <c r="A196" s="195" t="s">
        <v>133</v>
      </c>
      <c r="B196" s="196" t="str">
        <f>+B186</f>
        <v>2015.</v>
      </c>
      <c r="C196" s="196" t="str">
        <f>+C186</f>
        <v>2016.</v>
      </c>
      <c r="D196" s="196" t="str">
        <f>+D186</f>
        <v>2016. után</v>
      </c>
      <c r="E196" s="197" t="s">
        <v>50</v>
      </c>
    </row>
    <row r="197" spans="1:5" ht="12.75">
      <c r="A197" s="198" t="s">
        <v>138</v>
      </c>
      <c r="B197" s="73"/>
      <c r="C197" s="73"/>
      <c r="D197" s="73"/>
      <c r="E197" s="199">
        <f aca="true" t="shared" si="15" ref="E197:E203">SUM(B197:D197)</f>
        <v>0</v>
      </c>
    </row>
    <row r="198" spans="1:5" ht="12.75">
      <c r="A198" s="207" t="s">
        <v>139</v>
      </c>
      <c r="B198" s="75">
        <v>21999</v>
      </c>
      <c r="C198" s="75"/>
      <c r="D198" s="75"/>
      <c r="E198" s="203">
        <f t="shared" si="15"/>
        <v>21999</v>
      </c>
    </row>
    <row r="199" spans="1:5" ht="12.75">
      <c r="A199" s="202" t="s">
        <v>140</v>
      </c>
      <c r="B199" s="75"/>
      <c r="C199" s="75"/>
      <c r="D199" s="75"/>
      <c r="E199" s="203">
        <f t="shared" si="15"/>
        <v>0</v>
      </c>
    </row>
    <row r="200" spans="1:5" ht="12.75">
      <c r="A200" s="202" t="s">
        <v>141</v>
      </c>
      <c r="B200" s="75"/>
      <c r="C200" s="75"/>
      <c r="D200" s="75"/>
      <c r="E200" s="203">
        <f t="shared" si="15"/>
        <v>0</v>
      </c>
    </row>
    <row r="201" spans="1:5" ht="12.75">
      <c r="A201" s="78"/>
      <c r="B201" s="75"/>
      <c r="C201" s="75"/>
      <c r="D201" s="75"/>
      <c r="E201" s="203">
        <f t="shared" si="15"/>
        <v>0</v>
      </c>
    </row>
    <row r="202" spans="1:5" ht="12.75">
      <c r="A202" s="78"/>
      <c r="B202" s="75"/>
      <c r="C202" s="75"/>
      <c r="D202" s="75"/>
      <c r="E202" s="203">
        <f t="shared" si="15"/>
        <v>0</v>
      </c>
    </row>
    <row r="203" spans="1:5" ht="13.5" thickBot="1">
      <c r="A203" s="76"/>
      <c r="B203" s="77"/>
      <c r="C203" s="77"/>
      <c r="D203" s="77"/>
      <c r="E203" s="203">
        <f t="shared" si="15"/>
        <v>0</v>
      </c>
    </row>
    <row r="204" spans="1:5" ht="13.5" thickBot="1">
      <c r="A204" s="204" t="s">
        <v>52</v>
      </c>
      <c r="B204" s="205">
        <f>SUM(B197:B203)</f>
        <v>21999</v>
      </c>
      <c r="C204" s="205">
        <f>SUM(C197:C203)</f>
        <v>0</v>
      </c>
      <c r="D204" s="205">
        <f>SUM(D197:D203)</f>
        <v>0</v>
      </c>
      <c r="E204" s="206">
        <f>SUM(E197:E203)</f>
        <v>21999</v>
      </c>
    </row>
    <row r="215" spans="1:5" ht="15.75">
      <c r="A215" s="194" t="s">
        <v>135</v>
      </c>
      <c r="B215" s="1440" t="s">
        <v>1228</v>
      </c>
      <c r="C215" s="1440"/>
      <c r="D215" s="1440"/>
      <c r="E215" s="1440"/>
    </row>
    <row r="216" spans="1:5" ht="14.25" thickBot="1">
      <c r="A216" s="193"/>
      <c r="B216" s="193" t="s">
        <v>1214</v>
      </c>
      <c r="C216" s="193"/>
      <c r="E216" s="1326" t="s">
        <v>128</v>
      </c>
    </row>
    <row r="217" spans="1:5" ht="13.5" thickBot="1">
      <c r="A217" s="195" t="s">
        <v>127</v>
      </c>
      <c r="B217" s="196" t="s">
        <v>613</v>
      </c>
      <c r="C217" s="196" t="s">
        <v>614</v>
      </c>
      <c r="D217" s="196" t="s">
        <v>615</v>
      </c>
      <c r="E217" s="197" t="s">
        <v>50</v>
      </c>
    </row>
    <row r="218" spans="1:5" ht="12.75">
      <c r="A218" s="198" t="s">
        <v>129</v>
      </c>
      <c r="B218" s="73"/>
      <c r="C218" s="73"/>
      <c r="D218" s="73"/>
      <c r="E218" s="199">
        <f aca="true" t="shared" si="16" ref="E218:E224">SUM(B218:D218)</f>
        <v>0</v>
      </c>
    </row>
    <row r="219" spans="1:5" ht="12.75">
      <c r="A219" s="200" t="s">
        <v>142</v>
      </c>
      <c r="B219" s="74"/>
      <c r="C219" s="74"/>
      <c r="D219" s="74"/>
      <c r="E219" s="201">
        <f t="shared" si="16"/>
        <v>0</v>
      </c>
    </row>
    <row r="220" spans="1:5" ht="12.75">
      <c r="A220" s="202" t="s">
        <v>130</v>
      </c>
      <c r="B220" s="75">
        <v>51122</v>
      </c>
      <c r="C220" s="75"/>
      <c r="D220" s="75"/>
      <c r="E220" s="203">
        <f t="shared" si="16"/>
        <v>51122</v>
      </c>
    </row>
    <row r="221" spans="1:5" ht="12.75">
      <c r="A221" s="202" t="s">
        <v>143</v>
      </c>
      <c r="B221" s="75"/>
      <c r="C221" s="75"/>
      <c r="D221" s="75"/>
      <c r="E221" s="203">
        <f t="shared" si="16"/>
        <v>0</v>
      </c>
    </row>
    <row r="222" spans="1:5" ht="12.75">
      <c r="A222" s="202" t="s">
        <v>131</v>
      </c>
      <c r="B222" s="75"/>
      <c r="C222" s="75"/>
      <c r="D222" s="75"/>
      <c r="E222" s="203">
        <f t="shared" si="16"/>
        <v>0</v>
      </c>
    </row>
    <row r="223" spans="1:5" ht="12.75">
      <c r="A223" s="202" t="s">
        <v>132</v>
      </c>
      <c r="B223" s="75"/>
      <c r="C223" s="75"/>
      <c r="D223" s="75"/>
      <c r="E223" s="203">
        <f t="shared" si="16"/>
        <v>0</v>
      </c>
    </row>
    <row r="224" spans="1:5" ht="13.5" thickBot="1">
      <c r="A224" s="76"/>
      <c r="B224" s="77"/>
      <c r="C224" s="77"/>
      <c r="D224" s="77"/>
      <c r="E224" s="203">
        <f t="shared" si="16"/>
        <v>0</v>
      </c>
    </row>
    <row r="225" spans="1:5" ht="13.5" thickBot="1">
      <c r="A225" s="204" t="s">
        <v>134</v>
      </c>
      <c r="B225" s="205">
        <f>B218+SUM(B220:B224)</f>
        <v>51122</v>
      </c>
      <c r="C225" s="205">
        <f>C218+SUM(C220:C224)</f>
        <v>0</v>
      </c>
      <c r="D225" s="205">
        <f>D218+SUM(D220:D224)</f>
        <v>0</v>
      </c>
      <c r="E225" s="206">
        <f>E218+SUM(E220:E224)</f>
        <v>51122</v>
      </c>
    </row>
    <row r="226" spans="1:5" ht="13.5" thickBot="1">
      <c r="A226" s="37"/>
      <c r="B226" s="37"/>
      <c r="C226" s="37"/>
      <c r="D226" s="37"/>
      <c r="E226" s="37"/>
    </row>
    <row r="227" spans="1:5" ht="13.5" thickBot="1">
      <c r="A227" s="195" t="s">
        <v>133</v>
      </c>
      <c r="B227" s="196" t="str">
        <f>+B217</f>
        <v>2015.</v>
      </c>
      <c r="C227" s="196" t="str">
        <f>+C217</f>
        <v>2016.</v>
      </c>
      <c r="D227" s="196" t="str">
        <f>+D217</f>
        <v>2016. után</v>
      </c>
      <c r="E227" s="197" t="s">
        <v>50</v>
      </c>
    </row>
    <row r="228" spans="1:5" ht="12.75">
      <c r="A228" s="198" t="s">
        <v>138</v>
      </c>
      <c r="B228" s="73">
        <f>805+218</f>
        <v>1023</v>
      </c>
      <c r="C228" s="73"/>
      <c r="D228" s="73"/>
      <c r="E228" s="199">
        <f aca="true" t="shared" si="17" ref="E228:E234">SUM(B228:D228)</f>
        <v>1023</v>
      </c>
    </row>
    <row r="229" spans="1:5" ht="12.75">
      <c r="A229" s="207" t="s">
        <v>139</v>
      </c>
      <c r="B229" s="75">
        <v>44066</v>
      </c>
      <c r="C229" s="75"/>
      <c r="D229" s="75"/>
      <c r="E229" s="203">
        <f t="shared" si="17"/>
        <v>44066</v>
      </c>
    </row>
    <row r="230" spans="1:5" ht="12.75">
      <c r="A230" s="202" t="s">
        <v>140</v>
      </c>
      <c r="B230" s="75"/>
      <c r="C230" s="75"/>
      <c r="D230" s="75"/>
      <c r="E230" s="203">
        <f t="shared" si="17"/>
        <v>0</v>
      </c>
    </row>
    <row r="231" spans="1:5" ht="12.75">
      <c r="A231" s="202" t="s">
        <v>141</v>
      </c>
      <c r="B231" s="75"/>
      <c r="C231" s="75"/>
      <c r="D231" s="75"/>
      <c r="E231" s="203">
        <f t="shared" si="17"/>
        <v>0</v>
      </c>
    </row>
    <row r="232" spans="1:5" ht="12.75">
      <c r="A232" s="78" t="s">
        <v>914</v>
      </c>
      <c r="B232" s="75">
        <v>6033</v>
      </c>
      <c r="C232" s="75"/>
      <c r="D232" s="75"/>
      <c r="E232" s="203">
        <f t="shared" si="17"/>
        <v>6033</v>
      </c>
    </row>
    <row r="233" spans="1:5" ht="12.75">
      <c r="A233" s="78"/>
      <c r="B233" s="75"/>
      <c r="C233" s="75"/>
      <c r="D233" s="75"/>
      <c r="E233" s="203">
        <f t="shared" si="17"/>
        <v>0</v>
      </c>
    </row>
    <row r="234" spans="1:5" ht="13.5" thickBot="1">
      <c r="A234" s="76"/>
      <c r="B234" s="77"/>
      <c r="C234" s="77"/>
      <c r="D234" s="77"/>
      <c r="E234" s="203">
        <f t="shared" si="17"/>
        <v>0</v>
      </c>
    </row>
    <row r="235" spans="1:5" ht="13.5" thickBot="1">
      <c r="A235" s="204" t="s">
        <v>52</v>
      </c>
      <c r="B235" s="205">
        <f>SUM(B228:B234)</f>
        <v>51122</v>
      </c>
      <c r="C235" s="205">
        <f>SUM(C228:C234)</f>
        <v>0</v>
      </c>
      <c r="D235" s="205">
        <f>SUM(D228:D234)</f>
        <v>0</v>
      </c>
      <c r="E235" s="206">
        <f>SUM(E228:E234)</f>
        <v>51122</v>
      </c>
    </row>
    <row r="238" spans="1:5" ht="15.75">
      <c r="A238" s="1459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238" s="1459"/>
      <c r="C238" s="1459"/>
      <c r="D238" s="1459"/>
      <c r="E238" s="1459"/>
    </row>
    <row r="239" spans="1:5" ht="13.5" thickBot="1">
      <c r="A239" s="193"/>
      <c r="B239" s="193"/>
      <c r="C239" s="193"/>
      <c r="D239" s="193"/>
      <c r="E239" s="193"/>
    </row>
    <row r="240" spans="1:5" ht="13.5" thickBot="1">
      <c r="A240" s="1443" t="s">
        <v>136</v>
      </c>
      <c r="B240" s="1444"/>
      <c r="C240" s="1445"/>
      <c r="D240" s="1441" t="s">
        <v>144</v>
      </c>
      <c r="E240" s="1442"/>
    </row>
    <row r="241" spans="1:5" ht="12.75">
      <c r="A241" s="1446"/>
      <c r="B241" s="1447"/>
      <c r="C241" s="1448"/>
      <c r="D241" s="1455"/>
      <c r="E241" s="1456"/>
    </row>
    <row r="242" spans="1:5" ht="13.5" thickBot="1">
      <c r="A242" s="1449"/>
      <c r="B242" s="1450"/>
      <c r="C242" s="1451"/>
      <c r="D242" s="1457"/>
      <c r="E242" s="1458"/>
    </row>
    <row r="243" spans="1:5" ht="13.5" thickBot="1">
      <c r="A243" s="1452" t="s">
        <v>52</v>
      </c>
      <c r="B243" s="1453"/>
      <c r="C243" s="1454"/>
      <c r="D243" s="1460">
        <f>SUM(D241:E242)</f>
        <v>0</v>
      </c>
      <c r="E243" s="1461"/>
    </row>
  </sheetData>
  <sheetProtection/>
  <mergeCells count="23">
    <mergeCell ref="A243:C243"/>
    <mergeCell ref="D241:E241"/>
    <mergeCell ref="D242:E242"/>
    <mergeCell ref="A238:E238"/>
    <mergeCell ref="D243:E243"/>
    <mergeCell ref="B78:E78"/>
    <mergeCell ref="B2:E2"/>
    <mergeCell ref="B25:E25"/>
    <mergeCell ref="D3:E3"/>
    <mergeCell ref="B55:E55"/>
    <mergeCell ref="B161:E161"/>
    <mergeCell ref="D240:E240"/>
    <mergeCell ref="A240:C240"/>
    <mergeCell ref="A241:C241"/>
    <mergeCell ref="A242:C242"/>
    <mergeCell ref="D162:E162"/>
    <mergeCell ref="B184:E184"/>
    <mergeCell ref="B215:E215"/>
    <mergeCell ref="D79:E79"/>
    <mergeCell ref="B109:E109"/>
    <mergeCell ref="D110:E110"/>
    <mergeCell ref="B132:E132"/>
    <mergeCell ref="D133:E133"/>
  </mergeCells>
  <conditionalFormatting sqref="D243:E243 E5:E12 B12:D12 B22:E22 E15:E21 E28:E35 B35:D35 E38:E45 B45:D45 E58:E65 B65:D65 B75:E75 E68:E74 E81:E88 B88:D88 E91:E98 B98:D98 E112:E119 B119:D119 B129:E129 E122:E128 E135:E142 B142:D142 E145:E152 B152:D152 E164:E171 B171:D171 B181:E181 E174:E180 E187:E194 B194:D194 E197:E204 B204:D204">
    <cfRule type="cellIs" priority="5" dxfId="5" operator="equal" stopIfTrue="1">
      <formula>0</formula>
    </cfRule>
  </conditionalFormatting>
  <conditionalFormatting sqref="E218:E225 B225:D225 E228:E235 B235:D235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számú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37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4" width="9.375" style="599" customWidth="1"/>
    <col min="5" max="5" width="11.00390625" style="1194" hidden="1" customWidth="1"/>
    <col min="6" max="6" width="10.375" style="1194" hidden="1" customWidth="1"/>
    <col min="7" max="16384" width="9.375" style="599" customWidth="1"/>
  </cols>
  <sheetData>
    <row r="1" spans="1:6" s="592" customFormat="1" ht="16.5" customHeight="1" thickBot="1">
      <c r="A1" s="590"/>
      <c r="B1" s="591"/>
      <c r="C1" s="570" t="s">
        <v>616</v>
      </c>
      <c r="E1" s="1193"/>
      <c r="F1" s="1193"/>
    </row>
    <row r="2" spans="1:6" s="593" customFormat="1" ht="21" customHeight="1">
      <c r="A2" s="571" t="s">
        <v>62</v>
      </c>
      <c r="B2" s="572" t="s">
        <v>576</v>
      </c>
      <c r="C2" s="644" t="s">
        <v>53</v>
      </c>
      <c r="E2" s="596"/>
      <c r="F2" s="596"/>
    </row>
    <row r="3" spans="1:6" s="593" customFormat="1" ht="16.5" thickBot="1">
      <c r="A3" s="573" t="s">
        <v>200</v>
      </c>
      <c r="B3" s="574" t="s">
        <v>400</v>
      </c>
      <c r="C3" s="645" t="s">
        <v>53</v>
      </c>
      <c r="E3" s="596"/>
      <c r="F3" s="596"/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6" s="603" customFormat="1" ht="12.75" customHeight="1" thickBot="1">
      <c r="A6" s="600" t="s">
        <v>492</v>
      </c>
      <c r="B6" s="601" t="s">
        <v>493</v>
      </c>
      <c r="C6" s="602" t="s">
        <v>494</v>
      </c>
      <c r="E6" s="1195"/>
      <c r="F6" s="1195"/>
    </row>
    <row r="7" spans="1:6" s="603" customFormat="1" ht="15.75" customHeight="1" thickBot="1">
      <c r="A7" s="604"/>
      <c r="B7" s="605" t="s">
        <v>56</v>
      </c>
      <c r="C7" s="606"/>
      <c r="E7" s="1195"/>
      <c r="F7" s="1195"/>
    </row>
    <row r="8" spans="1:6" s="603" customFormat="1" ht="15" customHeight="1" thickBot="1">
      <c r="A8" s="409" t="s">
        <v>17</v>
      </c>
      <c r="B8" s="401" t="s">
        <v>253</v>
      </c>
      <c r="C8" s="428">
        <f>+C9+C10+C11+C12+C13+C14</f>
        <v>1464098</v>
      </c>
      <c r="E8" s="1195">
        <f>'9.1'!C8+'9.2'!C8+'9.3'!C8</f>
        <v>1464098</v>
      </c>
      <c r="F8" s="1196">
        <f>C8-E8</f>
        <v>0</v>
      </c>
    </row>
    <row r="9" spans="1:6" s="608" customFormat="1" ht="15" customHeight="1">
      <c r="A9" s="607" t="s">
        <v>94</v>
      </c>
      <c r="B9" s="402" t="s">
        <v>254</v>
      </c>
      <c r="C9" s="423">
        <f>'Ö1'!I13</f>
        <v>686433</v>
      </c>
      <c r="E9" s="1195">
        <f>'9.1'!C9+'9.2'!C9+'9.3'!C9</f>
        <v>686433</v>
      </c>
      <c r="F9" s="1196">
        <f aca="true" t="shared" si="0" ref="F9:F72">C9-E9</f>
        <v>0</v>
      </c>
    </row>
    <row r="10" spans="1:6" s="610" customFormat="1" ht="15" customHeight="1">
      <c r="A10" s="609" t="s">
        <v>95</v>
      </c>
      <c r="B10" s="403" t="s">
        <v>255</v>
      </c>
      <c r="C10" s="415">
        <f>'Ö1'!I22</f>
        <v>387619</v>
      </c>
      <c r="E10" s="1195">
        <f>'9.1'!C10+'9.2'!C10+'9.3'!C10</f>
        <v>387619</v>
      </c>
      <c r="F10" s="1196">
        <f t="shared" si="0"/>
        <v>0</v>
      </c>
    </row>
    <row r="11" spans="1:6" s="610" customFormat="1" ht="15" customHeight="1">
      <c r="A11" s="609" t="s">
        <v>96</v>
      </c>
      <c r="B11" s="403" t="s">
        <v>256</v>
      </c>
      <c r="C11" s="415">
        <f>'Ö1'!I27</f>
        <v>350928</v>
      </c>
      <c r="E11" s="1195">
        <f>'9.1'!C11+'9.2'!C11+'9.3'!C11</f>
        <v>350928</v>
      </c>
      <c r="F11" s="1196">
        <f t="shared" si="0"/>
        <v>0</v>
      </c>
    </row>
    <row r="12" spans="1:6" s="610" customFormat="1" ht="15" customHeight="1">
      <c r="A12" s="609" t="s">
        <v>97</v>
      </c>
      <c r="B12" s="403" t="s">
        <v>257</v>
      </c>
      <c r="C12" s="415">
        <f>'Ö1'!I35</f>
        <v>31937</v>
      </c>
      <c r="E12" s="1195">
        <f>'9.1'!C12+'9.2'!C12+'9.3'!C12</f>
        <v>31937</v>
      </c>
      <c r="F12" s="1196">
        <f t="shared" si="0"/>
        <v>0</v>
      </c>
    </row>
    <row r="13" spans="1:6" s="610" customFormat="1" ht="15" customHeight="1">
      <c r="A13" s="609" t="s">
        <v>145</v>
      </c>
      <c r="B13" s="403" t="s">
        <v>505</v>
      </c>
      <c r="C13" s="415">
        <f>'Ö1'!I39</f>
        <v>7181</v>
      </c>
      <c r="E13" s="1195">
        <f>'9.1'!C13+'9.2'!C13+'9.3'!C13</f>
        <v>7181</v>
      </c>
      <c r="F13" s="1196">
        <f t="shared" si="0"/>
        <v>0</v>
      </c>
    </row>
    <row r="14" spans="1:6" s="608" customFormat="1" ht="15" customHeight="1" thickBot="1">
      <c r="A14" s="611" t="s">
        <v>98</v>
      </c>
      <c r="B14" s="404" t="s">
        <v>434</v>
      </c>
      <c r="C14" s="415">
        <f>'Ö1'!I46</f>
        <v>0</v>
      </c>
      <c r="E14" s="1195">
        <f>'9.1'!C14+'9.2'!C14+'9.3'!C14</f>
        <v>0</v>
      </c>
      <c r="F14" s="1196">
        <f t="shared" si="0"/>
        <v>0</v>
      </c>
    </row>
    <row r="15" spans="1:6" s="608" customFormat="1" ht="15" customHeight="1" thickBot="1">
      <c r="A15" s="409" t="s">
        <v>18</v>
      </c>
      <c r="B15" s="405" t="s">
        <v>258</v>
      </c>
      <c r="C15" s="428">
        <f>+C16+C17+C18+C19+C20</f>
        <v>130814</v>
      </c>
      <c r="E15" s="1195">
        <f>'9.1'!C15+'9.2'!C15+'9.3'!C15</f>
        <v>130814</v>
      </c>
      <c r="F15" s="1196">
        <f t="shared" si="0"/>
        <v>0</v>
      </c>
    </row>
    <row r="16" spans="1:6" s="608" customFormat="1" ht="15" customHeight="1">
      <c r="A16" s="607" t="s">
        <v>100</v>
      </c>
      <c r="B16" s="402" t="s">
        <v>259</v>
      </c>
      <c r="C16" s="423"/>
      <c r="E16" s="1195">
        <f>'9.1'!C16+'9.2'!C16+'9.3'!C16</f>
        <v>0</v>
      </c>
      <c r="F16" s="1196">
        <f t="shared" si="0"/>
        <v>0</v>
      </c>
    </row>
    <row r="17" spans="1:6" s="608" customFormat="1" ht="15" customHeight="1">
      <c r="A17" s="609" t="s">
        <v>101</v>
      </c>
      <c r="B17" s="403" t="s">
        <v>260</v>
      </c>
      <c r="C17" s="415"/>
      <c r="E17" s="1195">
        <f>'9.1'!C17+'9.2'!C17+'9.3'!C17</f>
        <v>0</v>
      </c>
      <c r="F17" s="1196">
        <f t="shared" si="0"/>
        <v>0</v>
      </c>
    </row>
    <row r="18" spans="1:6" s="608" customFormat="1" ht="15" customHeight="1">
      <c r="A18" s="609" t="s">
        <v>102</v>
      </c>
      <c r="B18" s="403" t="s">
        <v>424</v>
      </c>
      <c r="C18" s="415"/>
      <c r="E18" s="1195">
        <f>'9.1'!C18+'9.2'!C18+'9.3'!C18</f>
        <v>0</v>
      </c>
      <c r="F18" s="1196">
        <f t="shared" si="0"/>
        <v>0</v>
      </c>
    </row>
    <row r="19" spans="1:6" s="608" customFormat="1" ht="15" customHeight="1">
      <c r="A19" s="609" t="s">
        <v>103</v>
      </c>
      <c r="B19" s="403" t="s">
        <v>425</v>
      </c>
      <c r="C19" s="415"/>
      <c r="E19" s="1195">
        <f>'9.1'!C19+'9.2'!C19+'9.3'!C19</f>
        <v>0</v>
      </c>
      <c r="F19" s="1196">
        <f t="shared" si="0"/>
        <v>0</v>
      </c>
    </row>
    <row r="20" spans="1:6" s="608" customFormat="1" ht="15" customHeight="1">
      <c r="A20" s="609" t="s">
        <v>104</v>
      </c>
      <c r="B20" s="403" t="s">
        <v>261</v>
      </c>
      <c r="C20" s="415">
        <f>'Ö1'!I49</f>
        <v>130814</v>
      </c>
      <c r="E20" s="1195">
        <f>'9.1'!C20+'9.2'!C20+'9.3'!C20</f>
        <v>130814</v>
      </c>
      <c r="F20" s="1196">
        <f t="shared" si="0"/>
        <v>0</v>
      </c>
    </row>
    <row r="21" spans="1:6" s="610" customFormat="1" ht="15" customHeight="1" thickBot="1">
      <c r="A21" s="611" t="s">
        <v>113</v>
      </c>
      <c r="B21" s="404" t="s">
        <v>262</v>
      </c>
      <c r="C21" s="416">
        <f>'Ö1'!I51</f>
        <v>3937</v>
      </c>
      <c r="E21" s="1195">
        <f>'9.1'!C21+'9.2'!C21+'9.3'!C21</f>
        <v>3937</v>
      </c>
      <c r="F21" s="1196">
        <f t="shared" si="0"/>
        <v>0</v>
      </c>
    </row>
    <row r="22" spans="1:6" s="610" customFormat="1" ht="15" customHeight="1" thickBot="1">
      <c r="A22" s="409" t="s">
        <v>19</v>
      </c>
      <c r="B22" s="401" t="s">
        <v>263</v>
      </c>
      <c r="C22" s="428">
        <f>+C23+C24+C25+C26+C27</f>
        <v>1885940</v>
      </c>
      <c r="E22" s="1195">
        <f>'9.1'!C22+'9.2'!C22+'9.3'!C22</f>
        <v>1885940</v>
      </c>
      <c r="F22" s="1196">
        <f t="shared" si="0"/>
        <v>0</v>
      </c>
    </row>
    <row r="23" spans="1:6" s="610" customFormat="1" ht="15" customHeight="1">
      <c r="A23" s="607" t="s">
        <v>83</v>
      </c>
      <c r="B23" s="402" t="s">
        <v>264</v>
      </c>
      <c r="C23" s="423">
        <f>'Ö1'!F74</f>
        <v>0</v>
      </c>
      <c r="E23" s="1195">
        <f>'9.1'!C23+'9.2'!C23+'9.3'!C23</f>
        <v>0</v>
      </c>
      <c r="F23" s="1196">
        <f t="shared" si="0"/>
        <v>0</v>
      </c>
    </row>
    <row r="24" spans="1:6" s="608" customFormat="1" ht="15" customHeight="1">
      <c r="A24" s="609" t="s">
        <v>84</v>
      </c>
      <c r="B24" s="403" t="s">
        <v>265</v>
      </c>
      <c r="C24" s="415"/>
      <c r="E24" s="1195">
        <f>'9.1'!C24+'9.2'!C24+'9.3'!C24</f>
        <v>0</v>
      </c>
      <c r="F24" s="1196">
        <f t="shared" si="0"/>
        <v>0</v>
      </c>
    </row>
    <row r="25" spans="1:6" s="610" customFormat="1" ht="15" customHeight="1">
      <c r="A25" s="609" t="s">
        <v>85</v>
      </c>
      <c r="B25" s="403" t="s">
        <v>426</v>
      </c>
      <c r="C25" s="415"/>
      <c r="E25" s="1195">
        <f>'9.1'!C25+'9.2'!C25+'9.3'!C25</f>
        <v>0</v>
      </c>
      <c r="F25" s="1196">
        <f t="shared" si="0"/>
        <v>0</v>
      </c>
    </row>
    <row r="26" spans="1:6" s="610" customFormat="1" ht="15" customHeight="1">
      <c r="A26" s="609" t="s">
        <v>86</v>
      </c>
      <c r="B26" s="403" t="s">
        <v>427</v>
      </c>
      <c r="C26" s="415"/>
      <c r="E26" s="1195">
        <f>'9.1'!C26+'9.2'!C26+'9.3'!C26</f>
        <v>0</v>
      </c>
      <c r="F26" s="1196">
        <f t="shared" si="0"/>
        <v>0</v>
      </c>
    </row>
    <row r="27" spans="1:6" s="610" customFormat="1" ht="15" customHeight="1">
      <c r="A27" s="609" t="s">
        <v>168</v>
      </c>
      <c r="B27" s="403" t="s">
        <v>266</v>
      </c>
      <c r="C27" s="415">
        <f>'Ö1'!F81</f>
        <v>1885940</v>
      </c>
      <c r="E27" s="1195">
        <f>'9.1'!C27+'9.2'!C27+'9.3'!C27</f>
        <v>1885940</v>
      </c>
      <c r="F27" s="1196">
        <f t="shared" si="0"/>
        <v>0</v>
      </c>
    </row>
    <row r="28" spans="1:6" s="610" customFormat="1" ht="15" customHeight="1" thickBot="1">
      <c r="A28" s="611" t="s">
        <v>169</v>
      </c>
      <c r="B28" s="404" t="s">
        <v>267</v>
      </c>
      <c r="C28" s="416">
        <f>'Ö1'!T101</f>
        <v>1119752</v>
      </c>
      <c r="E28" s="1195">
        <f>'9.1'!C28+'9.2'!C28+'9.3'!C28</f>
        <v>1119752</v>
      </c>
      <c r="F28" s="1196">
        <f t="shared" si="0"/>
        <v>0</v>
      </c>
    </row>
    <row r="29" spans="1:6" s="610" customFormat="1" ht="15" customHeight="1" thickBot="1">
      <c r="A29" s="390" t="s">
        <v>170</v>
      </c>
      <c r="B29" s="436" t="s">
        <v>268</v>
      </c>
      <c r="C29" s="429">
        <f>+C30+C31+C32+C36</f>
        <v>3062200</v>
      </c>
      <c r="E29" s="1195">
        <f>'9.1'!C29+'9.2'!C29+'9.3'!C29</f>
        <v>3062200</v>
      </c>
      <c r="F29" s="1196">
        <f t="shared" si="0"/>
        <v>0</v>
      </c>
    </row>
    <row r="30" spans="1:6" s="610" customFormat="1" ht="15" customHeight="1">
      <c r="A30" s="482" t="s">
        <v>269</v>
      </c>
      <c r="B30" s="439" t="s">
        <v>567</v>
      </c>
      <c r="C30" s="612">
        <f>'Ö1'!I106</f>
        <v>0</v>
      </c>
      <c r="E30" s="1195">
        <f>'9.1'!C30+'9.2'!C30+'9.3'!C30</f>
        <v>0</v>
      </c>
      <c r="F30" s="1196">
        <f t="shared" si="0"/>
        <v>0</v>
      </c>
    </row>
    <row r="31" spans="1:6" s="610" customFormat="1" ht="15" customHeight="1">
      <c r="A31" s="483" t="s">
        <v>270</v>
      </c>
      <c r="B31" s="441" t="s">
        <v>575</v>
      </c>
      <c r="C31" s="415">
        <f>'Ö1'!I110</f>
        <v>1250000</v>
      </c>
      <c r="E31" s="1195">
        <f>'9.1'!C31+'9.2'!C31+'9.3'!C31</f>
        <v>1250000</v>
      </c>
      <c r="F31" s="1196">
        <f t="shared" si="0"/>
        <v>0</v>
      </c>
    </row>
    <row r="32" spans="1:6" s="610" customFormat="1" ht="15" customHeight="1">
      <c r="A32" s="483" t="s">
        <v>271</v>
      </c>
      <c r="B32" s="441" t="s">
        <v>568</v>
      </c>
      <c r="C32" s="415">
        <f>SUM(C33:C35)</f>
        <v>1787000</v>
      </c>
      <c r="E32" s="1195">
        <f>'9.1'!C32+'9.2'!C32+'9.3'!C32</f>
        <v>1787000</v>
      </c>
      <c r="F32" s="1196">
        <f t="shared" si="0"/>
        <v>0</v>
      </c>
    </row>
    <row r="33" spans="1:6" s="610" customFormat="1" ht="15" customHeight="1">
      <c r="A33" s="485" t="s">
        <v>569</v>
      </c>
      <c r="B33" s="481" t="s">
        <v>570</v>
      </c>
      <c r="C33" s="1197">
        <f>'Ö1'!I118</f>
        <v>95000</v>
      </c>
      <c r="E33" s="1195">
        <f>'9.1'!C33+'9.2'!C33+'9.3'!C33</f>
        <v>95000</v>
      </c>
      <c r="F33" s="1196">
        <f t="shared" si="0"/>
        <v>0</v>
      </c>
    </row>
    <row r="34" spans="1:6" s="610" customFormat="1" ht="15" customHeight="1">
      <c r="A34" s="485" t="s">
        <v>571</v>
      </c>
      <c r="B34" s="481" t="s">
        <v>572</v>
      </c>
      <c r="C34" s="1197">
        <f>'Ö1'!I115</f>
        <v>1400000</v>
      </c>
      <c r="E34" s="1195">
        <f>'9.1'!C34+'9.2'!C34+'9.3'!C34</f>
        <v>1400000</v>
      </c>
      <c r="F34" s="1196">
        <f t="shared" si="0"/>
        <v>0</v>
      </c>
    </row>
    <row r="35" spans="1:6" s="610" customFormat="1" ht="25.5">
      <c r="A35" s="485" t="s">
        <v>573</v>
      </c>
      <c r="B35" s="481" t="s">
        <v>574</v>
      </c>
      <c r="C35" s="1198">
        <f>'Ö1'!I121</f>
        <v>292000</v>
      </c>
      <c r="E35" s="1195">
        <f>'9.1'!C35+'9.2'!C35+'9.3'!C35</f>
        <v>292000</v>
      </c>
      <c r="F35" s="1196">
        <f t="shared" si="0"/>
        <v>0</v>
      </c>
    </row>
    <row r="36" spans="1:6" s="610" customFormat="1" ht="15" customHeight="1" thickBot="1">
      <c r="A36" s="483" t="s">
        <v>272</v>
      </c>
      <c r="B36" s="441" t="s">
        <v>273</v>
      </c>
      <c r="C36" s="416">
        <f>'Ö1'!I125</f>
        <v>25200</v>
      </c>
      <c r="E36" s="1195">
        <f>'9.1'!C36+'9.2'!C36+'9.3'!C36</f>
        <v>25200</v>
      </c>
      <c r="F36" s="1196">
        <f t="shared" si="0"/>
        <v>0</v>
      </c>
    </row>
    <row r="37" spans="1:6" s="610" customFormat="1" ht="15" customHeight="1" thickBot="1">
      <c r="A37" s="409" t="s">
        <v>21</v>
      </c>
      <c r="B37" s="401" t="s">
        <v>435</v>
      </c>
      <c r="C37" s="428">
        <f>SUM(C38:C48)</f>
        <v>2093056</v>
      </c>
      <c r="E37" s="1195">
        <f>'9.1'!C37+'9.2'!C37+'9.3'!C37</f>
        <v>2093056</v>
      </c>
      <c r="F37" s="1196">
        <f t="shared" si="0"/>
        <v>0</v>
      </c>
    </row>
    <row r="38" spans="1:6" s="610" customFormat="1" ht="15" customHeight="1">
      <c r="A38" s="607" t="s">
        <v>87</v>
      </c>
      <c r="B38" s="402" t="s">
        <v>276</v>
      </c>
      <c r="C38" s="423">
        <f>'Ö1'!I132</f>
        <v>0</v>
      </c>
      <c r="E38" s="1195">
        <f>'9.1'!C38+'9.2'!C38+'9.3'!C38</f>
        <v>0</v>
      </c>
      <c r="F38" s="1196">
        <f t="shared" si="0"/>
        <v>0</v>
      </c>
    </row>
    <row r="39" spans="1:6" s="610" customFormat="1" ht="15" customHeight="1">
      <c r="A39" s="609" t="s">
        <v>88</v>
      </c>
      <c r="B39" s="403" t="s">
        <v>277</v>
      </c>
      <c r="C39" s="415">
        <f>'Ö1'!I134</f>
        <v>99600</v>
      </c>
      <c r="E39" s="1195">
        <f>'9.1'!C39+'9.2'!C39+'9.3'!C39</f>
        <v>99600</v>
      </c>
      <c r="F39" s="1196">
        <f t="shared" si="0"/>
        <v>0</v>
      </c>
    </row>
    <row r="40" spans="1:6" s="610" customFormat="1" ht="15" customHeight="1">
      <c r="A40" s="609" t="s">
        <v>89</v>
      </c>
      <c r="B40" s="403" t="s">
        <v>278</v>
      </c>
      <c r="C40" s="415">
        <f>'Ö1'!I151</f>
        <v>45000</v>
      </c>
      <c r="E40" s="1195">
        <f>'9.1'!C40+'9.2'!C40+'9.3'!C40</f>
        <v>45000</v>
      </c>
      <c r="F40" s="1196">
        <f t="shared" si="0"/>
        <v>0</v>
      </c>
    </row>
    <row r="41" spans="1:6" s="610" customFormat="1" ht="15" customHeight="1">
      <c r="A41" s="609" t="s">
        <v>172</v>
      </c>
      <c r="B41" s="403" t="s">
        <v>279</v>
      </c>
      <c r="C41" s="415">
        <f>'Ö1'!I154</f>
        <v>1211080</v>
      </c>
      <c r="E41" s="1195">
        <f>'9.1'!C41+'9.2'!C41+'9.3'!C41</f>
        <v>1211080</v>
      </c>
      <c r="F41" s="1196">
        <f t="shared" si="0"/>
        <v>0</v>
      </c>
    </row>
    <row r="42" spans="1:6" s="610" customFormat="1" ht="15" customHeight="1">
      <c r="A42" s="609" t="s">
        <v>173</v>
      </c>
      <c r="B42" s="403" t="s">
        <v>280</v>
      </c>
      <c r="C42" s="415">
        <f>'Ö1'!I172</f>
        <v>49300</v>
      </c>
      <c r="E42" s="1195">
        <f>'9.1'!C42+'9.2'!C42+'9.3'!C42</f>
        <v>49300</v>
      </c>
      <c r="F42" s="1196">
        <f t="shared" si="0"/>
        <v>0</v>
      </c>
    </row>
    <row r="43" spans="1:6" s="610" customFormat="1" ht="15" customHeight="1">
      <c r="A43" s="609" t="s">
        <v>174</v>
      </c>
      <c r="B43" s="403" t="s">
        <v>281</v>
      </c>
      <c r="C43" s="415">
        <f>'Ö1'!I179</f>
        <v>508405</v>
      </c>
      <c r="E43" s="1195">
        <f>'9.1'!C43+'9.2'!C43+'9.3'!C43</f>
        <v>508405</v>
      </c>
      <c r="F43" s="1196">
        <f t="shared" si="0"/>
        <v>0</v>
      </c>
    </row>
    <row r="44" spans="1:6" s="610" customFormat="1" ht="15" customHeight="1">
      <c r="A44" s="609" t="s">
        <v>175</v>
      </c>
      <c r="B44" s="403" t="s">
        <v>282</v>
      </c>
      <c r="C44" s="415">
        <f>'Ö1'!I181</f>
        <v>168171</v>
      </c>
      <c r="E44" s="1195">
        <f>'9.1'!C44+'9.2'!C44+'9.3'!C44</f>
        <v>168171</v>
      </c>
      <c r="F44" s="1196">
        <f t="shared" si="0"/>
        <v>0</v>
      </c>
    </row>
    <row r="45" spans="1:6" s="610" customFormat="1" ht="15" customHeight="1">
      <c r="A45" s="609" t="s">
        <v>176</v>
      </c>
      <c r="B45" s="403" t="s">
        <v>283</v>
      </c>
      <c r="C45" s="415">
        <f>'Ö1'!I183</f>
        <v>2200</v>
      </c>
      <c r="E45" s="1195">
        <f>'9.1'!C45+'9.2'!C45+'9.3'!C45</f>
        <v>2200</v>
      </c>
      <c r="F45" s="1196">
        <f t="shared" si="0"/>
        <v>0</v>
      </c>
    </row>
    <row r="46" spans="1:6" s="610" customFormat="1" ht="15" customHeight="1">
      <c r="A46" s="609" t="s">
        <v>274</v>
      </c>
      <c r="B46" s="403" t="s">
        <v>284</v>
      </c>
      <c r="C46" s="613">
        <f>'Ö1'!I187</f>
        <v>0</v>
      </c>
      <c r="E46" s="1195">
        <f>'9.1'!C46+'9.2'!C46+'9.3'!C46</f>
        <v>0</v>
      </c>
      <c r="F46" s="1196">
        <f t="shared" si="0"/>
        <v>0</v>
      </c>
    </row>
    <row r="47" spans="1:6" s="610" customFormat="1" ht="15" customHeight="1">
      <c r="A47" s="611" t="s">
        <v>275</v>
      </c>
      <c r="B47" s="404" t="s">
        <v>437</v>
      </c>
      <c r="C47" s="614">
        <f>'Ö1'!I189</f>
        <v>4000</v>
      </c>
      <c r="E47" s="1195">
        <f>'9.1'!C47+'9.2'!C47+'9.3'!C47</f>
        <v>4000</v>
      </c>
      <c r="F47" s="1196">
        <f t="shared" si="0"/>
        <v>0</v>
      </c>
    </row>
    <row r="48" spans="1:6" s="610" customFormat="1" ht="15" customHeight="1" thickBot="1">
      <c r="A48" s="631" t="s">
        <v>436</v>
      </c>
      <c r="B48" s="646" t="s">
        <v>285</v>
      </c>
      <c r="C48" s="647">
        <f>'Ö1'!I193</f>
        <v>5300</v>
      </c>
      <c r="E48" s="1195">
        <f>'9.1'!C48+'9.2'!C48+'9.3'!C48</f>
        <v>5300</v>
      </c>
      <c r="F48" s="1196">
        <f t="shared" si="0"/>
        <v>0</v>
      </c>
    </row>
    <row r="49" spans="1:6" s="610" customFormat="1" ht="15" customHeight="1" thickBot="1">
      <c r="A49" s="409" t="s">
        <v>22</v>
      </c>
      <c r="B49" s="401" t="s">
        <v>286</v>
      </c>
      <c r="C49" s="428">
        <f>SUM(C50:C54)</f>
        <v>500000</v>
      </c>
      <c r="E49" s="1195">
        <f>'9.1'!C49+'9.2'!C49+'9.3'!C49</f>
        <v>500000</v>
      </c>
      <c r="F49" s="1196">
        <f t="shared" si="0"/>
        <v>0</v>
      </c>
    </row>
    <row r="50" spans="1:6" s="610" customFormat="1" ht="15" customHeight="1">
      <c r="A50" s="607" t="s">
        <v>90</v>
      </c>
      <c r="B50" s="402" t="s">
        <v>290</v>
      </c>
      <c r="C50" s="615"/>
      <c r="E50" s="1195">
        <f>'9.1'!C50+'9.2'!C50+'9.3'!C50</f>
        <v>0</v>
      </c>
      <c r="F50" s="1196">
        <f t="shared" si="0"/>
        <v>0</v>
      </c>
    </row>
    <row r="51" spans="1:6" s="610" customFormat="1" ht="15" customHeight="1">
      <c r="A51" s="609" t="s">
        <v>91</v>
      </c>
      <c r="B51" s="403" t="s">
        <v>291</v>
      </c>
      <c r="C51" s="613">
        <f>'Ö1'!F198</f>
        <v>500000</v>
      </c>
      <c r="E51" s="1195">
        <f>'9.1'!C51+'9.2'!C51+'9.3'!C51</f>
        <v>500000</v>
      </c>
      <c r="F51" s="1196">
        <f t="shared" si="0"/>
        <v>0</v>
      </c>
    </row>
    <row r="52" spans="1:6" s="610" customFormat="1" ht="15" customHeight="1">
      <c r="A52" s="609" t="s">
        <v>287</v>
      </c>
      <c r="B52" s="403" t="s">
        <v>292</v>
      </c>
      <c r="C52" s="613"/>
      <c r="E52" s="1195">
        <f>'9.1'!C52+'9.2'!C52+'9.3'!C52</f>
        <v>0</v>
      </c>
      <c r="F52" s="1196">
        <f t="shared" si="0"/>
        <v>0</v>
      </c>
    </row>
    <row r="53" spans="1:6" s="610" customFormat="1" ht="15" customHeight="1">
      <c r="A53" s="609" t="s">
        <v>288</v>
      </c>
      <c r="B53" s="403" t="s">
        <v>293</v>
      </c>
      <c r="C53" s="613"/>
      <c r="E53" s="1195">
        <f>'9.1'!C53+'9.2'!C53+'9.3'!C53</f>
        <v>0</v>
      </c>
      <c r="F53" s="1196">
        <f t="shared" si="0"/>
        <v>0</v>
      </c>
    </row>
    <row r="54" spans="1:6" s="610" customFormat="1" ht="15" customHeight="1" thickBot="1">
      <c r="A54" s="611" t="s">
        <v>289</v>
      </c>
      <c r="B54" s="404" t="s">
        <v>294</v>
      </c>
      <c r="C54" s="614"/>
      <c r="E54" s="1195">
        <f>'9.1'!C54+'9.2'!C54+'9.3'!C54</f>
        <v>0</v>
      </c>
      <c r="F54" s="1196">
        <f t="shared" si="0"/>
        <v>0</v>
      </c>
    </row>
    <row r="55" spans="1:6" s="610" customFormat="1" ht="15" customHeight="1" thickBot="1">
      <c r="A55" s="409" t="s">
        <v>177</v>
      </c>
      <c r="B55" s="401" t="s">
        <v>295</v>
      </c>
      <c r="C55" s="428">
        <f>SUM(C56:C58)</f>
        <v>194830</v>
      </c>
      <c r="E55" s="1195">
        <f>'9.1'!C55+'9.2'!C55+'9.3'!C55</f>
        <v>194830</v>
      </c>
      <c r="F55" s="1196">
        <f t="shared" si="0"/>
        <v>0</v>
      </c>
    </row>
    <row r="56" spans="1:6" s="610" customFormat="1" ht="15" customHeight="1">
      <c r="A56" s="607" t="s">
        <v>92</v>
      </c>
      <c r="B56" s="402" t="s">
        <v>296</v>
      </c>
      <c r="C56" s="423">
        <f>'Ö1'!I205</f>
        <v>94830</v>
      </c>
      <c r="E56" s="1195">
        <f>'9.1'!C56+'9.2'!C56+'9.3'!C56</f>
        <v>94830</v>
      </c>
      <c r="F56" s="1196">
        <f t="shared" si="0"/>
        <v>0</v>
      </c>
    </row>
    <row r="57" spans="1:6" s="610" customFormat="1" ht="15" customHeight="1">
      <c r="A57" s="609" t="s">
        <v>93</v>
      </c>
      <c r="B57" s="403" t="s">
        <v>428</v>
      </c>
      <c r="C57" s="415">
        <f>'Ö1'!I209</f>
        <v>100000</v>
      </c>
      <c r="E57" s="1195">
        <f>'9.1'!C57+'9.2'!C57+'9.3'!C57</f>
        <v>100000</v>
      </c>
      <c r="F57" s="1196">
        <f t="shared" si="0"/>
        <v>0</v>
      </c>
    </row>
    <row r="58" spans="1:6" s="610" customFormat="1" ht="15" customHeight="1">
      <c r="A58" s="609" t="s">
        <v>299</v>
      </c>
      <c r="B58" s="403" t="s">
        <v>297</v>
      </c>
      <c r="C58" s="415"/>
      <c r="E58" s="1195">
        <f>'9.1'!C58+'9.2'!C58+'9.3'!C58</f>
        <v>0</v>
      </c>
      <c r="F58" s="1196">
        <f t="shared" si="0"/>
        <v>0</v>
      </c>
    </row>
    <row r="59" spans="1:6" s="610" customFormat="1" ht="15" customHeight="1" thickBot="1">
      <c r="A59" s="611" t="s">
        <v>300</v>
      </c>
      <c r="B59" s="404" t="s">
        <v>298</v>
      </c>
      <c r="C59" s="416"/>
      <c r="E59" s="1195">
        <f>'9.1'!C59+'9.2'!C59+'9.3'!C59</f>
        <v>0</v>
      </c>
      <c r="F59" s="1196">
        <f t="shared" si="0"/>
        <v>0</v>
      </c>
    </row>
    <row r="60" spans="1:6" s="610" customFormat="1" ht="15" customHeight="1" thickBot="1">
      <c r="A60" s="409" t="s">
        <v>24</v>
      </c>
      <c r="B60" s="405" t="s">
        <v>301</v>
      </c>
      <c r="C60" s="428">
        <f>SUM(C61:C63)</f>
        <v>126622</v>
      </c>
      <c r="E60" s="1195">
        <f>'9.1'!C60+'9.2'!C60+'9.3'!C60</f>
        <v>126622</v>
      </c>
      <c r="F60" s="1196">
        <f t="shared" si="0"/>
        <v>0</v>
      </c>
    </row>
    <row r="61" spans="1:6" s="610" customFormat="1" ht="15" customHeight="1">
      <c r="A61" s="607" t="s">
        <v>178</v>
      </c>
      <c r="B61" s="402" t="s">
        <v>303</v>
      </c>
      <c r="C61" s="613"/>
      <c r="E61" s="1195">
        <f>'9.1'!C61+'9.2'!C61+'9.3'!C61</f>
        <v>0</v>
      </c>
      <c r="F61" s="1196">
        <f t="shared" si="0"/>
        <v>0</v>
      </c>
    </row>
    <row r="62" spans="1:6" s="610" customFormat="1" ht="15" customHeight="1">
      <c r="A62" s="609" t="s">
        <v>179</v>
      </c>
      <c r="B62" s="403" t="s">
        <v>429</v>
      </c>
      <c r="C62" s="613">
        <f>'Ö1'!F215</f>
        <v>126522</v>
      </c>
      <c r="E62" s="1195">
        <f>'9.1'!C62+'9.2'!C62+'9.3'!C62</f>
        <v>126522</v>
      </c>
      <c r="F62" s="1196">
        <f t="shared" si="0"/>
        <v>0</v>
      </c>
    </row>
    <row r="63" spans="1:6" s="610" customFormat="1" ht="15" customHeight="1">
      <c r="A63" s="609" t="s">
        <v>230</v>
      </c>
      <c r="B63" s="403" t="s">
        <v>304</v>
      </c>
      <c r="C63" s="613">
        <f>'Ö1'!F222</f>
        <v>100</v>
      </c>
      <c r="E63" s="1195">
        <f>'9.1'!C63+'9.2'!C63+'9.3'!C63</f>
        <v>100</v>
      </c>
      <c r="F63" s="1196">
        <f t="shared" si="0"/>
        <v>0</v>
      </c>
    </row>
    <row r="64" spans="1:6" s="610" customFormat="1" ht="15" customHeight="1" thickBot="1">
      <c r="A64" s="611" t="s">
        <v>302</v>
      </c>
      <c r="B64" s="404" t="s">
        <v>305</v>
      </c>
      <c r="C64" s="613"/>
      <c r="E64" s="1195">
        <f>'9.1'!C64+'9.2'!C64+'9.3'!C64</f>
        <v>0</v>
      </c>
      <c r="F64" s="1196">
        <f t="shared" si="0"/>
        <v>0</v>
      </c>
    </row>
    <row r="65" spans="1:6" s="610" customFormat="1" ht="15" customHeight="1" thickBot="1">
      <c r="A65" s="409" t="s">
        <v>25</v>
      </c>
      <c r="B65" s="401" t="s">
        <v>306</v>
      </c>
      <c r="C65" s="429">
        <f>+C8+C15+C22+C29+C37+C49+C55+C60</f>
        <v>9457560</v>
      </c>
      <c r="E65" s="1195">
        <f>'9.1'!C65+'9.2'!C65+'9.3'!C65</f>
        <v>9457560</v>
      </c>
      <c r="F65" s="1196">
        <f t="shared" si="0"/>
        <v>0</v>
      </c>
    </row>
    <row r="66" spans="1:6" s="610" customFormat="1" ht="15" customHeight="1" thickBot="1">
      <c r="A66" s="616" t="s">
        <v>396</v>
      </c>
      <c r="B66" s="405" t="s">
        <v>308</v>
      </c>
      <c r="C66" s="428">
        <f>SUM(C67:C69)</f>
        <v>0</v>
      </c>
      <c r="E66" s="1195">
        <f>'9.1'!C66+'9.2'!C66+'9.3'!C66</f>
        <v>0</v>
      </c>
      <c r="F66" s="1196">
        <f t="shared" si="0"/>
        <v>0</v>
      </c>
    </row>
    <row r="67" spans="1:6" s="610" customFormat="1" ht="15" customHeight="1">
      <c r="A67" s="607" t="s">
        <v>339</v>
      </c>
      <c r="B67" s="402" t="s">
        <v>309</v>
      </c>
      <c r="C67" s="613"/>
      <c r="E67" s="1195">
        <f>'9.1'!C67+'9.2'!C67+'9.3'!C67</f>
        <v>0</v>
      </c>
      <c r="F67" s="1196">
        <f t="shared" si="0"/>
        <v>0</v>
      </c>
    </row>
    <row r="68" spans="1:6" s="610" customFormat="1" ht="15" customHeight="1">
      <c r="A68" s="609" t="s">
        <v>348</v>
      </c>
      <c r="B68" s="403" t="s">
        <v>310</v>
      </c>
      <c r="C68" s="613"/>
      <c r="E68" s="1195">
        <f>'9.1'!C68+'9.2'!C68+'9.3'!C68</f>
        <v>0</v>
      </c>
      <c r="F68" s="1196">
        <f t="shared" si="0"/>
        <v>0</v>
      </c>
    </row>
    <row r="69" spans="1:6" s="610" customFormat="1" ht="15" customHeight="1" thickBot="1">
      <c r="A69" s="611" t="s">
        <v>349</v>
      </c>
      <c r="B69" s="406" t="s">
        <v>311</v>
      </c>
      <c r="C69" s="613"/>
      <c r="E69" s="1195">
        <f>'9.1'!C69+'9.2'!C69+'9.3'!C69</f>
        <v>0</v>
      </c>
      <c r="F69" s="1196">
        <f t="shared" si="0"/>
        <v>0</v>
      </c>
    </row>
    <row r="70" spans="1:6" s="610" customFormat="1" ht="15" customHeight="1" thickBot="1">
      <c r="A70" s="616" t="s">
        <v>312</v>
      </c>
      <c r="B70" s="405" t="s">
        <v>313</v>
      </c>
      <c r="C70" s="428">
        <f>SUM(C71:C74)</f>
        <v>0</v>
      </c>
      <c r="E70" s="1195">
        <f>'9.1'!C70+'9.2'!C70+'9.3'!C70</f>
        <v>0</v>
      </c>
      <c r="F70" s="1196">
        <f t="shared" si="0"/>
        <v>0</v>
      </c>
    </row>
    <row r="71" spans="1:6" s="610" customFormat="1" ht="15" customHeight="1">
      <c r="A71" s="607" t="s">
        <v>146</v>
      </c>
      <c r="B71" s="402" t="s">
        <v>314</v>
      </c>
      <c r="C71" s="613"/>
      <c r="E71" s="1195">
        <f>'9.1'!C71+'9.2'!C71+'9.3'!C71</f>
        <v>0</v>
      </c>
      <c r="F71" s="1196">
        <f t="shared" si="0"/>
        <v>0</v>
      </c>
    </row>
    <row r="72" spans="1:6" s="610" customFormat="1" ht="15" customHeight="1">
      <c r="A72" s="609" t="s">
        <v>147</v>
      </c>
      <c r="B72" s="403" t="s">
        <v>315</v>
      </c>
      <c r="C72" s="613"/>
      <c r="E72" s="1195">
        <f>'9.1'!C72+'9.2'!C72+'9.3'!C72</f>
        <v>0</v>
      </c>
      <c r="F72" s="1196">
        <f t="shared" si="0"/>
        <v>0</v>
      </c>
    </row>
    <row r="73" spans="1:6" s="610" customFormat="1" ht="15" customHeight="1">
      <c r="A73" s="609" t="s">
        <v>340</v>
      </c>
      <c r="B73" s="403" t="s">
        <v>316</v>
      </c>
      <c r="C73" s="613"/>
      <c r="E73" s="1195">
        <f>'9.1'!C73+'9.2'!C73+'9.3'!C73</f>
        <v>0</v>
      </c>
      <c r="F73" s="1196">
        <f aca="true" t="shared" si="1" ref="F73:F136">C73-E73</f>
        <v>0</v>
      </c>
    </row>
    <row r="74" spans="1:6" s="610" customFormat="1" ht="15" customHeight="1" thickBot="1">
      <c r="A74" s="611" t="s">
        <v>341</v>
      </c>
      <c r="B74" s="404" t="s">
        <v>317</v>
      </c>
      <c r="C74" s="613"/>
      <c r="E74" s="1195">
        <f>'9.1'!C74+'9.2'!C74+'9.3'!C74</f>
        <v>0</v>
      </c>
      <c r="F74" s="1196">
        <f t="shared" si="1"/>
        <v>0</v>
      </c>
    </row>
    <row r="75" spans="1:6" s="610" customFormat="1" ht="15" customHeight="1" thickBot="1">
      <c r="A75" s="616" t="s">
        <v>318</v>
      </c>
      <c r="B75" s="405" t="s">
        <v>319</v>
      </c>
      <c r="C75" s="428">
        <f>SUM(C76:C77)</f>
        <v>452332</v>
      </c>
      <c r="E75" s="1195">
        <f>'9.1'!C75+'9.2'!C75+'9.3'!C75</f>
        <v>452332</v>
      </c>
      <c r="F75" s="1196">
        <f t="shared" si="1"/>
        <v>0</v>
      </c>
    </row>
    <row r="76" spans="1:6" s="610" customFormat="1" ht="15" customHeight="1">
      <c r="A76" s="607" t="s">
        <v>342</v>
      </c>
      <c r="B76" s="402" t="s">
        <v>320</v>
      </c>
      <c r="C76" s="613">
        <f>'Ö1'!I228</f>
        <v>452332</v>
      </c>
      <c r="E76" s="1195">
        <f>'9.1'!C76+'9.2'!C76+'9.3'!C76</f>
        <v>452332</v>
      </c>
      <c r="F76" s="1196">
        <f t="shared" si="1"/>
        <v>0</v>
      </c>
    </row>
    <row r="77" spans="1:6" s="610" customFormat="1" ht="15" customHeight="1" thickBot="1">
      <c r="A77" s="611" t="s">
        <v>343</v>
      </c>
      <c r="B77" s="404" t="s">
        <v>321</v>
      </c>
      <c r="C77" s="613"/>
      <c r="E77" s="1195">
        <f>'9.1'!C77+'9.2'!C77+'9.3'!C77</f>
        <v>0</v>
      </c>
      <c r="F77" s="1196">
        <f t="shared" si="1"/>
        <v>0</v>
      </c>
    </row>
    <row r="78" spans="1:6" s="608" customFormat="1" ht="15" customHeight="1" thickBot="1">
      <c r="A78" s="616" t="s">
        <v>322</v>
      </c>
      <c r="B78" s="405" t="s">
        <v>323</v>
      </c>
      <c r="C78" s="428">
        <f>SUM(C79:C81)</f>
        <v>750000</v>
      </c>
      <c r="E78" s="1195">
        <f>'9.1'!C78+'9.2'!C78+'9.3'!C78</f>
        <v>750000</v>
      </c>
      <c r="F78" s="1196">
        <f t="shared" si="1"/>
        <v>0</v>
      </c>
    </row>
    <row r="79" spans="1:6" s="610" customFormat="1" ht="15" customHeight="1">
      <c r="A79" s="607" t="s">
        <v>344</v>
      </c>
      <c r="B79" s="402" t="s">
        <v>324</v>
      </c>
      <c r="C79" s="613"/>
      <c r="E79" s="1195">
        <f>'9.1'!C79+'9.2'!C79+'9.3'!C79</f>
        <v>0</v>
      </c>
      <c r="F79" s="1196">
        <f t="shared" si="1"/>
        <v>0</v>
      </c>
    </row>
    <row r="80" spans="1:6" s="610" customFormat="1" ht="15" customHeight="1">
      <c r="A80" s="609" t="s">
        <v>345</v>
      </c>
      <c r="B80" s="403" t="s">
        <v>325</v>
      </c>
      <c r="C80" s="613"/>
      <c r="E80" s="1195">
        <f>'9.1'!C80+'9.2'!C80+'9.3'!C80</f>
        <v>0</v>
      </c>
      <c r="F80" s="1196">
        <f t="shared" si="1"/>
        <v>0</v>
      </c>
    </row>
    <row r="81" spans="1:6" s="610" customFormat="1" ht="15" customHeight="1" thickBot="1">
      <c r="A81" s="611" t="s">
        <v>346</v>
      </c>
      <c r="B81" s="404" t="s">
        <v>326</v>
      </c>
      <c r="C81" s="613">
        <f>'Ö1'!I234</f>
        <v>750000</v>
      </c>
      <c r="E81" s="1195">
        <f>'9.1'!C81+'9.2'!C81+'9.3'!C81</f>
        <v>750000</v>
      </c>
      <c r="F81" s="1196">
        <f t="shared" si="1"/>
        <v>0</v>
      </c>
    </row>
    <row r="82" spans="1:6" s="610" customFormat="1" ht="15" customHeight="1" thickBot="1">
      <c r="A82" s="616" t="s">
        <v>327</v>
      </c>
      <c r="B82" s="405" t="s">
        <v>347</v>
      </c>
      <c r="C82" s="428">
        <f>SUM(C83:C86)</f>
        <v>0</v>
      </c>
      <c r="E82" s="1195">
        <f>'9.1'!C82+'9.2'!C82+'9.3'!C82</f>
        <v>0</v>
      </c>
      <c r="F82" s="1196">
        <f t="shared" si="1"/>
        <v>0</v>
      </c>
    </row>
    <row r="83" spans="1:6" s="610" customFormat="1" ht="15" customHeight="1">
      <c r="A83" s="617" t="s">
        <v>328</v>
      </c>
      <c r="B83" s="402" t="s">
        <v>329</v>
      </c>
      <c r="C83" s="613"/>
      <c r="E83" s="1195">
        <f>'9.1'!C83+'9.2'!C83+'9.3'!C83</f>
        <v>0</v>
      </c>
      <c r="F83" s="1196">
        <f t="shared" si="1"/>
        <v>0</v>
      </c>
    </row>
    <row r="84" spans="1:6" s="610" customFormat="1" ht="15" customHeight="1">
      <c r="A84" s="618" t="s">
        <v>330</v>
      </c>
      <c r="B84" s="403" t="s">
        <v>331</v>
      </c>
      <c r="C84" s="613"/>
      <c r="E84" s="1195">
        <f>'9.1'!C84+'9.2'!C84+'9.3'!C84</f>
        <v>0</v>
      </c>
      <c r="F84" s="1196">
        <f t="shared" si="1"/>
        <v>0</v>
      </c>
    </row>
    <row r="85" spans="1:6" s="610" customFormat="1" ht="15" customHeight="1">
      <c r="A85" s="618" t="s">
        <v>332</v>
      </c>
      <c r="B85" s="403" t="s">
        <v>333</v>
      </c>
      <c r="C85" s="613"/>
      <c r="E85" s="1195">
        <f>'9.1'!C85+'9.2'!C85+'9.3'!C85</f>
        <v>0</v>
      </c>
      <c r="F85" s="1196">
        <f t="shared" si="1"/>
        <v>0</v>
      </c>
    </row>
    <row r="86" spans="1:6" s="608" customFormat="1" ht="15" customHeight="1" thickBot="1">
      <c r="A86" s="619" t="s">
        <v>334</v>
      </c>
      <c r="B86" s="404" t="s">
        <v>335</v>
      </c>
      <c r="C86" s="613"/>
      <c r="E86" s="1195">
        <f>'9.1'!C86+'9.2'!C86+'9.3'!C86</f>
        <v>0</v>
      </c>
      <c r="F86" s="1196">
        <f t="shared" si="1"/>
        <v>0</v>
      </c>
    </row>
    <row r="87" spans="1:6" s="608" customFormat="1" ht="15" customHeight="1" thickBot="1">
      <c r="A87" s="616" t="s">
        <v>336</v>
      </c>
      <c r="B87" s="405" t="s">
        <v>475</v>
      </c>
      <c r="C87" s="620"/>
      <c r="E87" s="1195">
        <f>'9.1'!C87+'9.2'!C87+'9.3'!C87</f>
        <v>0</v>
      </c>
      <c r="F87" s="1196">
        <f t="shared" si="1"/>
        <v>0</v>
      </c>
    </row>
    <row r="88" spans="1:6" s="608" customFormat="1" ht="15" customHeight="1" thickBot="1">
      <c r="A88" s="616" t="s">
        <v>506</v>
      </c>
      <c r="B88" s="405" t="s">
        <v>337</v>
      </c>
      <c r="C88" s="620"/>
      <c r="E88" s="1195">
        <f>'9.1'!C88+'9.2'!C88+'9.3'!C88</f>
        <v>0</v>
      </c>
      <c r="F88" s="1196">
        <f t="shared" si="1"/>
        <v>0</v>
      </c>
    </row>
    <row r="89" spans="1:6" s="608" customFormat="1" ht="15" customHeight="1" thickBot="1">
      <c r="A89" s="616" t="s">
        <v>507</v>
      </c>
      <c r="B89" s="407" t="s">
        <v>478</v>
      </c>
      <c r="C89" s="429">
        <f>+C66+C70+C75+C78+C82+C88+C87</f>
        <v>1202332</v>
      </c>
      <c r="E89" s="1195">
        <f>'9.1'!C89+'9.2'!C89+'9.3'!C89</f>
        <v>1202332</v>
      </c>
      <c r="F89" s="1196">
        <f t="shared" si="1"/>
        <v>0</v>
      </c>
    </row>
    <row r="90" spans="1:6" s="608" customFormat="1" ht="15" customHeight="1" thickBot="1">
      <c r="A90" s="621" t="s">
        <v>508</v>
      </c>
      <c r="B90" s="408" t="s">
        <v>509</v>
      </c>
      <c r="C90" s="429">
        <f>+C65+C89</f>
        <v>10659892</v>
      </c>
      <c r="E90" s="1195">
        <f>'9.1'!C90+'9.2'!C90+'9.3'!C90</f>
        <v>10659892</v>
      </c>
      <c r="F90" s="1196">
        <f t="shared" si="1"/>
        <v>0</v>
      </c>
    </row>
    <row r="91" spans="1:6" s="610" customFormat="1" ht="15" customHeight="1" thickBot="1">
      <c r="A91" s="622"/>
      <c r="B91" s="623"/>
      <c r="C91" s="624"/>
      <c r="E91" s="1195"/>
      <c r="F91" s="1196">
        <f t="shared" si="1"/>
        <v>0</v>
      </c>
    </row>
    <row r="92" spans="1:6" s="603" customFormat="1" ht="15" customHeight="1" thickBot="1">
      <c r="A92" s="597"/>
      <c r="B92" s="625" t="s">
        <v>57</v>
      </c>
      <c r="C92" s="626"/>
      <c r="E92" s="1195"/>
      <c r="F92" s="1196">
        <f t="shared" si="1"/>
        <v>0</v>
      </c>
    </row>
    <row r="93" spans="1:6" s="628" customFormat="1" ht="15" customHeight="1" thickBot="1">
      <c r="A93" s="627" t="s">
        <v>17</v>
      </c>
      <c r="B93" s="410" t="s">
        <v>617</v>
      </c>
      <c r="C93" s="411">
        <f>+C94+C95+C96+C97+C98+C111</f>
        <v>3580966</v>
      </c>
      <c r="E93" s="1195">
        <f>'9.1'!C93+'9.2'!C93+'9.3'!C93</f>
        <v>3580966</v>
      </c>
      <c r="F93" s="1196">
        <f t="shared" si="1"/>
        <v>0</v>
      </c>
    </row>
    <row r="94" spans="1:6" ht="15" customHeight="1">
      <c r="A94" s="629" t="s">
        <v>94</v>
      </c>
      <c r="B94" s="412" t="s">
        <v>48</v>
      </c>
      <c r="C94" s="413">
        <f>'Ö2'!E117</f>
        <v>125441</v>
      </c>
      <c r="E94" s="1195">
        <f>'9.1'!C94+'9.2'!C94+'9.3'!C94</f>
        <v>125441</v>
      </c>
      <c r="F94" s="1196">
        <f t="shared" si="1"/>
        <v>0</v>
      </c>
    </row>
    <row r="95" spans="1:6" ht="15" customHeight="1">
      <c r="A95" s="609" t="s">
        <v>95</v>
      </c>
      <c r="B95" s="414" t="s">
        <v>180</v>
      </c>
      <c r="C95" s="415">
        <f>'Ö2'!H117</f>
        <v>26382</v>
      </c>
      <c r="E95" s="1195">
        <f>'9.1'!C95+'9.2'!C95+'9.3'!C95</f>
        <v>26382</v>
      </c>
      <c r="F95" s="1196">
        <f t="shared" si="1"/>
        <v>0</v>
      </c>
    </row>
    <row r="96" spans="1:6" ht="15" customHeight="1">
      <c r="A96" s="609" t="s">
        <v>96</v>
      </c>
      <c r="B96" s="414" t="s">
        <v>137</v>
      </c>
      <c r="C96" s="416">
        <f>'Ö2'!K117+'Ö3'!E320</f>
        <v>2613594</v>
      </c>
      <c r="E96" s="1195">
        <f>'9.1'!C96+'9.2'!C96+'9.3'!C96</f>
        <v>2613594</v>
      </c>
      <c r="F96" s="1196">
        <f t="shared" si="1"/>
        <v>0</v>
      </c>
    </row>
    <row r="97" spans="1:6" ht="15" customHeight="1">
      <c r="A97" s="609" t="s">
        <v>97</v>
      </c>
      <c r="B97" s="417" t="s">
        <v>181</v>
      </c>
      <c r="C97" s="416">
        <f>'Ö2'!N117</f>
        <v>54775</v>
      </c>
      <c r="E97" s="1195">
        <f>'9.1'!C97+'9.2'!C97+'9.3'!C97</f>
        <v>54775</v>
      </c>
      <c r="F97" s="1196">
        <f t="shared" si="1"/>
        <v>0</v>
      </c>
    </row>
    <row r="98" spans="1:6" ht="15" customHeight="1">
      <c r="A98" s="609" t="s">
        <v>108</v>
      </c>
      <c r="B98" s="418" t="s">
        <v>182</v>
      </c>
      <c r="C98" s="416">
        <f>'Ö2'!Q117+'Ö2'!T117</f>
        <v>452468</v>
      </c>
      <c r="E98" s="1195">
        <f>'9.1'!C98+'9.2'!C98+'9.3'!C98</f>
        <v>452468</v>
      </c>
      <c r="F98" s="1196">
        <f t="shared" si="1"/>
        <v>0</v>
      </c>
    </row>
    <row r="99" spans="1:6" ht="15" customHeight="1">
      <c r="A99" s="609" t="s">
        <v>98</v>
      </c>
      <c r="B99" s="414" t="s">
        <v>510</v>
      </c>
      <c r="C99" s="416"/>
      <c r="E99" s="1195">
        <f>'9.1'!C99+'9.2'!C99+'9.3'!C99</f>
        <v>0</v>
      </c>
      <c r="F99" s="1196">
        <f t="shared" si="1"/>
        <v>0</v>
      </c>
    </row>
    <row r="100" spans="1:6" ht="15" customHeight="1">
      <c r="A100" s="609" t="s">
        <v>99</v>
      </c>
      <c r="B100" s="420" t="s">
        <v>441</v>
      </c>
      <c r="C100" s="416"/>
      <c r="E100" s="1195">
        <f>'9.1'!C100+'9.2'!C100+'9.3'!C100</f>
        <v>0</v>
      </c>
      <c r="F100" s="1196">
        <f t="shared" si="1"/>
        <v>0</v>
      </c>
    </row>
    <row r="101" spans="1:6" ht="15" customHeight="1">
      <c r="A101" s="609" t="s">
        <v>109</v>
      </c>
      <c r="B101" s="420" t="s">
        <v>440</v>
      </c>
      <c r="C101" s="416">
        <f>'Ö2'!Q91+'Ö2'!Q103</f>
        <v>21181</v>
      </c>
      <c r="E101" s="1195">
        <f>'9.1'!C101+'9.2'!C101+'9.3'!C101</f>
        <v>21181</v>
      </c>
      <c r="F101" s="1196">
        <f t="shared" si="1"/>
        <v>0</v>
      </c>
    </row>
    <row r="102" spans="1:6" ht="15" customHeight="1">
      <c r="A102" s="609" t="s">
        <v>110</v>
      </c>
      <c r="B102" s="420" t="s">
        <v>353</v>
      </c>
      <c r="C102" s="416"/>
      <c r="E102" s="1195">
        <f>'9.1'!C102+'9.2'!C102+'9.3'!C102</f>
        <v>0</v>
      </c>
      <c r="F102" s="1196">
        <f t="shared" si="1"/>
        <v>0</v>
      </c>
    </row>
    <row r="103" spans="1:6" ht="15" customHeight="1">
      <c r="A103" s="609" t="s">
        <v>111</v>
      </c>
      <c r="B103" s="414" t="s">
        <v>354</v>
      </c>
      <c r="C103" s="416"/>
      <c r="E103" s="1195">
        <f>'9.1'!C103+'9.2'!C103+'9.3'!C103</f>
        <v>0</v>
      </c>
      <c r="F103" s="1196">
        <f t="shared" si="1"/>
        <v>0</v>
      </c>
    </row>
    <row r="104" spans="1:6" ht="15" customHeight="1">
      <c r="A104" s="609" t="s">
        <v>112</v>
      </c>
      <c r="B104" s="414" t="s">
        <v>355</v>
      </c>
      <c r="C104" s="416"/>
      <c r="E104" s="1195">
        <f>'9.1'!C104+'9.2'!C104+'9.3'!C104</f>
        <v>0</v>
      </c>
      <c r="F104" s="1196">
        <f t="shared" si="1"/>
        <v>0</v>
      </c>
    </row>
    <row r="105" spans="1:6" ht="15" customHeight="1">
      <c r="A105" s="609" t="s">
        <v>114</v>
      </c>
      <c r="B105" s="420" t="s">
        <v>356</v>
      </c>
      <c r="C105" s="416">
        <f>'Ö2'!Q54+'Ö2'!Q55+'Ö2'!Q72+'Ö2'!Q83+'Ö2'!Q87+'Ö2'!Q88+'Ö2'!Q100+'Ö2'!Q105</f>
        <v>33237</v>
      </c>
      <c r="E105" s="1195">
        <f>'9.1'!C105+'9.2'!C105+'9.3'!C105</f>
        <v>33237</v>
      </c>
      <c r="F105" s="1196">
        <f t="shared" si="1"/>
        <v>0</v>
      </c>
    </row>
    <row r="106" spans="1:6" ht="15" customHeight="1">
      <c r="A106" s="609" t="s">
        <v>183</v>
      </c>
      <c r="B106" s="420" t="s">
        <v>357</v>
      </c>
      <c r="C106" s="416"/>
      <c r="E106" s="1195">
        <f>'9.1'!C106+'9.2'!C106+'9.3'!C106</f>
        <v>0</v>
      </c>
      <c r="F106" s="1196">
        <f t="shared" si="1"/>
        <v>0</v>
      </c>
    </row>
    <row r="107" spans="1:6" ht="15" customHeight="1">
      <c r="A107" s="609" t="s">
        <v>351</v>
      </c>
      <c r="B107" s="414" t="s">
        <v>358</v>
      </c>
      <c r="C107" s="416">
        <f>'Ö2'!T77+'Ö2'!T106</f>
        <v>246000</v>
      </c>
      <c r="E107" s="1195">
        <f>'9.1'!C107+'9.2'!C107+'9.3'!C107</f>
        <v>246000</v>
      </c>
      <c r="F107" s="1196">
        <f t="shared" si="1"/>
        <v>0</v>
      </c>
    </row>
    <row r="108" spans="1:6" ht="15" customHeight="1">
      <c r="A108" s="630" t="s">
        <v>352</v>
      </c>
      <c r="B108" s="419" t="s">
        <v>359</v>
      </c>
      <c r="C108" s="416"/>
      <c r="E108" s="1195">
        <f>'9.1'!C108+'9.2'!C108+'9.3'!C108</f>
        <v>0</v>
      </c>
      <c r="F108" s="1196">
        <f t="shared" si="1"/>
        <v>0</v>
      </c>
    </row>
    <row r="109" spans="1:6" ht="15" customHeight="1">
      <c r="A109" s="609" t="s">
        <v>438</v>
      </c>
      <c r="B109" s="419" t="s">
        <v>360</v>
      </c>
      <c r="C109" s="416"/>
      <c r="E109" s="1195">
        <f>'9.1'!C109+'9.2'!C109+'9.3'!C109</f>
        <v>0</v>
      </c>
      <c r="F109" s="1196">
        <f t="shared" si="1"/>
        <v>0</v>
      </c>
    </row>
    <row r="110" spans="1:6" ht="15" customHeight="1">
      <c r="A110" s="609" t="s">
        <v>439</v>
      </c>
      <c r="B110" s="414" t="s">
        <v>361</v>
      </c>
      <c r="C110" s="415">
        <f>'Ö2'!T12+'Ö2'!T13+'Ö2'!T14+'Ö2'!T15+'Ö2'!T16+'Ö2'!T25+'Ö2'!T26+'Ö2'!T40+'Ö2'!T41+'Ö2'!T44+'Ö2'!T34+'Ö2'!T89+'Ö2'!T90+'Ö2'!T98+'Ö2'!T101+'Ö2'!T104</f>
        <v>152050</v>
      </c>
      <c r="E110" s="1195">
        <f>'9.1'!C110+'9.2'!C110+'9.3'!C110</f>
        <v>152050</v>
      </c>
      <c r="F110" s="1196">
        <f>C110-E110</f>
        <v>0</v>
      </c>
    </row>
    <row r="111" spans="1:6" ht="15" customHeight="1">
      <c r="A111" s="609" t="s">
        <v>443</v>
      </c>
      <c r="B111" s="417" t="s">
        <v>49</v>
      </c>
      <c r="C111" s="415">
        <f>'17'!C43:D43+'17'!G17+'17'!G41</f>
        <v>308306</v>
      </c>
      <c r="E111" s="1195">
        <f>'9.1'!C111+'9.2'!C111+'9.3'!C111</f>
        <v>308306</v>
      </c>
      <c r="F111" s="1196">
        <f t="shared" si="1"/>
        <v>0</v>
      </c>
    </row>
    <row r="112" spans="1:6" ht="15" customHeight="1">
      <c r="A112" s="611" t="s">
        <v>444</v>
      </c>
      <c r="B112" s="414" t="s">
        <v>511</v>
      </c>
      <c r="C112" s="416">
        <f>'17'!C43:D43</f>
        <v>72483</v>
      </c>
      <c r="E112" s="1195">
        <f>'9.1'!C112+'9.2'!C112+'9.3'!C112</f>
        <v>72483</v>
      </c>
      <c r="F112" s="1196">
        <f t="shared" si="1"/>
        <v>0</v>
      </c>
    </row>
    <row r="113" spans="1:6" ht="15" customHeight="1" thickBot="1">
      <c r="A113" s="631" t="s">
        <v>445</v>
      </c>
      <c r="B113" s="421" t="s">
        <v>1150</v>
      </c>
      <c r="C113" s="422">
        <f>'17'!G41+'17'!G17</f>
        <v>235823</v>
      </c>
      <c r="E113" s="1195">
        <f>'9.1'!C113+'9.2'!C113+'9.3'!C113</f>
        <v>235823</v>
      </c>
      <c r="F113" s="1196">
        <f t="shared" si="1"/>
        <v>0</v>
      </c>
    </row>
    <row r="114" spans="1:6" ht="15" customHeight="1" thickBot="1">
      <c r="A114" s="409" t="s">
        <v>18</v>
      </c>
      <c r="B114" s="632" t="s">
        <v>566</v>
      </c>
      <c r="C114" s="428">
        <f>+C115+C117+C119</f>
        <v>4096766</v>
      </c>
      <c r="E114" s="1195">
        <f>'9.1'!C114+'9.2'!C114+'9.3'!C114</f>
        <v>4096766</v>
      </c>
      <c r="F114" s="1196">
        <f t="shared" si="1"/>
        <v>0</v>
      </c>
    </row>
    <row r="115" spans="1:6" ht="15" customHeight="1">
      <c r="A115" s="607" t="s">
        <v>100</v>
      </c>
      <c r="B115" s="414" t="s">
        <v>228</v>
      </c>
      <c r="C115" s="423">
        <f>'Ö3'!D275-'Ö3'!D94-'Ö3'!D8-'Ö3'!D103-'Ö3'!D105-'Ö3'!D327-'Ö3'!D329-'Ö3'!D113</f>
        <v>2908288</v>
      </c>
      <c r="E115" s="1195">
        <f>'9.1'!C115+'9.2'!C115+'9.3'!C115</f>
        <v>2908288</v>
      </c>
      <c r="F115" s="1196">
        <f t="shared" si="1"/>
        <v>0</v>
      </c>
    </row>
    <row r="116" spans="1:6" ht="15" customHeight="1">
      <c r="A116" s="607" t="s">
        <v>101</v>
      </c>
      <c r="B116" s="419" t="s">
        <v>365</v>
      </c>
      <c r="C116" s="423">
        <f>'Ö3'!N80</f>
        <v>1147846</v>
      </c>
      <c r="E116" s="1195">
        <f>'9.1'!C116+'9.2'!C116+'9.3'!C116</f>
        <v>1147846</v>
      </c>
      <c r="F116" s="1196">
        <f t="shared" si="1"/>
        <v>0</v>
      </c>
    </row>
    <row r="117" spans="1:6" ht="15" customHeight="1">
      <c r="A117" s="607" t="s">
        <v>102</v>
      </c>
      <c r="B117" s="419" t="s">
        <v>184</v>
      </c>
      <c r="C117" s="415">
        <f>'Ö3'!D318-'Ö3'!D313</f>
        <v>132032</v>
      </c>
      <c r="E117" s="1195">
        <f>'9.1'!C117+'9.2'!C117+'9.3'!C117</f>
        <v>132032</v>
      </c>
      <c r="F117" s="1196">
        <f t="shared" si="1"/>
        <v>0</v>
      </c>
    </row>
    <row r="118" spans="1:6" ht="15" customHeight="1">
      <c r="A118" s="607" t="s">
        <v>103</v>
      </c>
      <c r="B118" s="419" t="s">
        <v>366</v>
      </c>
      <c r="C118" s="424"/>
      <c r="E118" s="1195">
        <f>'9.1'!C118+'9.2'!C118+'9.3'!C118</f>
        <v>0</v>
      </c>
      <c r="F118" s="1196">
        <f t="shared" si="1"/>
        <v>0</v>
      </c>
    </row>
    <row r="119" spans="1:6" ht="15" customHeight="1">
      <c r="A119" s="607" t="s">
        <v>104</v>
      </c>
      <c r="B119" s="404" t="s">
        <v>231</v>
      </c>
      <c r="C119" s="424">
        <f>'Ö3'!D94+'Ö3'!D8+'Ö3'!D103+'Ö3'!D105+'Ö3'!D313+'Ö3'!D327+'Ö3'!D329+'Ö3'!D113</f>
        <v>1056446</v>
      </c>
      <c r="E119" s="1195">
        <f>'9.1'!C119+'9.2'!C119+'9.3'!C119</f>
        <v>1056446</v>
      </c>
      <c r="F119" s="1196">
        <f t="shared" si="1"/>
        <v>0</v>
      </c>
    </row>
    <row r="120" spans="1:6" ht="15" customHeight="1">
      <c r="A120" s="607" t="s">
        <v>113</v>
      </c>
      <c r="B120" s="403" t="s">
        <v>430</v>
      </c>
      <c r="C120" s="424"/>
      <c r="E120" s="1195">
        <f>'9.1'!C120+'9.2'!C120+'9.3'!C120</f>
        <v>0</v>
      </c>
      <c r="F120" s="1196">
        <f t="shared" si="1"/>
        <v>0</v>
      </c>
    </row>
    <row r="121" spans="1:6" ht="15" customHeight="1">
      <c r="A121" s="607" t="s">
        <v>115</v>
      </c>
      <c r="B121" s="425" t="s">
        <v>371</v>
      </c>
      <c r="C121" s="424"/>
      <c r="E121" s="1195">
        <f>'9.1'!C121+'9.2'!C121+'9.3'!C121</f>
        <v>0</v>
      </c>
      <c r="F121" s="1196">
        <f t="shared" si="1"/>
        <v>0</v>
      </c>
    </row>
    <row r="122" spans="1:6" ht="15" customHeight="1">
      <c r="A122" s="607" t="s">
        <v>185</v>
      </c>
      <c r="B122" s="414" t="s">
        <v>355</v>
      </c>
      <c r="C122" s="424"/>
      <c r="E122" s="1195">
        <f>'9.1'!C122+'9.2'!C122+'9.3'!C122</f>
        <v>0</v>
      </c>
      <c r="F122" s="1196">
        <f t="shared" si="1"/>
        <v>0</v>
      </c>
    </row>
    <row r="123" spans="1:6" ht="15" customHeight="1">
      <c r="A123" s="607" t="s">
        <v>186</v>
      </c>
      <c r="B123" s="414" t="s">
        <v>370</v>
      </c>
      <c r="C123" s="424">
        <f>'Ö3'!D105+'Ö3'!D327</f>
        <v>794308</v>
      </c>
      <c r="E123" s="1195">
        <f>'9.1'!C123+'9.2'!C123+'9.3'!C123</f>
        <v>794308</v>
      </c>
      <c r="F123" s="1196">
        <f t="shared" si="1"/>
        <v>0</v>
      </c>
    </row>
    <row r="124" spans="1:6" ht="15" customHeight="1">
      <c r="A124" s="607" t="s">
        <v>187</v>
      </c>
      <c r="B124" s="414" t="s">
        <v>369</v>
      </c>
      <c r="C124" s="424"/>
      <c r="E124" s="1195">
        <f>'9.1'!C124+'9.2'!C124+'9.3'!C124</f>
        <v>0</v>
      </c>
      <c r="F124" s="1196">
        <f t="shared" si="1"/>
        <v>0</v>
      </c>
    </row>
    <row r="125" spans="1:6" ht="15" customHeight="1">
      <c r="A125" s="607" t="s">
        <v>362</v>
      </c>
      <c r="B125" s="414" t="s">
        <v>358</v>
      </c>
      <c r="C125" s="424"/>
      <c r="E125" s="1195">
        <f>'9.1'!C125+'9.2'!C125+'9.3'!C125</f>
        <v>0</v>
      </c>
      <c r="F125" s="1196">
        <f t="shared" si="1"/>
        <v>0</v>
      </c>
    </row>
    <row r="126" spans="1:6" ht="15" customHeight="1">
      <c r="A126" s="607" t="s">
        <v>363</v>
      </c>
      <c r="B126" s="414" t="s">
        <v>368</v>
      </c>
      <c r="C126" s="424"/>
      <c r="E126" s="1195">
        <f>'9.1'!C126+'9.2'!C126+'9.3'!C126</f>
        <v>0</v>
      </c>
      <c r="F126" s="1196">
        <f t="shared" si="1"/>
        <v>0</v>
      </c>
    </row>
    <row r="127" spans="1:6" ht="15" customHeight="1" thickBot="1">
      <c r="A127" s="630" t="s">
        <v>364</v>
      </c>
      <c r="B127" s="414" t="s">
        <v>367</v>
      </c>
      <c r="C127" s="426">
        <f>'Ö3'!D94+'Ö3'!D8+'Ö3'!D103+'Ö3'!D313+'Ö3'!D329+'Ö3'!D113</f>
        <v>262138</v>
      </c>
      <c r="E127" s="1195">
        <f>'9.1'!C127+'9.2'!C127+'9.3'!C127</f>
        <v>262138</v>
      </c>
      <c r="F127" s="1196">
        <f t="shared" si="1"/>
        <v>0</v>
      </c>
    </row>
    <row r="128" spans="1:6" ht="15" customHeight="1" thickBot="1">
      <c r="A128" s="409" t="s">
        <v>19</v>
      </c>
      <c r="B128" s="427" t="s">
        <v>448</v>
      </c>
      <c r="C128" s="428">
        <f>+C93+C114</f>
        <v>7677732</v>
      </c>
      <c r="E128" s="1195">
        <f>'9.1'!C128+'9.2'!C128+'9.3'!C128</f>
        <v>7677732</v>
      </c>
      <c r="F128" s="1196">
        <f t="shared" si="1"/>
        <v>0</v>
      </c>
    </row>
    <row r="129" spans="1:6" ht="15" customHeight="1" thickBot="1">
      <c r="A129" s="409" t="s">
        <v>20</v>
      </c>
      <c r="B129" s="427" t="s">
        <v>449</v>
      </c>
      <c r="C129" s="428">
        <f>+C130+C131+C132</f>
        <v>0</v>
      </c>
      <c r="E129" s="1195">
        <f>'9.1'!C129+'9.2'!C129+'9.3'!C129</f>
        <v>0</v>
      </c>
      <c r="F129" s="1196">
        <f t="shared" si="1"/>
        <v>0</v>
      </c>
    </row>
    <row r="130" spans="1:6" s="628" customFormat="1" ht="15" customHeight="1">
      <c r="A130" s="607" t="s">
        <v>269</v>
      </c>
      <c r="B130" s="425" t="s">
        <v>515</v>
      </c>
      <c r="C130" s="424"/>
      <c r="E130" s="1195">
        <f>'9.1'!C130+'9.2'!C130+'9.3'!C130</f>
        <v>0</v>
      </c>
      <c r="F130" s="1196">
        <f t="shared" si="1"/>
        <v>0</v>
      </c>
    </row>
    <row r="131" spans="1:6" ht="15" customHeight="1">
      <c r="A131" s="607" t="s">
        <v>270</v>
      </c>
      <c r="B131" s="425" t="s">
        <v>457</v>
      </c>
      <c r="C131" s="424"/>
      <c r="E131" s="1195">
        <f>'9.1'!C131+'9.2'!C131+'9.3'!C131</f>
        <v>0</v>
      </c>
      <c r="F131" s="1196">
        <f t="shared" si="1"/>
        <v>0</v>
      </c>
    </row>
    <row r="132" spans="1:6" ht="15" customHeight="1" thickBot="1">
      <c r="A132" s="630" t="s">
        <v>271</v>
      </c>
      <c r="B132" s="430" t="s">
        <v>514</v>
      </c>
      <c r="C132" s="424"/>
      <c r="E132" s="1195">
        <f>'9.1'!C132+'9.2'!C132+'9.3'!C132</f>
        <v>0</v>
      </c>
      <c r="F132" s="1196">
        <f t="shared" si="1"/>
        <v>0</v>
      </c>
    </row>
    <row r="133" spans="1:6" ht="15" customHeight="1" thickBot="1">
      <c r="A133" s="409" t="s">
        <v>21</v>
      </c>
      <c r="B133" s="427" t="s">
        <v>450</v>
      </c>
      <c r="C133" s="428">
        <f>+C134+C135+C136+C137+C138+C139</f>
        <v>0</v>
      </c>
      <c r="E133" s="1195">
        <f>'9.1'!C133+'9.2'!C133+'9.3'!C133</f>
        <v>0</v>
      </c>
      <c r="F133" s="1196">
        <f t="shared" si="1"/>
        <v>0</v>
      </c>
    </row>
    <row r="134" spans="1:6" ht="15" customHeight="1">
      <c r="A134" s="607" t="s">
        <v>87</v>
      </c>
      <c r="B134" s="425" t="s">
        <v>459</v>
      </c>
      <c r="C134" s="424"/>
      <c r="E134" s="1195">
        <f>'9.1'!C134+'9.2'!C134+'9.3'!C134</f>
        <v>0</v>
      </c>
      <c r="F134" s="1196">
        <f t="shared" si="1"/>
        <v>0</v>
      </c>
    </row>
    <row r="135" spans="1:6" ht="15" customHeight="1">
      <c r="A135" s="607" t="s">
        <v>88</v>
      </c>
      <c r="B135" s="425" t="s">
        <v>451</v>
      </c>
      <c r="C135" s="424"/>
      <c r="E135" s="1195">
        <f>'9.1'!C135+'9.2'!C135+'9.3'!C135</f>
        <v>0</v>
      </c>
      <c r="F135" s="1196">
        <f t="shared" si="1"/>
        <v>0</v>
      </c>
    </row>
    <row r="136" spans="1:6" ht="15" customHeight="1">
      <c r="A136" s="607" t="s">
        <v>89</v>
      </c>
      <c r="B136" s="425" t="s">
        <v>452</v>
      </c>
      <c r="C136" s="424"/>
      <c r="E136" s="1195">
        <f>'9.1'!C136+'9.2'!C136+'9.3'!C136</f>
        <v>0</v>
      </c>
      <c r="F136" s="1196">
        <f t="shared" si="1"/>
        <v>0</v>
      </c>
    </row>
    <row r="137" spans="1:6" ht="15" customHeight="1">
      <c r="A137" s="607" t="s">
        <v>172</v>
      </c>
      <c r="B137" s="425" t="s">
        <v>513</v>
      </c>
      <c r="C137" s="424"/>
      <c r="E137" s="1195">
        <f>'9.1'!C137+'9.2'!C137+'9.3'!C137</f>
        <v>0</v>
      </c>
      <c r="F137" s="1196">
        <f aca="true" t="shared" si="2" ref="F137:F158">C137-E137</f>
        <v>0</v>
      </c>
    </row>
    <row r="138" spans="1:6" ht="15" customHeight="1">
      <c r="A138" s="607" t="s">
        <v>173</v>
      </c>
      <c r="B138" s="425" t="s">
        <v>454</v>
      </c>
      <c r="C138" s="424"/>
      <c r="E138" s="1195">
        <f>'9.1'!C138+'9.2'!C138+'9.3'!C138</f>
        <v>0</v>
      </c>
      <c r="F138" s="1196">
        <f t="shared" si="2"/>
        <v>0</v>
      </c>
    </row>
    <row r="139" spans="1:6" s="628" customFormat="1" ht="15" customHeight="1" thickBot="1">
      <c r="A139" s="630" t="s">
        <v>174</v>
      </c>
      <c r="B139" s="430" t="s">
        <v>455</v>
      </c>
      <c r="C139" s="424"/>
      <c r="E139" s="1195">
        <f>'9.1'!C139+'9.2'!C139+'9.3'!C139</f>
        <v>0</v>
      </c>
      <c r="F139" s="1196">
        <f t="shared" si="2"/>
        <v>0</v>
      </c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2982160</v>
      </c>
      <c r="E140" s="1195">
        <f>'9.1'!C140+'9.2'!C140+'9.3'!C140</f>
        <v>2982160</v>
      </c>
      <c r="F140" s="1196">
        <f t="shared" si="2"/>
        <v>0</v>
      </c>
      <c r="K140" s="633"/>
    </row>
    <row r="141" spans="1:6" ht="15" customHeight="1">
      <c r="A141" s="607" t="s">
        <v>90</v>
      </c>
      <c r="B141" s="425" t="s">
        <v>372</v>
      </c>
      <c r="C141" s="424"/>
      <c r="E141" s="1195">
        <f>'9.1'!C141+'9.2'!C141+'9.3'!C141</f>
        <v>0</v>
      </c>
      <c r="F141" s="1196">
        <f t="shared" si="2"/>
        <v>0</v>
      </c>
    </row>
    <row r="142" spans="1:6" ht="15" customHeight="1">
      <c r="A142" s="607" t="s">
        <v>91</v>
      </c>
      <c r="B142" s="425" t="s">
        <v>373</v>
      </c>
      <c r="C142" s="424">
        <f>'Ö2'!Q127</f>
        <v>53557</v>
      </c>
      <c r="E142" s="1195">
        <f>'9.1'!C142+'9.2'!C142+'9.3'!C142</f>
        <v>53557</v>
      </c>
      <c r="F142" s="1196">
        <f t="shared" si="2"/>
        <v>0</v>
      </c>
    </row>
    <row r="143" spans="1:6" ht="15" customHeight="1">
      <c r="A143" s="607" t="s">
        <v>287</v>
      </c>
      <c r="B143" s="425" t="s">
        <v>536</v>
      </c>
      <c r="C143" s="424">
        <f>'Ö2'!Q124</f>
        <v>2178603</v>
      </c>
      <c r="E143" s="1195">
        <f>'9.1'!C143+'9.2'!C143+'9.3'!C143</f>
        <v>2178603</v>
      </c>
      <c r="F143" s="1196">
        <f t="shared" si="2"/>
        <v>0</v>
      </c>
    </row>
    <row r="144" spans="1:6" s="628" customFormat="1" ht="15" customHeight="1">
      <c r="A144" s="607" t="s">
        <v>288</v>
      </c>
      <c r="B144" s="425" t="s">
        <v>464</v>
      </c>
      <c r="C144" s="424">
        <f>'Ö2'!Q126</f>
        <v>750000</v>
      </c>
      <c r="E144" s="1195">
        <f>'9.1'!C144+'9.2'!C144+'9.3'!C144</f>
        <v>750000</v>
      </c>
      <c r="F144" s="1196">
        <f t="shared" si="2"/>
        <v>0</v>
      </c>
    </row>
    <row r="145" spans="1:6" s="628" customFormat="1" ht="15" customHeight="1" thickBot="1">
      <c r="A145" s="630" t="s">
        <v>289</v>
      </c>
      <c r="B145" s="430" t="s">
        <v>392</v>
      </c>
      <c r="C145" s="424"/>
      <c r="E145" s="1195">
        <f>'9.1'!C145+'9.2'!C145+'9.3'!C145</f>
        <v>0</v>
      </c>
      <c r="F145" s="1196">
        <f t="shared" si="2"/>
        <v>0</v>
      </c>
    </row>
    <row r="146" spans="1:6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  <c r="E146" s="1195">
        <f>'9.1'!C146+'9.2'!C146+'9.3'!C146</f>
        <v>0</v>
      </c>
      <c r="F146" s="1196">
        <f t="shared" si="2"/>
        <v>0</v>
      </c>
    </row>
    <row r="147" spans="1:6" s="628" customFormat="1" ht="15" customHeight="1">
      <c r="A147" s="607" t="s">
        <v>92</v>
      </c>
      <c r="B147" s="425" t="s">
        <v>460</v>
      </c>
      <c r="C147" s="424"/>
      <c r="E147" s="1195">
        <f>'9.1'!C147+'9.2'!C147+'9.3'!C147</f>
        <v>0</v>
      </c>
      <c r="F147" s="1196">
        <f t="shared" si="2"/>
        <v>0</v>
      </c>
    </row>
    <row r="148" spans="1:6" s="628" customFormat="1" ht="15" customHeight="1">
      <c r="A148" s="607" t="s">
        <v>93</v>
      </c>
      <c r="B148" s="425" t="s">
        <v>467</v>
      </c>
      <c r="C148" s="424"/>
      <c r="E148" s="1195">
        <f>'9.1'!C148+'9.2'!C148+'9.3'!C148</f>
        <v>0</v>
      </c>
      <c r="F148" s="1196">
        <f t="shared" si="2"/>
        <v>0</v>
      </c>
    </row>
    <row r="149" spans="1:6" s="628" customFormat="1" ht="15" customHeight="1">
      <c r="A149" s="607" t="s">
        <v>299</v>
      </c>
      <c r="B149" s="425" t="s">
        <v>462</v>
      </c>
      <c r="C149" s="424"/>
      <c r="E149" s="1195">
        <f>'9.1'!C149+'9.2'!C149+'9.3'!C149</f>
        <v>0</v>
      </c>
      <c r="F149" s="1196">
        <f t="shared" si="2"/>
        <v>0</v>
      </c>
    </row>
    <row r="150" spans="1:6" s="628" customFormat="1" ht="15" customHeight="1">
      <c r="A150" s="607" t="s">
        <v>300</v>
      </c>
      <c r="B150" s="425" t="s">
        <v>516</v>
      </c>
      <c r="C150" s="424"/>
      <c r="E150" s="1195">
        <f>'9.1'!C150+'9.2'!C150+'9.3'!C150</f>
        <v>0</v>
      </c>
      <c r="F150" s="1196">
        <f t="shared" si="2"/>
        <v>0</v>
      </c>
    </row>
    <row r="151" spans="1:6" ht="15" customHeight="1" thickBot="1">
      <c r="A151" s="630" t="s">
        <v>466</v>
      </c>
      <c r="B151" s="430" t="s">
        <v>469</v>
      </c>
      <c r="C151" s="426"/>
      <c r="E151" s="1195">
        <f>'9.1'!C151+'9.2'!C151+'9.3'!C151</f>
        <v>0</v>
      </c>
      <c r="F151" s="1196">
        <f t="shared" si="2"/>
        <v>0</v>
      </c>
    </row>
    <row r="152" spans="1:6" ht="15" customHeight="1" thickBot="1">
      <c r="A152" s="634" t="s">
        <v>24</v>
      </c>
      <c r="B152" s="427" t="s">
        <v>470</v>
      </c>
      <c r="C152" s="431"/>
      <c r="E152" s="1195">
        <f>'9.1'!C152+'9.2'!C152+'9.3'!C152</f>
        <v>0</v>
      </c>
      <c r="F152" s="1196">
        <f t="shared" si="2"/>
        <v>0</v>
      </c>
    </row>
    <row r="153" spans="1:6" ht="15" customHeight="1" thickBot="1">
      <c r="A153" s="634" t="s">
        <v>25</v>
      </c>
      <c r="B153" s="427" t="s">
        <v>471</v>
      </c>
      <c r="C153" s="431"/>
      <c r="E153" s="1195">
        <f>'9.1'!C153+'9.2'!C153+'9.3'!C153</f>
        <v>0</v>
      </c>
      <c r="F153" s="1196">
        <f t="shared" si="2"/>
        <v>0</v>
      </c>
    </row>
    <row r="154" spans="1:6" ht="15" customHeight="1" thickBot="1">
      <c r="A154" s="409" t="s">
        <v>26</v>
      </c>
      <c r="B154" s="427" t="s">
        <v>473</v>
      </c>
      <c r="C154" s="432">
        <f>+C129+C133+C140+C146+C152+C153</f>
        <v>2982160</v>
      </c>
      <c r="E154" s="1195">
        <f>'9.1'!C154+'9.2'!C154+'9.3'!C154</f>
        <v>2982160</v>
      </c>
      <c r="F154" s="1196">
        <f t="shared" si="2"/>
        <v>0</v>
      </c>
    </row>
    <row r="155" spans="1:6" ht="15" customHeight="1" thickBot="1">
      <c r="A155" s="621" t="s">
        <v>27</v>
      </c>
      <c r="B155" s="433" t="s">
        <v>472</v>
      </c>
      <c r="C155" s="432">
        <f>+C128+C154</f>
        <v>10659892</v>
      </c>
      <c r="E155" s="1195">
        <f>'9.1'!C155+'9.2'!C155+'9.3'!C155</f>
        <v>10659892</v>
      </c>
      <c r="F155" s="1196">
        <f t="shared" si="2"/>
        <v>0</v>
      </c>
    </row>
    <row r="156" spans="1:6" ht="15" customHeight="1" thickBot="1">
      <c r="A156" s="635"/>
      <c r="B156" s="636"/>
      <c r="C156" s="637"/>
      <c r="E156" s="1195"/>
      <c r="F156" s="1196">
        <f t="shared" si="2"/>
        <v>0</v>
      </c>
    </row>
    <row r="157" spans="1:6" ht="15" customHeight="1" thickBot="1">
      <c r="A157" s="638" t="s">
        <v>517</v>
      </c>
      <c r="B157" s="639"/>
      <c r="C157" s="640"/>
      <c r="E157" s="1195">
        <f>'9.1'!C157+'9.2'!C157+'9.3'!C157</f>
        <v>0</v>
      </c>
      <c r="F157" s="1196">
        <f t="shared" si="2"/>
        <v>0</v>
      </c>
    </row>
    <row r="158" spans="1:6" ht="15" customHeight="1" thickBot="1">
      <c r="A158" s="638" t="s">
        <v>203</v>
      </c>
      <c r="B158" s="639"/>
      <c r="C158" s="640">
        <f>14+11+1+12</f>
        <v>38</v>
      </c>
      <c r="E158" s="1195">
        <f>'9.1'!C158+'9.2'!C158+'9.3'!C158</f>
        <v>38</v>
      </c>
      <c r="F158" s="1196">
        <f t="shared" si="2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243"/>
  <sheetViews>
    <sheetView zoomScalePageLayoutView="0" workbookViewId="0" topLeftCell="A124">
      <selection activeCell="S135" sqref="S135"/>
    </sheetView>
  </sheetViews>
  <sheetFormatPr defaultColWidth="9.375" defaultRowHeight="12.75"/>
  <cols>
    <col min="1" max="1" width="5.375" style="815" customWidth="1"/>
    <col min="2" max="2" width="3.875" style="815" customWidth="1"/>
    <col min="3" max="3" width="5.00390625" style="842" customWidth="1"/>
    <col min="4" max="4" width="113.125" style="815" customWidth="1"/>
    <col min="5" max="5" width="12.50390625" style="815" customWidth="1"/>
    <col min="6" max="6" width="12.125" style="815" customWidth="1"/>
    <col min="7" max="7" width="11.625" style="801" customWidth="1"/>
    <col min="8" max="8" width="14.375" style="815" customWidth="1"/>
    <col min="9" max="9" width="13.00390625" style="815" customWidth="1"/>
    <col min="10" max="10" width="10.625" style="797" customWidth="1"/>
    <col min="11" max="11" width="10.625" style="794" hidden="1" customWidth="1"/>
    <col min="12" max="12" width="12.125" style="795" hidden="1" customWidth="1"/>
    <col min="13" max="18" width="10.625" style="795" hidden="1" customWidth="1"/>
    <col min="19" max="19" width="9.375" style="795" customWidth="1"/>
    <col min="20" max="20" width="10.125" style="795" bestFit="1" customWidth="1"/>
    <col min="21" max="16384" width="9.375" style="795" customWidth="1"/>
  </cols>
  <sheetData>
    <row r="1" spans="1:10" ht="15.75">
      <c r="A1" s="1472" t="s">
        <v>686</v>
      </c>
      <c r="B1" s="1472"/>
      <c r="C1" s="1472"/>
      <c r="D1" s="1472"/>
      <c r="E1" s="1472"/>
      <c r="F1" s="1472"/>
      <c r="G1" s="1472"/>
      <c r="H1" s="1472"/>
      <c r="I1" s="1472"/>
      <c r="J1" s="1472"/>
    </row>
    <row r="2" spans="1:9" ht="6" customHeight="1">
      <c r="A2" s="793"/>
      <c r="B2" s="793"/>
      <c r="C2" s="793"/>
      <c r="D2" s="793"/>
      <c r="E2" s="793"/>
      <c r="F2" s="793"/>
      <c r="G2" s="796"/>
      <c r="H2" s="793"/>
      <c r="I2" s="793"/>
    </row>
    <row r="3" spans="1:10" ht="15.75">
      <c r="A3" s="1473" t="s">
        <v>687</v>
      </c>
      <c r="B3" s="1473"/>
      <c r="C3" s="1473"/>
      <c r="D3" s="1473"/>
      <c r="E3" s="1473"/>
      <c r="F3" s="1473"/>
      <c r="G3" s="1473"/>
      <c r="H3" s="1473"/>
      <c r="I3" s="1473"/>
      <c r="J3" s="1473"/>
    </row>
    <row r="4" spans="1:10" ht="15.75">
      <c r="A4" s="1473" t="str">
        <f>'[2]1'!A3:K3</f>
        <v>2015. év</v>
      </c>
      <c r="B4" s="1426"/>
      <c r="C4" s="1426"/>
      <c r="D4" s="1426"/>
      <c r="E4" s="1426"/>
      <c r="F4" s="1426"/>
      <c r="G4" s="1426"/>
      <c r="H4" s="1426"/>
      <c r="I4" s="1426"/>
      <c r="J4" s="1426"/>
    </row>
    <row r="5" spans="1:10" ht="12.75">
      <c r="A5" s="1474" t="s">
        <v>688</v>
      </c>
      <c r="B5" s="1474"/>
      <c r="C5" s="1474"/>
      <c r="D5" s="1474"/>
      <c r="E5" s="1474"/>
      <c r="F5" s="1474"/>
      <c r="G5" s="1474"/>
      <c r="H5" s="1474"/>
      <c r="I5" s="1474"/>
      <c r="J5" s="1474"/>
    </row>
    <row r="6" spans="1:9" ht="15.75">
      <c r="A6" s="798"/>
      <c r="B6" s="798"/>
      <c r="C6" s="798"/>
      <c r="D6" s="798"/>
      <c r="E6" s="798"/>
      <c r="F6" s="798"/>
      <c r="G6" s="799"/>
      <c r="H6" s="798"/>
      <c r="I6" s="798"/>
    </row>
    <row r="7" spans="1:11" s="750" customFormat="1" ht="15.75">
      <c r="A7" s="798"/>
      <c r="B7" s="798"/>
      <c r="C7" s="798"/>
      <c r="D7" s="800"/>
      <c r="E7" s="1475" t="s">
        <v>689</v>
      </c>
      <c r="F7" s="1476"/>
      <c r="G7" s="1477"/>
      <c r="H7" s="1475" t="s">
        <v>690</v>
      </c>
      <c r="I7" s="1476"/>
      <c r="J7" s="1476"/>
      <c r="K7" s="801"/>
    </row>
    <row r="8" spans="1:11" s="750" customFormat="1" ht="15.75">
      <c r="A8" s="798"/>
      <c r="B8" s="798"/>
      <c r="C8" s="798"/>
      <c r="D8" s="800"/>
      <c r="E8" s="802" t="s">
        <v>691</v>
      </c>
      <c r="F8" s="802" t="s">
        <v>692</v>
      </c>
      <c r="G8" s="1462" t="s">
        <v>693</v>
      </c>
      <c r="H8" s="803" t="str">
        <f>E8</f>
        <v>2014. évi</v>
      </c>
      <c r="I8" s="802" t="str">
        <f>F8</f>
        <v>2015. évi</v>
      </c>
      <c r="J8" s="1464" t="str">
        <f>G8</f>
        <v>%</v>
      </c>
      <c r="K8" s="801"/>
    </row>
    <row r="9" spans="1:11" s="750" customFormat="1" ht="15.75">
      <c r="A9" s="798"/>
      <c r="B9" s="798"/>
      <c r="C9" s="798"/>
      <c r="D9" s="800"/>
      <c r="E9" s="802" t="s">
        <v>694</v>
      </c>
      <c r="F9" s="802" t="s">
        <v>694</v>
      </c>
      <c r="G9" s="1463"/>
      <c r="H9" s="803" t="s">
        <v>694</v>
      </c>
      <c r="I9" s="802" t="str">
        <f>F9</f>
        <v>terv</v>
      </c>
      <c r="J9" s="1465"/>
      <c r="K9" s="801"/>
    </row>
    <row r="10" spans="1:11" s="750" customFormat="1" ht="15.75">
      <c r="A10" s="798"/>
      <c r="B10" s="798"/>
      <c r="C10" s="798"/>
      <c r="D10" s="804"/>
      <c r="E10" s="805"/>
      <c r="F10" s="805"/>
      <c r="G10" s="806"/>
      <c r="H10" s="805"/>
      <c r="I10" s="805"/>
      <c r="J10" s="807"/>
      <c r="K10" s="801"/>
    </row>
    <row r="11" spans="1:11" s="750" customFormat="1" ht="14.25" customHeight="1">
      <c r="A11" s="808" t="s">
        <v>695</v>
      </c>
      <c r="B11" s="809" t="s">
        <v>696</v>
      </c>
      <c r="C11" s="809"/>
      <c r="D11" s="810"/>
      <c r="E11" s="811"/>
      <c r="F11" s="812"/>
      <c r="G11" s="813"/>
      <c r="H11" s="811">
        <f>H12+H49</f>
        <v>1696538</v>
      </c>
      <c r="I11" s="812">
        <f>I12+I49</f>
        <v>1594912</v>
      </c>
      <c r="J11" s="814">
        <f>I11/H11</f>
        <v>0.9400980113619618</v>
      </c>
      <c r="K11" s="801"/>
    </row>
    <row r="12" spans="1:11" s="750" customFormat="1" ht="14.25" customHeight="1">
      <c r="A12" s="815"/>
      <c r="B12" s="816" t="s">
        <v>697</v>
      </c>
      <c r="C12" s="817" t="s">
        <v>698</v>
      </c>
      <c r="D12" s="818"/>
      <c r="E12" s="819"/>
      <c r="F12" s="820"/>
      <c r="G12" s="821"/>
      <c r="H12" s="819">
        <f>H13+H22+H27+H35+H39+H46</f>
        <v>1401025</v>
      </c>
      <c r="I12" s="820">
        <f>I13+I22+I27+I35+I39+I46</f>
        <v>1464098</v>
      </c>
      <c r="J12" s="822">
        <f>I12/H12</f>
        <v>1.0450191823843258</v>
      </c>
      <c r="K12" s="801"/>
    </row>
    <row r="13" spans="1:19" s="832" customFormat="1" ht="14.25" customHeight="1">
      <c r="A13" s="823"/>
      <c r="B13" s="823"/>
      <c r="C13" s="824" t="s">
        <v>699</v>
      </c>
      <c r="D13" s="825" t="s">
        <v>700</v>
      </c>
      <c r="E13" s="826"/>
      <c r="F13" s="827"/>
      <c r="G13" s="828"/>
      <c r="H13" s="829">
        <f>SUM(H14:H19)</f>
        <v>693905</v>
      </c>
      <c r="I13" s="829">
        <f>SUM(I14:I20)</f>
        <v>686433</v>
      </c>
      <c r="J13" s="830">
        <f>I13/H13</f>
        <v>0.9892319553829415</v>
      </c>
      <c r="K13" s="831"/>
      <c r="S13" s="750"/>
    </row>
    <row r="14" spans="1:19" s="832" customFormat="1" ht="14.25" customHeight="1">
      <c r="A14" s="823"/>
      <c r="B14" s="823"/>
      <c r="C14" s="824"/>
      <c r="D14" s="833" t="s">
        <v>670</v>
      </c>
      <c r="E14" s="826"/>
      <c r="F14" s="827"/>
      <c r="G14" s="834"/>
      <c r="H14" s="835">
        <f>242442+29258</f>
        <v>271700</v>
      </c>
      <c r="I14" s="835">
        <v>253595</v>
      </c>
      <c r="J14" s="836">
        <f>I14/H14</f>
        <v>0.933364004416636</v>
      </c>
      <c r="K14" s="831"/>
      <c r="S14" s="750" t="s">
        <v>1152</v>
      </c>
    </row>
    <row r="15" spans="1:19" s="832" customFormat="1" ht="14.25" customHeight="1">
      <c r="A15" s="823"/>
      <c r="B15" s="823"/>
      <c r="C15" s="824"/>
      <c r="D15" s="833" t="s">
        <v>671</v>
      </c>
      <c r="E15" s="826"/>
      <c r="F15" s="827"/>
      <c r="G15" s="834"/>
      <c r="H15" s="835">
        <v>0</v>
      </c>
      <c r="I15" s="835">
        <v>261876</v>
      </c>
      <c r="J15" s="836">
        <v>0</v>
      </c>
      <c r="K15" s="831"/>
      <c r="S15" s="750" t="s">
        <v>1152</v>
      </c>
    </row>
    <row r="16" spans="1:19" s="832" customFormat="1" ht="14.25" customHeight="1">
      <c r="A16" s="823"/>
      <c r="B16" s="823"/>
      <c r="C16" s="824"/>
      <c r="D16" s="833" t="s">
        <v>701</v>
      </c>
      <c r="E16" s="826"/>
      <c r="F16" s="827"/>
      <c r="G16" s="834"/>
      <c r="H16" s="835">
        <v>33793</v>
      </c>
      <c r="I16" s="835">
        <v>0</v>
      </c>
      <c r="J16" s="836">
        <f>I16/H16</f>
        <v>0</v>
      </c>
      <c r="K16" s="831"/>
      <c r="S16" s="750" t="s">
        <v>1152</v>
      </c>
    </row>
    <row r="17" spans="1:19" s="832" customFormat="1" ht="14.25" customHeight="1">
      <c r="A17" s="823"/>
      <c r="B17" s="823"/>
      <c r="C17" s="824"/>
      <c r="D17" s="833" t="s">
        <v>672</v>
      </c>
      <c r="E17" s="826"/>
      <c r="F17" s="827"/>
      <c r="G17" s="834"/>
      <c r="H17" s="835">
        <v>387587</v>
      </c>
      <c r="I17" s="835">
        <v>168351</v>
      </c>
      <c r="J17" s="836">
        <f>I17/H17</f>
        <v>0.4343566734694404</v>
      </c>
      <c r="K17" s="831"/>
      <c r="S17" s="750" t="s">
        <v>1152</v>
      </c>
    </row>
    <row r="18" spans="1:19" s="832" customFormat="1" ht="14.25" customHeight="1">
      <c r="A18" s="823"/>
      <c r="B18" s="823"/>
      <c r="C18" s="824"/>
      <c r="D18" s="833" t="s">
        <v>673</v>
      </c>
      <c r="E18" s="826"/>
      <c r="F18" s="827"/>
      <c r="G18" s="834"/>
      <c r="H18" s="835">
        <v>550</v>
      </c>
      <c r="I18" s="835">
        <v>340</v>
      </c>
      <c r="J18" s="836">
        <f>I18/H18</f>
        <v>0.6181818181818182</v>
      </c>
      <c r="K18" s="831"/>
      <c r="S18" s="750" t="s">
        <v>1152</v>
      </c>
    </row>
    <row r="19" spans="1:19" s="832" customFormat="1" ht="14.25" customHeight="1">
      <c r="A19" s="823"/>
      <c r="B19" s="823"/>
      <c r="C19" s="824"/>
      <c r="D19" s="833" t="s">
        <v>702</v>
      </c>
      <c r="E19" s="826"/>
      <c r="F19" s="827"/>
      <c r="G19" s="834"/>
      <c r="H19" s="837">
        <v>275</v>
      </c>
      <c r="I19" s="835">
        <v>0</v>
      </c>
      <c r="J19" s="836">
        <f>I19/H19</f>
        <v>0</v>
      </c>
      <c r="K19" s="831"/>
      <c r="S19" s="750" t="s">
        <v>1152</v>
      </c>
    </row>
    <row r="20" spans="1:19" s="832" customFormat="1" ht="14.25" customHeight="1">
      <c r="A20" s="823"/>
      <c r="B20" s="823"/>
      <c r="C20" s="824"/>
      <c r="D20" s="833" t="s">
        <v>1232</v>
      </c>
      <c r="E20" s="826"/>
      <c r="F20" s="827"/>
      <c r="G20" s="834"/>
      <c r="H20" s="837"/>
      <c r="I20" s="835">
        <v>2271</v>
      </c>
      <c r="J20" s="836" t="e">
        <f>I20/H20</f>
        <v>#DIV/0!</v>
      </c>
      <c r="K20" s="831"/>
      <c r="S20" s="750" t="s">
        <v>1152</v>
      </c>
    </row>
    <row r="21" spans="1:19" s="832" customFormat="1" ht="14.25" customHeight="1">
      <c r="A21" s="823"/>
      <c r="B21" s="823"/>
      <c r="C21" s="824"/>
      <c r="D21" s="833"/>
      <c r="E21" s="826"/>
      <c r="F21" s="827"/>
      <c r="G21" s="834"/>
      <c r="H21" s="837"/>
      <c r="I21" s="835"/>
      <c r="J21" s="836"/>
      <c r="K21" s="831"/>
      <c r="S21" s="750"/>
    </row>
    <row r="22" spans="1:19" s="832" customFormat="1" ht="14.25" customHeight="1">
      <c r="A22" s="823"/>
      <c r="B22" s="823"/>
      <c r="C22" s="824" t="s">
        <v>703</v>
      </c>
      <c r="D22" s="825" t="s">
        <v>704</v>
      </c>
      <c r="E22" s="826"/>
      <c r="F22" s="827"/>
      <c r="G22" s="828"/>
      <c r="H22" s="838">
        <f>H23+H24</f>
        <v>329425</v>
      </c>
      <c r="I22" s="829">
        <f>I23+I24+I25</f>
        <v>387619</v>
      </c>
      <c r="J22" s="830">
        <f aca="true" t="shared" si="0" ref="J22:J28">I22/H22</f>
        <v>1.1766532594672536</v>
      </c>
      <c r="K22" s="831"/>
      <c r="S22" s="750"/>
    </row>
    <row r="23" spans="1:19" s="750" customFormat="1" ht="14.25" customHeight="1">
      <c r="A23" s="815"/>
      <c r="B23" s="815"/>
      <c r="C23" s="839"/>
      <c r="D23" s="833" t="s">
        <v>705</v>
      </c>
      <c r="E23" s="837"/>
      <c r="F23" s="840"/>
      <c r="G23" s="834"/>
      <c r="H23" s="837">
        <v>285111</v>
      </c>
      <c r="I23" s="841">
        <v>330208</v>
      </c>
      <c r="J23" s="836">
        <f t="shared" si="0"/>
        <v>1.158173483310009</v>
      </c>
      <c r="K23" s="801"/>
      <c r="S23" s="750" t="s">
        <v>1152</v>
      </c>
    </row>
    <row r="24" spans="1:19" s="750" customFormat="1" ht="14.25" customHeight="1">
      <c r="A24" s="815"/>
      <c r="B24" s="815"/>
      <c r="C24" s="839"/>
      <c r="D24" s="833" t="s">
        <v>675</v>
      </c>
      <c r="E24" s="837"/>
      <c r="F24" s="840"/>
      <c r="G24" s="834"/>
      <c r="H24" s="837">
        <v>44314</v>
      </c>
      <c r="I24" s="841">
        <v>53153</v>
      </c>
      <c r="J24" s="836">
        <f t="shared" si="0"/>
        <v>1.1994629236810037</v>
      </c>
      <c r="K24" s="801"/>
      <c r="S24" s="750" t="s">
        <v>1152</v>
      </c>
    </row>
    <row r="25" spans="1:19" s="750" customFormat="1" ht="14.25" customHeight="1">
      <c r="A25" s="815"/>
      <c r="B25" s="815"/>
      <c r="C25" s="839"/>
      <c r="D25" s="833" t="s">
        <v>676</v>
      </c>
      <c r="E25" s="837"/>
      <c r="F25" s="840"/>
      <c r="G25" s="834"/>
      <c r="H25" s="837">
        <v>0</v>
      </c>
      <c r="I25" s="841">
        <v>4258</v>
      </c>
      <c r="J25" s="836">
        <v>0</v>
      </c>
      <c r="K25" s="801"/>
      <c r="S25" s="750" t="s">
        <v>1152</v>
      </c>
    </row>
    <row r="26" spans="1:11" s="750" customFormat="1" ht="14.25" customHeight="1">
      <c r="A26" s="815"/>
      <c r="B26" s="815"/>
      <c r="C26" s="839"/>
      <c r="D26" s="833"/>
      <c r="E26" s="837"/>
      <c r="F26" s="840"/>
      <c r="G26" s="834"/>
      <c r="H26" s="837"/>
      <c r="I26" s="841"/>
      <c r="J26" s="836"/>
      <c r="K26" s="801"/>
    </row>
    <row r="27" spans="1:19" s="832" customFormat="1" ht="14.25" customHeight="1">
      <c r="A27" s="823"/>
      <c r="B27" s="823"/>
      <c r="C27" s="824" t="s">
        <v>706</v>
      </c>
      <c r="D27" s="825" t="s">
        <v>707</v>
      </c>
      <c r="E27" s="826"/>
      <c r="F27" s="827"/>
      <c r="G27" s="828"/>
      <c r="H27" s="838">
        <f>SUM(H28:H31)</f>
        <v>331707</v>
      </c>
      <c r="I27" s="829">
        <f>SUM(I28:I33)</f>
        <v>350928</v>
      </c>
      <c r="J27" s="830">
        <f t="shared" si="0"/>
        <v>1.0579457171539943</v>
      </c>
      <c r="K27" s="831"/>
      <c r="S27" s="750"/>
    </row>
    <row r="28" spans="1:19" s="750" customFormat="1" ht="14.25" customHeight="1">
      <c r="A28" s="815"/>
      <c r="B28" s="815"/>
      <c r="C28" s="842"/>
      <c r="D28" s="833" t="s">
        <v>677</v>
      </c>
      <c r="E28" s="837"/>
      <c r="F28" s="840"/>
      <c r="G28" s="834"/>
      <c r="H28" s="837">
        <v>108025</v>
      </c>
      <c r="I28" s="835">
        <v>111476</v>
      </c>
      <c r="J28" s="836">
        <f t="shared" si="0"/>
        <v>1.0319463087248322</v>
      </c>
      <c r="K28" s="801"/>
      <c r="S28" s="750" t="s">
        <v>1152</v>
      </c>
    </row>
    <row r="29" spans="1:19" s="750" customFormat="1" ht="14.25" customHeight="1">
      <c r="A29" s="815"/>
      <c r="B29" s="815"/>
      <c r="C29" s="842"/>
      <c r="D29" s="833" t="s">
        <v>708</v>
      </c>
      <c r="E29" s="837"/>
      <c r="F29" s="840"/>
      <c r="G29" s="834"/>
      <c r="H29" s="837">
        <v>109471</v>
      </c>
      <c r="I29" s="835">
        <v>85087</v>
      </c>
      <c r="J29" s="836">
        <f>I29/H29</f>
        <v>0.7772560769518868</v>
      </c>
      <c r="K29" s="801"/>
      <c r="S29" s="750" t="s">
        <v>1152</v>
      </c>
    </row>
    <row r="30" spans="1:19" s="750" customFormat="1" ht="14.25" customHeight="1">
      <c r="A30" s="815"/>
      <c r="B30" s="815"/>
      <c r="C30" s="842"/>
      <c r="D30" s="833" t="s">
        <v>709</v>
      </c>
      <c r="E30" s="837"/>
      <c r="F30" s="840"/>
      <c r="G30" s="834"/>
      <c r="H30" s="837">
        <v>114211</v>
      </c>
      <c r="I30" s="835">
        <v>125031</v>
      </c>
      <c r="J30" s="836">
        <f>I30/H30</f>
        <v>1.0947369342707796</v>
      </c>
      <c r="K30" s="801"/>
      <c r="S30" s="750" t="s">
        <v>1152</v>
      </c>
    </row>
    <row r="31" spans="1:19" s="750" customFormat="1" ht="14.25" customHeight="1">
      <c r="A31" s="815"/>
      <c r="B31" s="815"/>
      <c r="C31" s="842"/>
      <c r="D31" s="833" t="s">
        <v>710</v>
      </c>
      <c r="E31" s="837"/>
      <c r="F31" s="840"/>
      <c r="G31" s="834"/>
      <c r="H31" s="837">
        <v>0</v>
      </c>
      <c r="I31" s="835">
        <v>22767</v>
      </c>
      <c r="J31" s="836">
        <v>0</v>
      </c>
      <c r="K31" s="801"/>
      <c r="S31" s="750" t="s">
        <v>1152</v>
      </c>
    </row>
    <row r="32" spans="1:19" s="750" customFormat="1" ht="14.25" customHeight="1">
      <c r="A32" s="815"/>
      <c r="B32" s="815"/>
      <c r="C32" s="842"/>
      <c r="D32" s="833" t="s">
        <v>1180</v>
      </c>
      <c r="E32" s="837"/>
      <c r="F32" s="840"/>
      <c r="G32" s="834"/>
      <c r="H32" s="837"/>
      <c r="I32" s="835">
        <f>2927+3380</f>
        <v>6307</v>
      </c>
      <c r="J32" s="836"/>
      <c r="K32" s="801"/>
      <c r="S32" s="750" t="s">
        <v>1152</v>
      </c>
    </row>
    <row r="33" spans="1:19" s="750" customFormat="1" ht="14.25" customHeight="1">
      <c r="A33" s="815"/>
      <c r="B33" s="815"/>
      <c r="C33" s="842"/>
      <c r="D33" s="833" t="s">
        <v>1233</v>
      </c>
      <c r="E33" s="837"/>
      <c r="F33" s="840"/>
      <c r="G33" s="834"/>
      <c r="H33" s="837"/>
      <c r="I33" s="835">
        <v>260</v>
      </c>
      <c r="J33" s="836"/>
      <c r="K33" s="801"/>
      <c r="S33" s="750" t="s">
        <v>1152</v>
      </c>
    </row>
    <row r="34" spans="1:11" s="750" customFormat="1" ht="14.25" customHeight="1">
      <c r="A34" s="815"/>
      <c r="B34" s="815"/>
      <c r="C34" s="842"/>
      <c r="D34" s="833"/>
      <c r="E34" s="837"/>
      <c r="F34" s="840"/>
      <c r="G34" s="834"/>
      <c r="H34" s="837"/>
      <c r="I34" s="835"/>
      <c r="J34" s="836"/>
      <c r="K34" s="801"/>
    </row>
    <row r="35" spans="1:19" s="832" customFormat="1" ht="14.25" customHeight="1">
      <c r="A35" s="823"/>
      <c r="B35" s="823"/>
      <c r="C35" s="824" t="s">
        <v>711</v>
      </c>
      <c r="D35" s="825" t="s">
        <v>712</v>
      </c>
      <c r="E35" s="826"/>
      <c r="F35" s="827"/>
      <c r="G35" s="828"/>
      <c r="H35" s="838">
        <f>H36</f>
        <v>28536</v>
      </c>
      <c r="I35" s="829">
        <f>SUM(I36:I37)</f>
        <v>31937</v>
      </c>
      <c r="J35" s="830">
        <f>I35/H35</f>
        <v>1.1191827866554527</v>
      </c>
      <c r="K35" s="831"/>
      <c r="S35" s="750"/>
    </row>
    <row r="36" spans="1:19" s="750" customFormat="1" ht="14.25" customHeight="1">
      <c r="A36" s="815"/>
      <c r="B36" s="815"/>
      <c r="C36" s="842"/>
      <c r="D36" s="833" t="s">
        <v>713</v>
      </c>
      <c r="E36" s="837"/>
      <c r="F36" s="840"/>
      <c r="G36" s="834"/>
      <c r="H36" s="837">
        <v>28536</v>
      </c>
      <c r="I36" s="835">
        <v>28527</v>
      </c>
      <c r="J36" s="836">
        <f>I36/H36</f>
        <v>0.9996846089150546</v>
      </c>
      <c r="K36" s="801"/>
      <c r="S36" s="750" t="s">
        <v>1152</v>
      </c>
    </row>
    <row r="37" spans="1:11" s="750" customFormat="1" ht="14.25" customHeight="1">
      <c r="A37" s="815"/>
      <c r="B37" s="815"/>
      <c r="C37" s="842"/>
      <c r="D37" s="833" t="s">
        <v>716</v>
      </c>
      <c r="E37" s="837"/>
      <c r="F37" s="840"/>
      <c r="G37" s="834"/>
      <c r="H37" s="837"/>
      <c r="I37" s="835">
        <v>3410</v>
      </c>
      <c r="J37" s="836"/>
      <c r="K37" s="801"/>
    </row>
    <row r="38" spans="1:11" s="750" customFormat="1" ht="14.25" customHeight="1">
      <c r="A38" s="815"/>
      <c r="B38" s="815"/>
      <c r="C38" s="842"/>
      <c r="D38" s="833"/>
      <c r="E38" s="837"/>
      <c r="F38" s="840"/>
      <c r="G38" s="834"/>
      <c r="H38" s="837"/>
      <c r="I38" s="835"/>
      <c r="J38" s="836"/>
      <c r="K38" s="801"/>
    </row>
    <row r="39" spans="1:19" s="832" customFormat="1" ht="14.25" customHeight="1">
      <c r="A39" s="823"/>
      <c r="B39" s="823"/>
      <c r="C39" s="824" t="s">
        <v>714</v>
      </c>
      <c r="D39" s="825" t="s">
        <v>715</v>
      </c>
      <c r="E39" s="826"/>
      <c r="F39" s="827"/>
      <c r="G39" s="828"/>
      <c r="H39" s="838">
        <f>SUM(H40:H43)</f>
        <v>17452</v>
      </c>
      <c r="I39" s="829">
        <f>SUM(I40:I44)</f>
        <v>7181</v>
      </c>
      <c r="J39" s="830">
        <f>I39/H39</f>
        <v>0.41147146458858586</v>
      </c>
      <c r="K39" s="831"/>
      <c r="S39" s="750"/>
    </row>
    <row r="40" spans="1:19" s="832" customFormat="1" ht="14.25" customHeight="1" hidden="1">
      <c r="A40" s="823"/>
      <c r="B40" s="823"/>
      <c r="C40" s="824"/>
      <c r="D40" s="833" t="s">
        <v>716</v>
      </c>
      <c r="E40" s="826"/>
      <c r="F40" s="827"/>
      <c r="G40" s="834"/>
      <c r="H40" s="837">
        <v>0</v>
      </c>
      <c r="I40" s="835">
        <v>0</v>
      </c>
      <c r="J40" s="836">
        <v>0</v>
      </c>
      <c r="K40" s="831"/>
      <c r="S40" s="750"/>
    </row>
    <row r="41" spans="1:19" s="832" customFormat="1" ht="14.25" customHeight="1" hidden="1">
      <c r="A41" s="823"/>
      <c r="B41" s="823"/>
      <c r="C41" s="824"/>
      <c r="D41" s="833" t="s">
        <v>717</v>
      </c>
      <c r="E41" s="826"/>
      <c r="F41" s="827"/>
      <c r="G41" s="834"/>
      <c r="H41" s="837">
        <v>0</v>
      </c>
      <c r="I41" s="835">
        <v>0</v>
      </c>
      <c r="J41" s="836">
        <v>0</v>
      </c>
      <c r="K41" s="831"/>
      <c r="S41" s="750"/>
    </row>
    <row r="42" spans="1:19" s="832" customFormat="1" ht="14.25" customHeight="1" hidden="1">
      <c r="A42" s="823"/>
      <c r="B42" s="823"/>
      <c r="C42" s="824"/>
      <c r="D42" s="833" t="s">
        <v>718</v>
      </c>
      <c r="E42" s="826"/>
      <c r="F42" s="827"/>
      <c r="G42" s="834"/>
      <c r="H42" s="837">
        <v>0</v>
      </c>
      <c r="I42" s="835">
        <v>0</v>
      </c>
      <c r="J42" s="836" t="e">
        <f>I42/H42</f>
        <v>#DIV/0!</v>
      </c>
      <c r="K42" s="831"/>
      <c r="S42" s="750"/>
    </row>
    <row r="43" spans="1:19" s="832" customFormat="1" ht="14.25" customHeight="1">
      <c r="A43" s="823"/>
      <c r="B43" s="823"/>
      <c r="C43" s="824"/>
      <c r="D43" s="833" t="s">
        <v>719</v>
      </c>
      <c r="E43" s="826"/>
      <c r="F43" s="827"/>
      <c r="G43" s="834"/>
      <c r="H43" s="837">
        <v>17452</v>
      </c>
      <c r="I43" s="835">
        <v>0</v>
      </c>
      <c r="J43" s="836">
        <f>I43/H43</f>
        <v>0</v>
      </c>
      <c r="K43" s="831"/>
      <c r="S43" s="750"/>
    </row>
    <row r="44" spans="1:19" s="832" customFormat="1" ht="14.25" customHeight="1">
      <c r="A44" s="823"/>
      <c r="B44" s="823"/>
      <c r="C44" s="824"/>
      <c r="D44" s="833" t="s">
        <v>1234</v>
      </c>
      <c r="E44" s="826"/>
      <c r="F44" s="827"/>
      <c r="G44" s="834"/>
      <c r="H44" s="837"/>
      <c r="I44" s="835">
        <v>7181</v>
      </c>
      <c r="J44" s="836"/>
      <c r="K44" s="831"/>
      <c r="S44" s="750" t="s">
        <v>1152</v>
      </c>
    </row>
    <row r="45" spans="1:19" s="832" customFormat="1" ht="14.25" customHeight="1">
      <c r="A45" s="823"/>
      <c r="B45" s="823"/>
      <c r="C45" s="824"/>
      <c r="D45" s="833"/>
      <c r="E45" s="826"/>
      <c r="F45" s="827"/>
      <c r="G45" s="834"/>
      <c r="H45" s="837"/>
      <c r="I45" s="835"/>
      <c r="J45" s="836"/>
      <c r="K45" s="831"/>
      <c r="S45" s="750"/>
    </row>
    <row r="46" spans="1:19" s="832" customFormat="1" ht="14.25" customHeight="1">
      <c r="A46" s="823"/>
      <c r="B46" s="823"/>
      <c r="C46" s="824" t="s">
        <v>720</v>
      </c>
      <c r="D46" s="825" t="s">
        <v>721</v>
      </c>
      <c r="E46" s="826"/>
      <c r="F46" s="827"/>
      <c r="G46" s="828"/>
      <c r="H46" s="838">
        <f>H47</f>
        <v>0</v>
      </c>
      <c r="I46" s="829">
        <f>I47</f>
        <v>0</v>
      </c>
      <c r="J46" s="830">
        <v>0</v>
      </c>
      <c r="K46" s="831"/>
      <c r="S46" s="750"/>
    </row>
    <row r="47" spans="1:19" s="832" customFormat="1" ht="14.25" customHeight="1" hidden="1">
      <c r="A47" s="823"/>
      <c r="B47" s="823"/>
      <c r="C47" s="824"/>
      <c r="D47" s="833"/>
      <c r="E47" s="826"/>
      <c r="F47" s="827"/>
      <c r="G47" s="834"/>
      <c r="H47" s="837"/>
      <c r="I47" s="837"/>
      <c r="J47" s="836">
        <v>0</v>
      </c>
      <c r="K47" s="801"/>
      <c r="L47" s="801"/>
      <c r="M47" s="801"/>
      <c r="N47" s="801"/>
      <c r="O47" s="801"/>
      <c r="P47" s="801"/>
      <c r="Q47" s="801"/>
      <c r="R47" s="801"/>
      <c r="S47" s="801"/>
    </row>
    <row r="48" spans="1:19" s="832" customFormat="1" ht="14.25" customHeight="1">
      <c r="A48" s="823"/>
      <c r="B48" s="823"/>
      <c r="C48" s="824"/>
      <c r="D48" s="843"/>
      <c r="E48" s="826"/>
      <c r="F48" s="827"/>
      <c r="G48" s="834"/>
      <c r="H48" s="844"/>
      <c r="I48" s="735"/>
      <c r="J48" s="836"/>
      <c r="K48" s="801"/>
      <c r="L48" s="801"/>
      <c r="M48" s="801"/>
      <c r="N48" s="801"/>
      <c r="O48" s="801"/>
      <c r="P48" s="801"/>
      <c r="Q48" s="801"/>
      <c r="R48" s="801"/>
      <c r="S48" s="801"/>
    </row>
    <row r="49" spans="1:19" s="750" customFormat="1" ht="14.25" customHeight="1">
      <c r="A49" s="815"/>
      <c r="B49" s="816" t="s">
        <v>722</v>
      </c>
      <c r="C49" s="845" t="s">
        <v>723</v>
      </c>
      <c r="D49" s="846"/>
      <c r="E49" s="819"/>
      <c r="F49" s="820"/>
      <c r="G49" s="821"/>
      <c r="H49" s="819">
        <f>SUM(H50:H71)</f>
        <v>295513</v>
      </c>
      <c r="I49" s="820">
        <f>SUM(I50:I71)</f>
        <v>130814</v>
      </c>
      <c r="J49" s="822">
        <f>I49/H49</f>
        <v>0.4426674968613902</v>
      </c>
      <c r="K49" s="801"/>
      <c r="L49" s="801"/>
      <c r="M49" s="801"/>
      <c r="N49" s="801"/>
      <c r="O49" s="801"/>
      <c r="P49" s="801"/>
      <c r="Q49" s="801"/>
      <c r="R49" s="801"/>
      <c r="S49" s="801"/>
    </row>
    <row r="50" spans="1:19" s="750" customFormat="1" ht="14.25" customHeight="1">
      <c r="A50" s="815"/>
      <c r="B50" s="815"/>
      <c r="C50" s="842"/>
      <c r="D50" s="833" t="s">
        <v>724</v>
      </c>
      <c r="E50" s="837"/>
      <c r="F50" s="847"/>
      <c r="G50" s="834"/>
      <c r="H50" s="837">
        <v>158151</v>
      </c>
      <c r="I50" s="835">
        <v>0</v>
      </c>
      <c r="J50" s="836">
        <f>I50/H50</f>
        <v>0</v>
      </c>
      <c r="K50" s="801"/>
      <c r="L50" s="801"/>
      <c r="M50" s="801"/>
      <c r="N50" s="801"/>
      <c r="O50" s="801"/>
      <c r="P50" s="801"/>
      <c r="Q50" s="801"/>
      <c r="R50" s="801"/>
      <c r="S50" s="801" t="s">
        <v>1152</v>
      </c>
    </row>
    <row r="51" spans="1:20" s="750" customFormat="1" ht="14.25" customHeight="1">
      <c r="A51" s="815"/>
      <c r="B51" s="815"/>
      <c r="C51" s="842"/>
      <c r="D51" s="833" t="s">
        <v>725</v>
      </c>
      <c r="E51" s="837"/>
      <c r="F51" s="840"/>
      <c r="G51" s="834"/>
      <c r="H51" s="837">
        <v>8187</v>
      </c>
      <c r="I51" s="1329">
        <v>3937</v>
      </c>
      <c r="J51" s="836">
        <f>I51/H51</f>
        <v>0.48088432881397336</v>
      </c>
      <c r="K51" s="801"/>
      <c r="L51" s="801"/>
      <c r="M51" s="801"/>
      <c r="N51" s="801"/>
      <c r="O51" s="801"/>
      <c r="P51" s="801"/>
      <c r="Q51" s="801"/>
      <c r="R51" s="801"/>
      <c r="S51" s="801" t="s">
        <v>1152</v>
      </c>
      <c r="T51" s="1329">
        <f>12700.68*310/1000</f>
        <v>3937.2108000000003</v>
      </c>
    </row>
    <row r="52" spans="1:19" s="750" customFormat="1" ht="14.25" customHeight="1">
      <c r="A52" s="815"/>
      <c r="B52" s="815"/>
      <c r="C52" s="842"/>
      <c r="D52" s="848" t="s">
        <v>726</v>
      </c>
      <c r="E52" s="837"/>
      <c r="F52" s="835"/>
      <c r="G52" s="834"/>
      <c r="H52" s="837">
        <v>26389</v>
      </c>
      <c r="I52" s="835">
        <v>26576</v>
      </c>
      <c r="J52" s="836">
        <f>I52/H52</f>
        <v>1.0070862859524803</v>
      </c>
      <c r="K52" s="801"/>
      <c r="L52" s="801"/>
      <c r="M52" s="801"/>
      <c r="N52" s="801"/>
      <c r="O52" s="801"/>
      <c r="P52" s="801"/>
      <c r="Q52" s="801"/>
      <c r="R52" s="801"/>
      <c r="S52" s="801" t="s">
        <v>1152</v>
      </c>
    </row>
    <row r="53" spans="1:19" s="750" customFormat="1" ht="14.25" customHeight="1">
      <c r="A53" s="815"/>
      <c r="B53" s="815"/>
      <c r="C53" s="842"/>
      <c r="D53" s="848" t="s">
        <v>727</v>
      </c>
      <c r="E53" s="837"/>
      <c r="F53" s="835"/>
      <c r="G53" s="834"/>
      <c r="H53" s="837">
        <v>0</v>
      </c>
      <c r="I53" s="835">
        <v>1484</v>
      </c>
      <c r="J53" s="836">
        <v>0</v>
      </c>
      <c r="K53" s="801"/>
      <c r="L53" s="801"/>
      <c r="M53" s="801"/>
      <c r="N53" s="801"/>
      <c r="O53" s="801"/>
      <c r="P53" s="801"/>
      <c r="Q53" s="801"/>
      <c r="R53" s="801"/>
      <c r="S53" s="801" t="s">
        <v>1152</v>
      </c>
    </row>
    <row r="54" spans="1:19" s="750" customFormat="1" ht="14.25" customHeight="1">
      <c r="A54" s="815"/>
      <c r="B54" s="815"/>
      <c r="C54" s="842"/>
      <c r="D54" s="849" t="s">
        <v>728</v>
      </c>
      <c r="E54" s="837"/>
      <c r="F54" s="835"/>
      <c r="G54" s="834"/>
      <c r="H54" s="837">
        <v>0</v>
      </c>
      <c r="I54" s="835">
        <v>7633</v>
      </c>
      <c r="J54" s="836">
        <v>0</v>
      </c>
      <c r="K54" s="801"/>
      <c r="L54" s="801"/>
      <c r="M54" s="801"/>
      <c r="N54" s="801"/>
      <c r="O54" s="801"/>
      <c r="P54" s="801"/>
      <c r="Q54" s="801"/>
      <c r="R54" s="801"/>
      <c r="S54" s="801" t="s">
        <v>1152</v>
      </c>
    </row>
    <row r="55" spans="1:19" s="750" customFormat="1" ht="14.25" customHeight="1">
      <c r="A55" s="815"/>
      <c r="B55" s="815"/>
      <c r="C55" s="842"/>
      <c r="D55" s="849" t="s">
        <v>729</v>
      </c>
      <c r="E55" s="837"/>
      <c r="F55" s="835"/>
      <c r="G55" s="834"/>
      <c r="H55" s="837">
        <v>0</v>
      </c>
      <c r="I55" s="835">
        <v>5714</v>
      </c>
      <c r="J55" s="836">
        <v>0</v>
      </c>
      <c r="K55" s="801"/>
      <c r="L55" s="801"/>
      <c r="M55" s="801"/>
      <c r="N55" s="801"/>
      <c r="O55" s="801"/>
      <c r="P55" s="801"/>
      <c r="Q55" s="801"/>
      <c r="R55" s="801"/>
      <c r="S55" s="801" t="s">
        <v>1152</v>
      </c>
    </row>
    <row r="56" spans="1:19" s="750" customFormat="1" ht="14.25" customHeight="1">
      <c r="A56" s="815"/>
      <c r="B56" s="815"/>
      <c r="C56" s="842"/>
      <c r="D56" s="849" t="s">
        <v>730</v>
      </c>
      <c r="E56" s="837"/>
      <c r="F56" s="835"/>
      <c r="G56" s="834"/>
      <c r="H56" s="837">
        <v>0</v>
      </c>
      <c r="I56" s="835">
        <v>919</v>
      </c>
      <c r="J56" s="836">
        <v>0</v>
      </c>
      <c r="K56" s="850"/>
      <c r="L56" s="801"/>
      <c r="M56" s="801"/>
      <c r="N56" s="801"/>
      <c r="O56" s="801"/>
      <c r="P56" s="801"/>
      <c r="Q56" s="801"/>
      <c r="R56" s="801"/>
      <c r="S56" s="801" t="s">
        <v>1152</v>
      </c>
    </row>
    <row r="57" spans="1:19" s="750" customFormat="1" ht="14.25" customHeight="1">
      <c r="A57" s="815"/>
      <c r="B57" s="815"/>
      <c r="C57" s="842"/>
      <c r="D57" s="849" t="s">
        <v>738</v>
      </c>
      <c r="E57" s="837"/>
      <c r="F57" s="835"/>
      <c r="G57" s="834"/>
      <c r="H57" s="837">
        <v>0</v>
      </c>
      <c r="I57" s="835">
        <v>66127</v>
      </c>
      <c r="J57" s="836"/>
      <c r="K57" s="801"/>
      <c r="L57" s="801"/>
      <c r="M57" s="801"/>
      <c r="N57" s="801"/>
      <c r="O57" s="801"/>
      <c r="P57" s="801"/>
      <c r="Q57" s="801"/>
      <c r="R57" s="801"/>
      <c r="S57" s="801" t="s">
        <v>1152</v>
      </c>
    </row>
    <row r="58" spans="1:19" s="750" customFormat="1" ht="14.25" customHeight="1">
      <c r="A58" s="815"/>
      <c r="B58" s="815"/>
      <c r="C58" s="842"/>
      <c r="D58" s="848" t="s">
        <v>1181</v>
      </c>
      <c r="E58" s="837"/>
      <c r="F58" s="835"/>
      <c r="G58" s="834"/>
      <c r="H58" s="837">
        <v>0</v>
      </c>
      <c r="I58" s="835">
        <v>8433</v>
      </c>
      <c r="J58" s="836"/>
      <c r="K58" s="801"/>
      <c r="L58" s="801"/>
      <c r="M58" s="801"/>
      <c r="N58" s="801"/>
      <c r="O58" s="801"/>
      <c r="P58" s="801"/>
      <c r="Q58" s="801"/>
      <c r="R58" s="801"/>
      <c r="S58" s="801" t="s">
        <v>1152</v>
      </c>
    </row>
    <row r="59" spans="1:19" s="750" customFormat="1" ht="14.25" customHeight="1">
      <c r="A59" s="815"/>
      <c r="B59" s="815"/>
      <c r="C59" s="842"/>
      <c r="D59" s="848" t="s">
        <v>1182</v>
      </c>
      <c r="E59" s="837"/>
      <c r="F59" s="835"/>
      <c r="G59" s="834"/>
      <c r="H59" s="837">
        <v>0</v>
      </c>
      <c r="I59" s="835">
        <v>629</v>
      </c>
      <c r="J59" s="836"/>
      <c r="K59" s="801"/>
      <c r="L59" s="801"/>
      <c r="M59" s="801"/>
      <c r="N59" s="801"/>
      <c r="O59" s="801"/>
      <c r="P59" s="801"/>
      <c r="Q59" s="801"/>
      <c r="R59" s="801"/>
      <c r="S59" s="801" t="s">
        <v>1152</v>
      </c>
    </row>
    <row r="60" spans="1:19" s="750" customFormat="1" ht="14.25" customHeight="1">
      <c r="A60" s="815"/>
      <c r="B60" s="815"/>
      <c r="C60" s="842"/>
      <c r="D60" s="833" t="s">
        <v>1235</v>
      </c>
      <c r="E60" s="837"/>
      <c r="F60" s="847"/>
      <c r="G60" s="834"/>
      <c r="H60" s="837"/>
      <c r="I60" s="835">
        <v>8862</v>
      </c>
      <c r="J60" s="836"/>
      <c r="K60" s="801"/>
      <c r="L60" s="801"/>
      <c r="M60" s="801"/>
      <c r="N60" s="801"/>
      <c r="O60" s="801"/>
      <c r="P60" s="801"/>
      <c r="Q60" s="801"/>
      <c r="R60" s="801"/>
      <c r="S60" s="801" t="s">
        <v>1152</v>
      </c>
    </row>
    <row r="61" spans="1:19" s="750" customFormat="1" ht="14.25" customHeight="1">
      <c r="A61" s="815"/>
      <c r="B61" s="815"/>
      <c r="C61" s="842"/>
      <c r="D61" s="1396" t="s">
        <v>1236</v>
      </c>
      <c r="E61" s="1397"/>
      <c r="F61" s="1398"/>
      <c r="G61" s="1399"/>
      <c r="H61" s="1397"/>
      <c r="I61" s="1400">
        <v>500</v>
      </c>
      <c r="J61" s="1401"/>
      <c r="K61" s="801"/>
      <c r="L61" s="801"/>
      <c r="M61" s="801"/>
      <c r="N61" s="801"/>
      <c r="O61" s="801"/>
      <c r="P61" s="801"/>
      <c r="Q61" s="801"/>
      <c r="R61" s="801"/>
      <c r="S61" s="1395" t="s">
        <v>1152</v>
      </c>
    </row>
    <row r="62" spans="1:11" s="750" customFormat="1" ht="14.25" customHeight="1" hidden="1">
      <c r="A62" s="815"/>
      <c r="B62" s="815"/>
      <c r="C62" s="842"/>
      <c r="D62" s="849" t="s">
        <v>731</v>
      </c>
      <c r="E62" s="837"/>
      <c r="F62" s="835"/>
      <c r="G62" s="834"/>
      <c r="H62" s="837">
        <v>3056</v>
      </c>
      <c r="I62" s="835">
        <v>0</v>
      </c>
      <c r="J62" s="836">
        <v>0</v>
      </c>
      <c r="K62" s="801"/>
    </row>
    <row r="63" spans="1:11" s="750" customFormat="1" ht="14.25" customHeight="1" hidden="1">
      <c r="A63" s="815"/>
      <c r="B63" s="815"/>
      <c r="C63" s="842"/>
      <c r="D63" s="849" t="s">
        <v>732</v>
      </c>
      <c r="E63" s="837"/>
      <c r="F63" s="835"/>
      <c r="G63" s="834"/>
      <c r="H63" s="837">
        <v>3159</v>
      </c>
      <c r="I63" s="835">
        <v>0</v>
      </c>
      <c r="J63" s="836">
        <v>0</v>
      </c>
      <c r="K63" s="801"/>
    </row>
    <row r="64" spans="1:11" s="750" customFormat="1" ht="14.25" customHeight="1" hidden="1">
      <c r="A64" s="815"/>
      <c r="B64" s="815"/>
      <c r="C64" s="842"/>
      <c r="D64" s="849" t="s">
        <v>733</v>
      </c>
      <c r="E64" s="837"/>
      <c r="F64" s="835"/>
      <c r="G64" s="834"/>
      <c r="H64" s="837">
        <v>3642</v>
      </c>
      <c r="I64" s="835">
        <v>0</v>
      </c>
      <c r="J64" s="836">
        <v>0</v>
      </c>
      <c r="K64" s="801"/>
    </row>
    <row r="65" spans="1:11" s="750" customFormat="1" ht="14.25" customHeight="1" hidden="1">
      <c r="A65" s="815"/>
      <c r="B65" s="815"/>
      <c r="C65" s="842"/>
      <c r="D65" s="849" t="s">
        <v>734</v>
      </c>
      <c r="E65" s="837"/>
      <c r="F65" s="835"/>
      <c r="G65" s="834"/>
      <c r="H65" s="837">
        <v>3493</v>
      </c>
      <c r="I65" s="835">
        <v>0</v>
      </c>
      <c r="J65" s="836">
        <v>0</v>
      </c>
      <c r="K65" s="801"/>
    </row>
    <row r="66" spans="1:11" s="750" customFormat="1" ht="14.25" customHeight="1" hidden="1">
      <c r="A66" s="815"/>
      <c r="B66" s="815"/>
      <c r="C66" s="842"/>
      <c r="D66" s="849" t="s">
        <v>735</v>
      </c>
      <c r="E66" s="837"/>
      <c r="F66" s="835"/>
      <c r="G66" s="834"/>
      <c r="H66" s="837">
        <v>18775</v>
      </c>
      <c r="I66" s="835">
        <v>0</v>
      </c>
      <c r="J66" s="836">
        <v>0</v>
      </c>
      <c r="K66" s="801"/>
    </row>
    <row r="67" spans="1:11" s="750" customFormat="1" ht="14.25" customHeight="1" hidden="1">
      <c r="A67" s="815"/>
      <c r="B67" s="815"/>
      <c r="C67" s="842"/>
      <c r="D67" s="833" t="s">
        <v>736</v>
      </c>
      <c r="E67" s="837"/>
      <c r="F67" s="835"/>
      <c r="G67" s="834"/>
      <c r="H67" s="837">
        <v>67268</v>
      </c>
      <c r="I67" s="835">
        <v>0</v>
      </c>
      <c r="J67" s="836">
        <f>I67/H67</f>
        <v>0</v>
      </c>
      <c r="K67" s="801"/>
    </row>
    <row r="68" spans="1:20" s="750" customFormat="1" ht="14.25" customHeight="1" hidden="1">
      <c r="A68" s="815"/>
      <c r="B68" s="815"/>
      <c r="C68" s="842"/>
      <c r="D68" s="849" t="s">
        <v>737</v>
      </c>
      <c r="E68" s="837"/>
      <c r="F68" s="835"/>
      <c r="G68" s="834"/>
      <c r="H68" s="837">
        <v>3393</v>
      </c>
      <c r="I68" s="835">
        <v>0</v>
      </c>
      <c r="J68" s="836">
        <f>I68/H68</f>
        <v>0</v>
      </c>
      <c r="K68" s="801"/>
      <c r="T68" s="750" t="s">
        <v>1172</v>
      </c>
    </row>
    <row r="69" spans="1:20" s="750" customFormat="1" ht="14.25" customHeight="1" hidden="1">
      <c r="A69" s="815"/>
      <c r="B69" s="815"/>
      <c r="C69" s="842"/>
      <c r="D69" s="849"/>
      <c r="E69" s="837"/>
      <c r="F69" s="840"/>
      <c r="G69" s="834"/>
      <c r="H69" s="837">
        <v>0</v>
      </c>
      <c r="I69" s="835"/>
      <c r="J69" s="836">
        <v>0</v>
      </c>
      <c r="K69" s="801"/>
      <c r="S69" s="750" t="s">
        <v>1152</v>
      </c>
      <c r="T69" s="1331">
        <f>I51</f>
        <v>3937</v>
      </c>
    </row>
    <row r="70" spans="1:11" s="750" customFormat="1" ht="14.25" customHeight="1" hidden="1">
      <c r="A70" s="815"/>
      <c r="B70" s="815"/>
      <c r="C70" s="842"/>
      <c r="D70" s="848"/>
      <c r="E70" s="837"/>
      <c r="F70" s="835"/>
      <c r="G70" s="834"/>
      <c r="H70" s="837"/>
      <c r="I70" s="835"/>
      <c r="J70" s="836"/>
      <c r="K70" s="801"/>
    </row>
    <row r="71" spans="1:11" s="750" customFormat="1" ht="14.25" customHeight="1" hidden="1">
      <c r="A71" s="815"/>
      <c r="B71" s="815"/>
      <c r="C71" s="842"/>
      <c r="D71" s="833"/>
      <c r="E71" s="837"/>
      <c r="F71" s="840"/>
      <c r="G71" s="834"/>
      <c r="H71" s="837"/>
      <c r="I71" s="835"/>
      <c r="J71" s="836"/>
      <c r="K71" s="801"/>
    </row>
    <row r="72" spans="1:11" s="750" customFormat="1" ht="14.25" customHeight="1">
      <c r="A72" s="815"/>
      <c r="B72" s="815"/>
      <c r="C72" s="842"/>
      <c r="D72" s="849"/>
      <c r="E72" s="837"/>
      <c r="F72" s="840"/>
      <c r="G72" s="834"/>
      <c r="H72" s="837"/>
      <c r="I72" s="835"/>
      <c r="J72" s="836"/>
      <c r="K72" s="801"/>
    </row>
    <row r="73" spans="1:11" s="750" customFormat="1" ht="14.25" customHeight="1">
      <c r="A73" s="808" t="s">
        <v>739</v>
      </c>
      <c r="B73" s="809" t="s">
        <v>740</v>
      </c>
      <c r="C73" s="809"/>
      <c r="D73" s="810"/>
      <c r="E73" s="811">
        <f>E74+E81</f>
        <v>1806274</v>
      </c>
      <c r="F73" s="811">
        <f>F74+F81</f>
        <v>1885940</v>
      </c>
      <c r="G73" s="851">
        <f>F73/E73</f>
        <v>1.0441051579107046</v>
      </c>
      <c r="H73" s="811"/>
      <c r="I73" s="812"/>
      <c r="J73" s="814"/>
      <c r="K73" s="801"/>
    </row>
    <row r="74" spans="1:11" s="750" customFormat="1" ht="14.25" customHeight="1">
      <c r="A74" s="815"/>
      <c r="B74" s="816" t="s">
        <v>697</v>
      </c>
      <c r="C74" s="817" t="s">
        <v>1145</v>
      </c>
      <c r="D74" s="818"/>
      <c r="E74" s="819">
        <f>SUM(E75:E79)</f>
        <v>0</v>
      </c>
      <c r="F74" s="819">
        <f>SUM(F75:F79)</f>
        <v>0</v>
      </c>
      <c r="G74" s="852">
        <v>0</v>
      </c>
      <c r="H74" s="819"/>
      <c r="I74" s="820"/>
      <c r="J74" s="822"/>
      <c r="K74" s="801"/>
    </row>
    <row r="75" spans="1:19" s="854" customFormat="1" ht="14.25" customHeight="1">
      <c r="A75" s="853"/>
      <c r="B75" s="853"/>
      <c r="C75" s="839"/>
      <c r="D75" s="833" t="s">
        <v>742</v>
      </c>
      <c r="E75" s="835">
        <v>0</v>
      </c>
      <c r="F75" s="835">
        <v>0</v>
      </c>
      <c r="G75" s="834">
        <v>0</v>
      </c>
      <c r="H75" s="837"/>
      <c r="I75" s="835"/>
      <c r="J75" s="836"/>
      <c r="K75" s="801"/>
      <c r="S75" s="750"/>
    </row>
    <row r="76" spans="1:19" s="854" customFormat="1" ht="14.25" customHeight="1" hidden="1">
      <c r="A76" s="853"/>
      <c r="B76" s="853"/>
      <c r="C76" s="839"/>
      <c r="D76" s="833"/>
      <c r="E76" s="835"/>
      <c r="F76" s="835"/>
      <c r="G76" s="834"/>
      <c r="H76" s="837"/>
      <c r="I76" s="835"/>
      <c r="J76" s="836"/>
      <c r="K76" s="801"/>
      <c r="S76" s="750"/>
    </row>
    <row r="77" spans="1:19" s="854" customFormat="1" ht="14.25" customHeight="1" hidden="1">
      <c r="A77" s="853"/>
      <c r="B77" s="853"/>
      <c r="C77" s="839"/>
      <c r="D77" s="833"/>
      <c r="E77" s="835"/>
      <c r="F77" s="835"/>
      <c r="G77" s="834"/>
      <c r="H77" s="837"/>
      <c r="I77" s="835"/>
      <c r="J77" s="836"/>
      <c r="K77" s="801"/>
      <c r="S77" s="750"/>
    </row>
    <row r="78" spans="1:19" s="854" customFormat="1" ht="14.25" customHeight="1" hidden="1">
      <c r="A78" s="853"/>
      <c r="B78" s="853"/>
      <c r="C78" s="839"/>
      <c r="D78" s="833"/>
      <c r="E78" s="835"/>
      <c r="F78" s="835"/>
      <c r="G78" s="834"/>
      <c r="H78" s="837"/>
      <c r="I78" s="835"/>
      <c r="J78" s="836"/>
      <c r="K78" s="801"/>
      <c r="S78" s="750"/>
    </row>
    <row r="79" spans="1:19" s="854" customFormat="1" ht="14.25" customHeight="1" hidden="1">
      <c r="A79" s="853"/>
      <c r="B79" s="853"/>
      <c r="C79" s="839"/>
      <c r="D79" s="833"/>
      <c r="E79" s="835"/>
      <c r="F79" s="835"/>
      <c r="G79" s="834"/>
      <c r="H79" s="837"/>
      <c r="I79" s="835"/>
      <c r="J79" s="836"/>
      <c r="K79" s="801"/>
      <c r="S79" s="750"/>
    </row>
    <row r="80" spans="1:19" s="854" customFormat="1" ht="14.25" customHeight="1">
      <c r="A80" s="853"/>
      <c r="B80" s="853"/>
      <c r="C80" s="839"/>
      <c r="D80" s="833"/>
      <c r="E80" s="835"/>
      <c r="F80" s="835"/>
      <c r="G80" s="834"/>
      <c r="H80" s="837"/>
      <c r="I80" s="835"/>
      <c r="J80" s="836"/>
      <c r="K80" s="801"/>
      <c r="S80" s="750"/>
    </row>
    <row r="81" spans="1:11" s="750" customFormat="1" ht="14.25" customHeight="1">
      <c r="A81" s="815"/>
      <c r="B81" s="816" t="s">
        <v>722</v>
      </c>
      <c r="C81" s="817" t="s">
        <v>743</v>
      </c>
      <c r="D81" s="818"/>
      <c r="E81" s="819">
        <f>SUM(E82:E101)</f>
        <v>1806274</v>
      </c>
      <c r="F81" s="819">
        <f>SUM(F82:F104)</f>
        <v>1885940</v>
      </c>
      <c r="G81" s="852">
        <f aca="true" t="shared" si="1" ref="G81:G86">F81/E81</f>
        <v>1.0441051579107046</v>
      </c>
      <c r="H81" s="819"/>
      <c r="I81" s="819"/>
      <c r="J81" s="822"/>
      <c r="K81" s="801"/>
    </row>
    <row r="82" spans="1:20" s="854" customFormat="1" ht="14.25" customHeight="1">
      <c r="A82" s="853"/>
      <c r="B82" s="853"/>
      <c r="C82" s="839"/>
      <c r="D82" s="855" t="s">
        <v>744</v>
      </c>
      <c r="E82" s="856">
        <v>600000</v>
      </c>
      <c r="F82" s="857">
        <v>567321</v>
      </c>
      <c r="G82" s="834">
        <f t="shared" si="1"/>
        <v>0.945535</v>
      </c>
      <c r="H82" s="837"/>
      <c r="I82" s="835"/>
      <c r="J82" s="836"/>
      <c r="K82" s="801"/>
      <c r="S82" s="750" t="s">
        <v>1152</v>
      </c>
      <c r="T82" s="854" t="s">
        <v>1173</v>
      </c>
    </row>
    <row r="83" spans="1:19" s="854" customFormat="1" ht="31.5">
      <c r="A83" s="853"/>
      <c r="B83" s="853"/>
      <c r="C83" s="839"/>
      <c r="D83" s="855" t="s">
        <v>745</v>
      </c>
      <c r="E83" s="858">
        <v>106000</v>
      </c>
      <c r="F83" s="859">
        <v>0</v>
      </c>
      <c r="G83" s="860">
        <f t="shared" si="1"/>
        <v>0</v>
      </c>
      <c r="H83" s="837"/>
      <c r="I83" s="835"/>
      <c r="J83" s="836"/>
      <c r="K83" s="801"/>
      <c r="S83" s="750"/>
    </row>
    <row r="84" spans="1:19" s="854" customFormat="1" ht="31.5">
      <c r="A84" s="853"/>
      <c r="B84" s="853"/>
      <c r="C84" s="839"/>
      <c r="D84" s="855" t="s">
        <v>746</v>
      </c>
      <c r="E84" s="858">
        <v>329580</v>
      </c>
      <c r="F84" s="1328">
        <v>329580</v>
      </c>
      <c r="G84" s="860">
        <f t="shared" si="1"/>
        <v>1</v>
      </c>
      <c r="H84" s="837"/>
      <c r="I84" s="835"/>
      <c r="J84" s="836"/>
      <c r="K84" s="801"/>
      <c r="S84" s="750" t="s">
        <v>1152</v>
      </c>
    </row>
    <row r="85" spans="1:19" s="854" customFormat="1" ht="15.75">
      <c r="A85" s="853"/>
      <c r="B85" s="853"/>
      <c r="C85" s="839"/>
      <c r="D85" s="855" t="s">
        <v>747</v>
      </c>
      <c r="E85" s="858">
        <v>5345</v>
      </c>
      <c r="F85" s="859">
        <v>5345</v>
      </c>
      <c r="G85" s="834">
        <f t="shared" si="1"/>
        <v>1</v>
      </c>
      <c r="H85" s="837"/>
      <c r="I85" s="835"/>
      <c r="J85" s="836"/>
      <c r="K85" s="801"/>
      <c r="S85" s="750" t="s">
        <v>1152</v>
      </c>
    </row>
    <row r="86" spans="1:19" s="854" customFormat="1" ht="15.75">
      <c r="A86" s="853"/>
      <c r="B86" s="853"/>
      <c r="C86" s="839"/>
      <c r="D86" s="855" t="s">
        <v>748</v>
      </c>
      <c r="E86" s="858">
        <v>6712</v>
      </c>
      <c r="F86" s="859">
        <v>6712</v>
      </c>
      <c r="G86" s="834">
        <f t="shared" si="1"/>
        <v>1</v>
      </c>
      <c r="H86" s="837"/>
      <c r="I86" s="835"/>
      <c r="J86" s="836"/>
      <c r="K86" s="801"/>
      <c r="S86" s="750" t="s">
        <v>1152</v>
      </c>
    </row>
    <row r="87" spans="1:19" s="854" customFormat="1" ht="31.5">
      <c r="A87" s="853"/>
      <c r="B87" s="853"/>
      <c r="C87" s="839"/>
      <c r="D87" s="855" t="s">
        <v>749</v>
      </c>
      <c r="E87" s="858">
        <v>0</v>
      </c>
      <c r="F87" s="1328">
        <v>149568</v>
      </c>
      <c r="G87" s="860">
        <v>0</v>
      </c>
      <c r="H87" s="837"/>
      <c r="I87" s="835"/>
      <c r="J87" s="836"/>
      <c r="K87" s="801"/>
      <c r="S87" s="750" t="s">
        <v>1152</v>
      </c>
    </row>
    <row r="88" spans="1:19" s="854" customFormat="1" ht="15.75">
      <c r="A88" s="853"/>
      <c r="B88" s="853"/>
      <c r="C88" s="839"/>
      <c r="D88" s="855" t="s">
        <v>750</v>
      </c>
      <c r="E88" s="858">
        <v>0</v>
      </c>
      <c r="F88" s="1328">
        <v>426005</v>
      </c>
      <c r="G88" s="860">
        <v>0</v>
      </c>
      <c r="H88" s="837"/>
      <c r="I88" s="835"/>
      <c r="J88" s="836"/>
      <c r="K88" s="801"/>
      <c r="S88" s="750" t="s">
        <v>1152</v>
      </c>
    </row>
    <row r="89" spans="1:19" s="854" customFormat="1" ht="14.25" customHeight="1">
      <c r="A89" s="853"/>
      <c r="B89" s="853"/>
      <c r="C89" s="839"/>
      <c r="D89" s="833" t="s">
        <v>751</v>
      </c>
      <c r="E89" s="835">
        <v>0</v>
      </c>
      <c r="F89" s="1329">
        <v>28530</v>
      </c>
      <c r="G89" s="834">
        <v>0</v>
      </c>
      <c r="H89" s="837"/>
      <c r="I89" s="835"/>
      <c r="J89" s="836"/>
      <c r="K89" s="801"/>
      <c r="S89" s="750" t="s">
        <v>1152</v>
      </c>
    </row>
    <row r="90" spans="1:19" s="854" customFormat="1" ht="14.25" customHeight="1">
      <c r="A90" s="853"/>
      <c r="B90" s="853"/>
      <c r="C90" s="839"/>
      <c r="D90" s="833" t="s">
        <v>752</v>
      </c>
      <c r="E90" s="835">
        <v>0</v>
      </c>
      <c r="F90" s="1329">
        <v>50000</v>
      </c>
      <c r="G90" s="834">
        <v>0</v>
      </c>
      <c r="H90" s="837"/>
      <c r="I90" s="835"/>
      <c r="J90" s="836"/>
      <c r="K90" s="801"/>
      <c r="S90" s="750" t="s">
        <v>1152</v>
      </c>
    </row>
    <row r="91" spans="1:20" s="854" customFormat="1" ht="14.25" customHeight="1">
      <c r="A91" s="853"/>
      <c r="B91" s="853"/>
      <c r="C91" s="839"/>
      <c r="D91" s="833" t="s">
        <v>753</v>
      </c>
      <c r="E91" s="835">
        <v>0</v>
      </c>
      <c r="F91" s="835">
        <v>14585</v>
      </c>
      <c r="G91" s="834">
        <v>0</v>
      </c>
      <c r="H91" s="837"/>
      <c r="I91" s="835"/>
      <c r="J91" s="836"/>
      <c r="K91" s="801"/>
      <c r="S91" s="750" t="s">
        <v>1152</v>
      </c>
      <c r="T91" s="854" t="s">
        <v>1173</v>
      </c>
    </row>
    <row r="92" spans="1:19" s="854" customFormat="1" ht="14.25" customHeight="1">
      <c r="A92" s="853"/>
      <c r="B92" s="853"/>
      <c r="C92" s="839"/>
      <c r="D92" s="833" t="s">
        <v>754</v>
      </c>
      <c r="E92" s="835">
        <v>95000</v>
      </c>
      <c r="F92" s="835">
        <v>0</v>
      </c>
      <c r="G92" s="834">
        <f aca="true" t="shared" si="2" ref="G92:G99">F92/E92</f>
        <v>0</v>
      </c>
      <c r="H92" s="837"/>
      <c r="I92" s="835"/>
      <c r="J92" s="836"/>
      <c r="K92" s="801"/>
      <c r="S92" s="750"/>
    </row>
    <row r="93" spans="1:19" s="854" customFormat="1" ht="14.25" customHeight="1">
      <c r="A93" s="853"/>
      <c r="B93" s="853"/>
      <c r="C93" s="839"/>
      <c r="D93" s="833" t="s">
        <v>755</v>
      </c>
      <c r="E93" s="835">
        <v>143621</v>
      </c>
      <c r="F93" s="835">
        <v>143621</v>
      </c>
      <c r="G93" s="834">
        <f t="shared" si="2"/>
        <v>1</v>
      </c>
      <c r="H93" s="837"/>
      <c r="I93" s="835"/>
      <c r="J93" s="836"/>
      <c r="K93" s="801"/>
      <c r="S93" s="750" t="s">
        <v>1152</v>
      </c>
    </row>
    <row r="94" spans="1:19" s="854" customFormat="1" ht="14.25" customHeight="1">
      <c r="A94" s="853"/>
      <c r="B94" s="853"/>
      <c r="C94" s="839"/>
      <c r="D94" s="833" t="s">
        <v>756</v>
      </c>
      <c r="E94" s="835">
        <v>14500</v>
      </c>
      <c r="F94" s="835">
        <v>0</v>
      </c>
      <c r="G94" s="834">
        <f t="shared" si="2"/>
        <v>0</v>
      </c>
      <c r="H94" s="837"/>
      <c r="I94" s="835"/>
      <c r="J94" s="836"/>
      <c r="K94" s="801"/>
      <c r="S94" s="750"/>
    </row>
    <row r="95" spans="1:19" s="854" customFormat="1" ht="14.25" customHeight="1">
      <c r="A95" s="853"/>
      <c r="B95" s="853"/>
      <c r="C95" s="839"/>
      <c r="D95" s="855" t="s">
        <v>757</v>
      </c>
      <c r="E95" s="859">
        <v>31500</v>
      </c>
      <c r="F95" s="1329">
        <v>19000</v>
      </c>
      <c r="G95" s="834">
        <f t="shared" si="2"/>
        <v>0.6031746031746031</v>
      </c>
      <c r="H95" s="837"/>
      <c r="I95" s="835"/>
      <c r="J95" s="836"/>
      <c r="K95" s="801"/>
      <c r="S95" s="750" t="s">
        <v>1152</v>
      </c>
    </row>
    <row r="96" spans="1:19" s="854" customFormat="1" ht="31.5">
      <c r="A96" s="853"/>
      <c r="B96" s="853"/>
      <c r="C96" s="839"/>
      <c r="D96" s="855" t="s">
        <v>656</v>
      </c>
      <c r="E96" s="858">
        <v>226516</v>
      </c>
      <c r="F96" s="1328">
        <v>14761</v>
      </c>
      <c r="G96" s="860">
        <f t="shared" si="2"/>
        <v>0.06516537463137262</v>
      </c>
      <c r="H96" s="858"/>
      <c r="I96" s="859"/>
      <c r="J96" s="861"/>
      <c r="K96" s="801"/>
      <c r="S96" s="750" t="s">
        <v>1152</v>
      </c>
    </row>
    <row r="97" spans="1:19" s="854" customFormat="1" ht="31.5">
      <c r="A97" s="853"/>
      <c r="B97" s="853"/>
      <c r="C97" s="839"/>
      <c r="D97" s="855" t="s">
        <v>758</v>
      </c>
      <c r="E97" s="859">
        <v>7500</v>
      </c>
      <c r="F97" s="1328">
        <v>3830</v>
      </c>
      <c r="G97" s="860">
        <f t="shared" si="2"/>
        <v>0.5106666666666667</v>
      </c>
      <c r="H97" s="858"/>
      <c r="I97" s="859"/>
      <c r="J97" s="861"/>
      <c r="K97" s="801"/>
      <c r="S97" s="750" t="s">
        <v>1152</v>
      </c>
    </row>
    <row r="98" spans="1:19" s="854" customFormat="1" ht="15.75">
      <c r="A98" s="853"/>
      <c r="B98" s="853"/>
      <c r="C98" s="839"/>
      <c r="D98" s="855" t="s">
        <v>759</v>
      </c>
      <c r="E98" s="858">
        <v>200000</v>
      </c>
      <c r="F98" s="859">
        <v>0</v>
      </c>
      <c r="G98" s="860">
        <v>0</v>
      </c>
      <c r="H98" s="837"/>
      <c r="I98" s="835"/>
      <c r="J98" s="836"/>
      <c r="K98" s="801"/>
      <c r="S98" s="750"/>
    </row>
    <row r="99" spans="1:19" s="854" customFormat="1" ht="14.25" customHeight="1">
      <c r="A99" s="853"/>
      <c r="B99" s="853"/>
      <c r="C99" s="839"/>
      <c r="D99" s="855" t="s">
        <v>760</v>
      </c>
      <c r="E99" s="856">
        <v>40000</v>
      </c>
      <c r="F99" s="1332">
        <v>4750</v>
      </c>
      <c r="G99" s="860">
        <f t="shared" si="2"/>
        <v>0.11875</v>
      </c>
      <c r="H99" s="837"/>
      <c r="I99" s="835"/>
      <c r="J99" s="836"/>
      <c r="K99" s="801"/>
      <c r="S99" s="750" t="s">
        <v>1152</v>
      </c>
    </row>
    <row r="100" spans="1:20" s="854" customFormat="1" ht="31.5">
      <c r="A100" s="853"/>
      <c r="B100" s="853"/>
      <c r="C100" s="839"/>
      <c r="D100" s="855" t="s">
        <v>761</v>
      </c>
      <c r="E100" s="858">
        <v>0</v>
      </c>
      <c r="F100" s="1328">
        <v>20607</v>
      </c>
      <c r="G100" s="860">
        <v>0</v>
      </c>
      <c r="H100" s="837"/>
      <c r="I100" s="835"/>
      <c r="J100" s="836"/>
      <c r="K100" s="801"/>
      <c r="S100" s="750" t="s">
        <v>1152</v>
      </c>
      <c r="T100" s="854" t="s">
        <v>1172</v>
      </c>
    </row>
    <row r="101" spans="1:20" s="854" customFormat="1" ht="31.5">
      <c r="A101" s="853"/>
      <c r="B101" s="853"/>
      <c r="C101" s="839"/>
      <c r="D101" s="855" t="s">
        <v>762</v>
      </c>
      <c r="E101" s="858">
        <v>0</v>
      </c>
      <c r="F101" s="1328">
        <v>21999</v>
      </c>
      <c r="G101" s="860">
        <v>0</v>
      </c>
      <c r="H101" s="837"/>
      <c r="I101" s="835"/>
      <c r="J101" s="836"/>
      <c r="K101" s="801"/>
      <c r="S101" s="750" t="s">
        <v>1152</v>
      </c>
      <c r="T101" s="1330">
        <f>F84+F87+F88+F89+F90+F95+F100+F101+F99+F97+F96+F103</f>
        <v>1119752</v>
      </c>
    </row>
    <row r="102" spans="1:20" s="854" customFormat="1" ht="15.75">
      <c r="A102" s="853"/>
      <c r="B102" s="853"/>
      <c r="C102" s="839"/>
      <c r="D102" s="855" t="s">
        <v>1183</v>
      </c>
      <c r="E102" s="858">
        <v>0</v>
      </c>
      <c r="F102" s="859">
        <v>28604</v>
      </c>
      <c r="G102" s="860"/>
      <c r="H102" s="837"/>
      <c r="I102" s="835"/>
      <c r="J102" s="836"/>
      <c r="K102" s="801"/>
      <c r="S102" s="750" t="s">
        <v>1152</v>
      </c>
      <c r="T102" s="1330"/>
    </row>
    <row r="103" spans="1:20" s="854" customFormat="1" ht="15.75">
      <c r="A103" s="853"/>
      <c r="B103" s="853"/>
      <c r="C103" s="839"/>
      <c r="D103" s="855" t="s">
        <v>1214</v>
      </c>
      <c r="E103" s="858">
        <v>0</v>
      </c>
      <c r="F103" s="1328">
        <v>51122</v>
      </c>
      <c r="G103" s="860"/>
      <c r="H103" s="837"/>
      <c r="I103" s="835"/>
      <c r="J103" s="836"/>
      <c r="K103" s="801"/>
      <c r="S103" s="750" t="s">
        <v>1152</v>
      </c>
      <c r="T103" s="1330"/>
    </row>
    <row r="104" spans="1:19" s="854" customFormat="1" ht="14.25" customHeight="1">
      <c r="A104" s="853"/>
      <c r="B104" s="853"/>
      <c r="C104" s="839"/>
      <c r="D104" s="855"/>
      <c r="E104" s="858"/>
      <c r="F104" s="859"/>
      <c r="G104" s="834"/>
      <c r="H104" s="837"/>
      <c r="I104" s="840"/>
      <c r="J104" s="836"/>
      <c r="K104" s="801"/>
      <c r="S104" s="750"/>
    </row>
    <row r="105" spans="1:11" s="750" customFormat="1" ht="14.25" customHeight="1">
      <c r="A105" s="808" t="s">
        <v>763</v>
      </c>
      <c r="B105" s="809" t="s">
        <v>764</v>
      </c>
      <c r="C105" s="809"/>
      <c r="D105" s="810"/>
      <c r="E105" s="811"/>
      <c r="F105" s="811"/>
      <c r="G105" s="813"/>
      <c r="H105" s="811">
        <f>H106+H110+H114+H125</f>
        <v>2912500</v>
      </c>
      <c r="I105" s="812">
        <f>I106+I110+I114+I125</f>
        <v>3062200</v>
      </c>
      <c r="J105" s="814">
        <f aca="true" t="shared" si="3" ref="J105:J125">I105/H105</f>
        <v>1.0513991416309012</v>
      </c>
      <c r="K105" s="801"/>
    </row>
    <row r="106" spans="1:11" s="750" customFormat="1" ht="14.25" customHeight="1">
      <c r="A106" s="815"/>
      <c r="B106" s="816" t="s">
        <v>697</v>
      </c>
      <c r="C106" s="817" t="s">
        <v>765</v>
      </c>
      <c r="D106" s="818"/>
      <c r="E106" s="819"/>
      <c r="F106" s="819"/>
      <c r="G106" s="821"/>
      <c r="H106" s="819">
        <f>H107</f>
        <v>0</v>
      </c>
      <c r="I106" s="820">
        <f>I107</f>
        <v>0</v>
      </c>
      <c r="J106" s="822">
        <v>0</v>
      </c>
      <c r="K106" s="801"/>
    </row>
    <row r="107" spans="1:19" s="832" customFormat="1" ht="14.25" customHeight="1">
      <c r="A107" s="823"/>
      <c r="B107" s="823"/>
      <c r="C107" s="824" t="s">
        <v>699</v>
      </c>
      <c r="D107" s="825" t="s">
        <v>766</v>
      </c>
      <c r="E107" s="826"/>
      <c r="F107" s="827"/>
      <c r="G107" s="828"/>
      <c r="H107" s="838">
        <f>H108</f>
        <v>0</v>
      </c>
      <c r="I107" s="829">
        <f>I108</f>
        <v>0</v>
      </c>
      <c r="J107" s="830">
        <v>0</v>
      </c>
      <c r="K107" s="831"/>
      <c r="S107" s="750"/>
    </row>
    <row r="108" spans="1:19" s="854" customFormat="1" ht="14.25" customHeight="1">
      <c r="A108" s="853"/>
      <c r="B108" s="853"/>
      <c r="C108" s="839"/>
      <c r="D108" s="855" t="s">
        <v>767</v>
      </c>
      <c r="E108" s="858"/>
      <c r="F108" s="835"/>
      <c r="G108" s="834"/>
      <c r="H108" s="837">
        <v>0</v>
      </c>
      <c r="I108" s="835">
        <v>0</v>
      </c>
      <c r="J108" s="836">
        <v>0</v>
      </c>
      <c r="K108" s="801"/>
      <c r="S108" s="750"/>
    </row>
    <row r="109" spans="1:19" s="854" customFormat="1" ht="14.25" customHeight="1">
      <c r="A109" s="853"/>
      <c r="B109" s="853"/>
      <c r="C109" s="839"/>
      <c r="D109" s="855"/>
      <c r="E109" s="858"/>
      <c r="F109" s="835"/>
      <c r="G109" s="834"/>
      <c r="H109" s="837"/>
      <c r="I109" s="835"/>
      <c r="J109" s="836"/>
      <c r="K109" s="801"/>
      <c r="S109" s="750"/>
    </row>
    <row r="110" spans="1:11" s="750" customFormat="1" ht="14.25" customHeight="1">
      <c r="A110" s="815"/>
      <c r="B110" s="816" t="s">
        <v>722</v>
      </c>
      <c r="C110" s="817" t="s">
        <v>768</v>
      </c>
      <c r="D110" s="818"/>
      <c r="E110" s="819"/>
      <c r="F110" s="819"/>
      <c r="G110" s="821"/>
      <c r="H110" s="819">
        <f>H111+H112</f>
        <v>1200000</v>
      </c>
      <c r="I110" s="820">
        <f>I111+I112</f>
        <v>1250000</v>
      </c>
      <c r="J110" s="822">
        <f t="shared" si="3"/>
        <v>1.0416666666666667</v>
      </c>
      <c r="K110" s="801"/>
    </row>
    <row r="111" spans="1:19" s="854" customFormat="1" ht="14.25" customHeight="1">
      <c r="A111" s="853"/>
      <c r="B111" s="853"/>
      <c r="C111" s="839"/>
      <c r="D111" s="855" t="s">
        <v>769</v>
      </c>
      <c r="E111" s="858"/>
      <c r="F111" s="835"/>
      <c r="G111" s="834"/>
      <c r="H111" s="837">
        <v>1200000</v>
      </c>
      <c r="I111" s="835">
        <v>1250000</v>
      </c>
      <c r="J111" s="836">
        <f t="shared" si="3"/>
        <v>1.0416666666666667</v>
      </c>
      <c r="K111" s="801"/>
      <c r="S111" s="750" t="s">
        <v>1152</v>
      </c>
    </row>
    <row r="112" spans="1:19" s="854" customFormat="1" ht="14.25" customHeight="1">
      <c r="A112" s="853"/>
      <c r="B112" s="853"/>
      <c r="C112" s="839"/>
      <c r="D112" s="855" t="s">
        <v>770</v>
      </c>
      <c r="E112" s="858"/>
      <c r="F112" s="835"/>
      <c r="G112" s="834"/>
      <c r="H112" s="837">
        <v>0</v>
      </c>
      <c r="I112" s="835">
        <v>0</v>
      </c>
      <c r="J112" s="836">
        <v>0</v>
      </c>
      <c r="K112" s="801"/>
      <c r="S112" s="750"/>
    </row>
    <row r="113" spans="1:19" s="854" customFormat="1" ht="14.25" customHeight="1">
      <c r="A113" s="853"/>
      <c r="B113" s="853"/>
      <c r="C113" s="839"/>
      <c r="D113" s="855"/>
      <c r="E113" s="858"/>
      <c r="F113" s="835"/>
      <c r="G113" s="834"/>
      <c r="H113" s="837"/>
      <c r="I113" s="835"/>
      <c r="J113" s="836"/>
      <c r="K113" s="801"/>
      <c r="S113" s="750"/>
    </row>
    <row r="114" spans="1:11" s="750" customFormat="1" ht="14.25" customHeight="1">
      <c r="A114" s="815"/>
      <c r="B114" s="816" t="s">
        <v>771</v>
      </c>
      <c r="C114" s="817" t="s">
        <v>772</v>
      </c>
      <c r="D114" s="818"/>
      <c r="E114" s="819"/>
      <c r="F114" s="819"/>
      <c r="G114" s="821"/>
      <c r="H114" s="819">
        <f>H115+H118+H121</f>
        <v>1690000</v>
      </c>
      <c r="I114" s="820">
        <f>I115+I118+I121</f>
        <v>1787000</v>
      </c>
      <c r="J114" s="822">
        <f t="shared" si="3"/>
        <v>1.057396449704142</v>
      </c>
      <c r="K114" s="801"/>
    </row>
    <row r="115" spans="1:19" s="832" customFormat="1" ht="14.25" customHeight="1">
      <c r="A115" s="823"/>
      <c r="B115" s="823"/>
      <c r="C115" s="824" t="s">
        <v>699</v>
      </c>
      <c r="D115" s="825" t="s">
        <v>773</v>
      </c>
      <c r="E115" s="826"/>
      <c r="F115" s="827"/>
      <c r="G115" s="828"/>
      <c r="H115" s="838">
        <f>H116</f>
        <v>1300000</v>
      </c>
      <c r="I115" s="829">
        <f>I116</f>
        <v>1400000</v>
      </c>
      <c r="J115" s="830">
        <f t="shared" si="3"/>
        <v>1.0769230769230769</v>
      </c>
      <c r="K115" s="831"/>
      <c r="S115" s="750"/>
    </row>
    <row r="116" spans="1:19" s="854" customFormat="1" ht="14.25" customHeight="1">
      <c r="A116" s="853"/>
      <c r="B116" s="853"/>
      <c r="C116" s="839"/>
      <c r="D116" s="855" t="s">
        <v>774</v>
      </c>
      <c r="E116" s="858"/>
      <c r="F116" s="835"/>
      <c r="G116" s="834"/>
      <c r="H116" s="837">
        <v>1300000</v>
      </c>
      <c r="I116" s="835">
        <v>1400000</v>
      </c>
      <c r="J116" s="836">
        <f t="shared" si="3"/>
        <v>1.0769230769230769</v>
      </c>
      <c r="K116" s="801"/>
      <c r="S116" s="750" t="s">
        <v>1152</v>
      </c>
    </row>
    <row r="117" spans="1:19" s="854" customFormat="1" ht="14.25" customHeight="1">
      <c r="A117" s="853"/>
      <c r="B117" s="853"/>
      <c r="C117" s="839"/>
      <c r="D117" s="855"/>
      <c r="E117" s="858"/>
      <c r="F117" s="835"/>
      <c r="G117" s="834"/>
      <c r="H117" s="837"/>
      <c r="I117" s="835"/>
      <c r="J117" s="836"/>
      <c r="K117" s="801"/>
      <c r="S117" s="750"/>
    </row>
    <row r="118" spans="1:19" s="832" customFormat="1" ht="14.25" customHeight="1">
      <c r="A118" s="823"/>
      <c r="B118" s="823"/>
      <c r="C118" s="824" t="s">
        <v>703</v>
      </c>
      <c r="D118" s="825" t="s">
        <v>775</v>
      </c>
      <c r="E118" s="826"/>
      <c r="F118" s="827"/>
      <c r="G118" s="828"/>
      <c r="H118" s="838">
        <f>H119</f>
        <v>95000</v>
      </c>
      <c r="I118" s="829">
        <f>I119</f>
        <v>95000</v>
      </c>
      <c r="J118" s="830">
        <f t="shared" si="3"/>
        <v>1</v>
      </c>
      <c r="K118" s="831"/>
      <c r="S118" s="750"/>
    </row>
    <row r="119" spans="1:19" s="854" customFormat="1" ht="14.25" customHeight="1">
      <c r="A119" s="853"/>
      <c r="B119" s="853"/>
      <c r="C119" s="839"/>
      <c r="D119" s="855" t="s">
        <v>776</v>
      </c>
      <c r="E119" s="858"/>
      <c r="F119" s="835"/>
      <c r="G119" s="834"/>
      <c r="H119" s="837">
        <v>95000</v>
      </c>
      <c r="I119" s="835">
        <v>95000</v>
      </c>
      <c r="J119" s="836">
        <f t="shared" si="3"/>
        <v>1</v>
      </c>
      <c r="K119" s="801"/>
      <c r="S119" s="750" t="s">
        <v>1152</v>
      </c>
    </row>
    <row r="120" spans="1:19" s="854" customFormat="1" ht="14.25" customHeight="1">
      <c r="A120" s="853"/>
      <c r="B120" s="853"/>
      <c r="C120" s="839"/>
      <c r="D120" s="855"/>
      <c r="E120" s="858"/>
      <c r="F120" s="835"/>
      <c r="G120" s="834"/>
      <c r="H120" s="837"/>
      <c r="I120" s="835"/>
      <c r="J120" s="836"/>
      <c r="K120" s="801"/>
      <c r="S120" s="750"/>
    </row>
    <row r="121" spans="1:19" s="832" customFormat="1" ht="14.25" customHeight="1">
      <c r="A121" s="823"/>
      <c r="B121" s="823"/>
      <c r="C121" s="824" t="s">
        <v>706</v>
      </c>
      <c r="D121" s="825" t="s">
        <v>777</v>
      </c>
      <c r="E121" s="826"/>
      <c r="F121" s="827"/>
      <c r="G121" s="828"/>
      <c r="H121" s="838">
        <f>SUM(H122:H123)</f>
        <v>295000</v>
      </c>
      <c r="I121" s="829">
        <f>SUM(I122:I123)</f>
        <v>292000</v>
      </c>
      <c r="J121" s="830">
        <f t="shared" si="3"/>
        <v>0.9898305084745763</v>
      </c>
      <c r="K121" s="831"/>
      <c r="S121" s="750"/>
    </row>
    <row r="122" spans="1:19" s="854" customFormat="1" ht="14.25" customHeight="1">
      <c r="A122" s="853"/>
      <c r="B122" s="853"/>
      <c r="C122" s="839"/>
      <c r="D122" s="855" t="s">
        <v>778</v>
      </c>
      <c r="E122" s="858"/>
      <c r="F122" s="835"/>
      <c r="G122" s="834"/>
      <c r="H122" s="837">
        <v>290000</v>
      </c>
      <c r="I122" s="835">
        <v>290000</v>
      </c>
      <c r="J122" s="836">
        <f t="shared" si="3"/>
        <v>1</v>
      </c>
      <c r="K122" s="801"/>
      <c r="S122" s="750" t="s">
        <v>1152</v>
      </c>
    </row>
    <row r="123" spans="1:19" s="854" customFormat="1" ht="14.25" customHeight="1">
      <c r="A123" s="853"/>
      <c r="B123" s="853"/>
      <c r="C123" s="839"/>
      <c r="D123" s="855" t="s">
        <v>779</v>
      </c>
      <c r="E123" s="858"/>
      <c r="F123" s="835"/>
      <c r="G123" s="834"/>
      <c r="H123" s="837">
        <v>5000</v>
      </c>
      <c r="I123" s="835">
        <v>2000</v>
      </c>
      <c r="J123" s="836">
        <f t="shared" si="3"/>
        <v>0.4</v>
      </c>
      <c r="K123" s="801"/>
      <c r="S123" s="750" t="s">
        <v>1152</v>
      </c>
    </row>
    <row r="124" spans="1:19" s="854" customFormat="1" ht="14.25" customHeight="1">
      <c r="A124" s="853"/>
      <c r="B124" s="853"/>
      <c r="C124" s="839"/>
      <c r="D124" s="855"/>
      <c r="E124" s="858"/>
      <c r="F124" s="835"/>
      <c r="G124" s="834"/>
      <c r="H124" s="837"/>
      <c r="I124" s="835"/>
      <c r="J124" s="836"/>
      <c r="K124" s="801"/>
      <c r="S124" s="750"/>
    </row>
    <row r="125" spans="1:11" s="750" customFormat="1" ht="14.25" customHeight="1">
      <c r="A125" s="815"/>
      <c r="B125" s="816" t="s">
        <v>780</v>
      </c>
      <c r="C125" s="817" t="s">
        <v>781</v>
      </c>
      <c r="D125" s="818"/>
      <c r="E125" s="819"/>
      <c r="F125" s="819"/>
      <c r="G125" s="821"/>
      <c r="H125" s="819">
        <f>H126+H127+H128+H129</f>
        <v>22500</v>
      </c>
      <c r="I125" s="820">
        <f>I126+I127+I128+I129</f>
        <v>25200</v>
      </c>
      <c r="J125" s="822">
        <f t="shared" si="3"/>
        <v>1.12</v>
      </c>
      <c r="K125" s="801"/>
    </row>
    <row r="126" spans="1:19" s="854" customFormat="1" ht="14.25" customHeight="1" hidden="1">
      <c r="A126" s="853"/>
      <c r="B126" s="853"/>
      <c r="C126" s="839"/>
      <c r="D126" s="855" t="s">
        <v>782</v>
      </c>
      <c r="E126" s="858"/>
      <c r="F126" s="835"/>
      <c r="G126" s="834"/>
      <c r="H126" s="837">
        <v>0</v>
      </c>
      <c r="I126" s="835">
        <v>0</v>
      </c>
      <c r="J126" s="836">
        <v>0</v>
      </c>
      <c r="K126" s="801"/>
      <c r="S126" s="750"/>
    </row>
    <row r="127" spans="1:19" s="854" customFormat="1" ht="14.25" customHeight="1">
      <c r="A127" s="853"/>
      <c r="B127" s="853"/>
      <c r="C127" s="839"/>
      <c r="D127" s="855" t="s">
        <v>783</v>
      </c>
      <c r="E127" s="858"/>
      <c r="F127" s="835"/>
      <c r="G127" s="834"/>
      <c r="H127" s="837">
        <v>500</v>
      </c>
      <c r="I127" s="835">
        <v>200</v>
      </c>
      <c r="J127" s="836">
        <f>I127/H127</f>
        <v>0.4</v>
      </c>
      <c r="K127" s="801"/>
      <c r="S127" s="750" t="s">
        <v>1152</v>
      </c>
    </row>
    <row r="128" spans="1:19" s="854" customFormat="1" ht="14.25" customHeight="1">
      <c r="A128" s="853"/>
      <c r="B128" s="853"/>
      <c r="C128" s="839"/>
      <c r="D128" s="855" t="s">
        <v>784</v>
      </c>
      <c r="E128" s="858"/>
      <c r="F128" s="835"/>
      <c r="G128" s="834"/>
      <c r="H128" s="837">
        <v>20000</v>
      </c>
      <c r="I128" s="835">
        <v>23000</v>
      </c>
      <c r="J128" s="836">
        <f>I128/H128</f>
        <v>1.15</v>
      </c>
      <c r="K128" s="801"/>
      <c r="S128" s="750" t="s">
        <v>1152</v>
      </c>
    </row>
    <row r="129" spans="1:19" s="854" customFormat="1" ht="14.25" customHeight="1">
      <c r="A129" s="853"/>
      <c r="B129" s="853"/>
      <c r="C129" s="839"/>
      <c r="D129" s="855" t="s">
        <v>785</v>
      </c>
      <c r="E129" s="858"/>
      <c r="F129" s="835"/>
      <c r="G129" s="834"/>
      <c r="H129" s="837">
        <v>2000</v>
      </c>
      <c r="I129" s="835">
        <v>2000</v>
      </c>
      <c r="J129" s="836">
        <f>I129/H129</f>
        <v>1</v>
      </c>
      <c r="K129" s="801"/>
      <c r="S129" s="750" t="s">
        <v>1152</v>
      </c>
    </row>
    <row r="130" spans="1:19" s="854" customFormat="1" ht="14.25" customHeight="1">
      <c r="A130" s="853"/>
      <c r="B130" s="853"/>
      <c r="C130" s="839"/>
      <c r="D130" s="855"/>
      <c r="E130" s="858"/>
      <c r="F130" s="835"/>
      <c r="G130" s="834"/>
      <c r="H130" s="837"/>
      <c r="I130" s="835"/>
      <c r="J130" s="836"/>
      <c r="K130" s="801"/>
      <c r="S130" s="750"/>
    </row>
    <row r="131" spans="1:11" s="750" customFormat="1" ht="14.25" customHeight="1">
      <c r="A131" s="808" t="s">
        <v>786</v>
      </c>
      <c r="B131" s="809" t="s">
        <v>787</v>
      </c>
      <c r="C131" s="809"/>
      <c r="D131" s="810"/>
      <c r="E131" s="811"/>
      <c r="F131" s="811"/>
      <c r="G131" s="813"/>
      <c r="H131" s="811">
        <f>H132+H134+H151+H154+H172+H179+H181+H183+H187+H189+H193</f>
        <v>868645</v>
      </c>
      <c r="I131" s="812">
        <f>I132+I134+I151+I154+I172+I179+I181+I183+I187+I189+I193</f>
        <v>2093056</v>
      </c>
      <c r="J131" s="814">
        <f>I131/H131</f>
        <v>2.4095643214431672</v>
      </c>
      <c r="K131" s="801"/>
    </row>
    <row r="132" spans="1:19" s="832" customFormat="1" ht="14.25" customHeight="1">
      <c r="A132" s="823"/>
      <c r="B132" s="823"/>
      <c r="C132" s="824" t="s">
        <v>699</v>
      </c>
      <c r="D132" s="825" t="s">
        <v>788</v>
      </c>
      <c r="E132" s="826"/>
      <c r="F132" s="827"/>
      <c r="G132" s="828"/>
      <c r="H132" s="838">
        <v>0</v>
      </c>
      <c r="I132" s="829">
        <v>0</v>
      </c>
      <c r="J132" s="830">
        <v>0</v>
      </c>
      <c r="K132" s="831"/>
      <c r="S132" s="750"/>
    </row>
    <row r="133" spans="1:19" s="832" customFormat="1" ht="14.25" customHeight="1">
      <c r="A133" s="823"/>
      <c r="B133" s="823"/>
      <c r="C133" s="824"/>
      <c r="D133" s="825"/>
      <c r="E133" s="826"/>
      <c r="F133" s="827"/>
      <c r="G133" s="828"/>
      <c r="H133" s="838"/>
      <c r="I133" s="829"/>
      <c r="J133" s="830"/>
      <c r="K133" s="831"/>
      <c r="S133" s="750"/>
    </row>
    <row r="134" spans="1:19" s="832" customFormat="1" ht="14.25" customHeight="1">
      <c r="A134" s="823"/>
      <c r="B134" s="823"/>
      <c r="C134" s="824" t="s">
        <v>703</v>
      </c>
      <c r="D134" s="825" t="s">
        <v>789</v>
      </c>
      <c r="E134" s="826"/>
      <c r="F134" s="827"/>
      <c r="G134" s="828"/>
      <c r="H134" s="838">
        <f>SUM(H135:H149)</f>
        <v>12500</v>
      </c>
      <c r="I134" s="838">
        <f>SUM(I135:I149)</f>
        <v>99600</v>
      </c>
      <c r="J134" s="830">
        <f>I134/H134</f>
        <v>7.968</v>
      </c>
      <c r="K134" s="831">
        <f>(I134)*0.27</f>
        <v>26892</v>
      </c>
      <c r="S134" s="750"/>
    </row>
    <row r="135" spans="1:19" s="854" customFormat="1" ht="14.25" customHeight="1">
      <c r="A135" s="853"/>
      <c r="B135" s="853"/>
      <c r="C135" s="839"/>
      <c r="D135" s="855" t="s">
        <v>790</v>
      </c>
      <c r="E135" s="858"/>
      <c r="F135" s="835"/>
      <c r="G135" s="834"/>
      <c r="H135" s="835">
        <v>6000</v>
      </c>
      <c r="I135" s="835">
        <v>6000</v>
      </c>
      <c r="J135" s="836">
        <f aca="true" t="shared" si="4" ref="J135:J177">I135/H135</f>
        <v>1</v>
      </c>
      <c r="K135" s="801"/>
      <c r="S135" s="750" t="s">
        <v>1153</v>
      </c>
    </row>
    <row r="136" spans="1:19" s="854" customFormat="1" ht="14.25" customHeight="1">
      <c r="A136" s="853"/>
      <c r="B136" s="853"/>
      <c r="C136" s="839"/>
      <c r="D136" s="855" t="s">
        <v>791</v>
      </c>
      <c r="E136" s="858"/>
      <c r="F136" s="835"/>
      <c r="G136" s="834"/>
      <c r="H136" s="835">
        <v>1500</v>
      </c>
      <c r="I136" s="835">
        <v>3600</v>
      </c>
      <c r="J136" s="836">
        <f t="shared" si="4"/>
        <v>2.4</v>
      </c>
      <c r="K136" s="801"/>
      <c r="S136" s="750" t="s">
        <v>1152</v>
      </c>
    </row>
    <row r="137" spans="1:19" s="854" customFormat="1" ht="14.25" customHeight="1">
      <c r="A137" s="853"/>
      <c r="B137" s="853"/>
      <c r="C137" s="839"/>
      <c r="D137" s="833" t="s">
        <v>792</v>
      </c>
      <c r="E137" s="862"/>
      <c r="F137" s="863"/>
      <c r="G137" s="834"/>
      <c r="H137" s="835">
        <v>5000</v>
      </c>
      <c r="I137" s="835">
        <v>1000</v>
      </c>
      <c r="J137" s="836">
        <f t="shared" si="4"/>
        <v>0.2</v>
      </c>
      <c r="K137" s="801"/>
      <c r="S137" s="750" t="s">
        <v>1152</v>
      </c>
    </row>
    <row r="138" spans="1:19" s="854" customFormat="1" ht="14.25" customHeight="1">
      <c r="A138" s="853"/>
      <c r="B138" s="853"/>
      <c r="C138" s="839"/>
      <c r="D138" s="833" t="s">
        <v>793</v>
      </c>
      <c r="E138" s="837"/>
      <c r="F138" s="840"/>
      <c r="G138" s="834"/>
      <c r="H138" s="835">
        <v>0</v>
      </c>
      <c r="I138" s="835">
        <v>85000</v>
      </c>
      <c r="J138" s="836">
        <v>0</v>
      </c>
      <c r="K138" s="801"/>
      <c r="S138" s="750" t="s">
        <v>1152</v>
      </c>
    </row>
    <row r="139" spans="1:19" s="854" customFormat="1" ht="14.25" customHeight="1">
      <c r="A139" s="853"/>
      <c r="B139" s="853"/>
      <c r="C139" s="839"/>
      <c r="D139" s="833" t="s">
        <v>808</v>
      </c>
      <c r="E139" s="837"/>
      <c r="F139" s="840"/>
      <c r="G139" s="834"/>
      <c r="H139" s="835">
        <v>0</v>
      </c>
      <c r="I139" s="835">
        <v>4000</v>
      </c>
      <c r="J139" s="836"/>
      <c r="K139" s="801"/>
      <c r="S139" s="750"/>
    </row>
    <row r="140" spans="1:19" s="854" customFormat="1" ht="14.25" customHeight="1" hidden="1">
      <c r="A140" s="853"/>
      <c r="B140" s="853"/>
      <c r="C140" s="839"/>
      <c r="D140" s="833"/>
      <c r="E140" s="837"/>
      <c r="F140" s="840"/>
      <c r="G140" s="834"/>
      <c r="H140" s="835"/>
      <c r="I140" s="835"/>
      <c r="J140" s="836"/>
      <c r="K140" s="801"/>
      <c r="S140" s="750"/>
    </row>
    <row r="141" spans="1:19" s="854" customFormat="1" ht="14.25" customHeight="1" hidden="1">
      <c r="A141" s="853"/>
      <c r="B141" s="853"/>
      <c r="C141" s="839"/>
      <c r="D141" s="833"/>
      <c r="E141" s="837"/>
      <c r="F141" s="840"/>
      <c r="G141" s="834"/>
      <c r="H141" s="835"/>
      <c r="I141" s="835"/>
      <c r="J141" s="836"/>
      <c r="K141" s="801"/>
      <c r="S141" s="750"/>
    </row>
    <row r="142" spans="1:19" s="854" customFormat="1" ht="14.25" customHeight="1" hidden="1">
      <c r="A142" s="853"/>
      <c r="B142" s="853"/>
      <c r="C142" s="839"/>
      <c r="D142" s="833"/>
      <c r="E142" s="837"/>
      <c r="F142" s="840"/>
      <c r="G142" s="834"/>
      <c r="H142" s="835"/>
      <c r="I142" s="835"/>
      <c r="J142" s="836"/>
      <c r="K142" s="801"/>
      <c r="S142" s="750"/>
    </row>
    <row r="143" spans="1:19" s="854" customFormat="1" ht="14.25" customHeight="1" hidden="1">
      <c r="A143" s="853"/>
      <c r="B143" s="853"/>
      <c r="C143" s="839"/>
      <c r="D143" s="833"/>
      <c r="E143" s="837"/>
      <c r="F143" s="840"/>
      <c r="G143" s="834"/>
      <c r="H143" s="835"/>
      <c r="I143" s="835"/>
      <c r="J143" s="836"/>
      <c r="K143" s="801"/>
      <c r="S143" s="750"/>
    </row>
    <row r="144" spans="1:19" s="854" customFormat="1" ht="14.25" customHeight="1" hidden="1">
      <c r="A144" s="853"/>
      <c r="B144" s="853"/>
      <c r="C144" s="839"/>
      <c r="D144" s="833"/>
      <c r="E144" s="837"/>
      <c r="F144" s="840"/>
      <c r="G144" s="834"/>
      <c r="H144" s="835"/>
      <c r="I144" s="835"/>
      <c r="J144" s="836"/>
      <c r="K144" s="801"/>
      <c r="S144" s="750"/>
    </row>
    <row r="145" spans="1:19" s="854" customFormat="1" ht="14.25" customHeight="1" hidden="1">
      <c r="A145" s="853"/>
      <c r="B145" s="853"/>
      <c r="C145" s="839"/>
      <c r="D145" s="833"/>
      <c r="E145" s="837"/>
      <c r="F145" s="840"/>
      <c r="G145" s="834"/>
      <c r="H145" s="835"/>
      <c r="I145" s="835"/>
      <c r="J145" s="836"/>
      <c r="K145" s="801"/>
      <c r="S145" s="750"/>
    </row>
    <row r="146" spans="1:19" s="854" customFormat="1" ht="14.25" customHeight="1" hidden="1">
      <c r="A146" s="853"/>
      <c r="B146" s="853"/>
      <c r="C146" s="839"/>
      <c r="D146" s="833"/>
      <c r="E146" s="837"/>
      <c r="F146" s="840"/>
      <c r="G146" s="834"/>
      <c r="H146" s="835"/>
      <c r="I146" s="835"/>
      <c r="J146" s="836"/>
      <c r="L146" s="801"/>
      <c r="S146" s="750"/>
    </row>
    <row r="147" spans="1:19" s="854" customFormat="1" ht="14.25" customHeight="1" hidden="1">
      <c r="A147" s="853"/>
      <c r="B147" s="853"/>
      <c r="C147" s="839"/>
      <c r="D147" s="833"/>
      <c r="E147" s="837"/>
      <c r="F147" s="840"/>
      <c r="G147" s="834"/>
      <c r="H147" s="835"/>
      <c r="I147" s="835"/>
      <c r="J147" s="836"/>
      <c r="K147" s="801">
        <f>I147*0.27</f>
        <v>0</v>
      </c>
      <c r="S147" s="750"/>
    </row>
    <row r="148" spans="1:19" s="854" customFormat="1" ht="14.25" customHeight="1" hidden="1">
      <c r="A148" s="853"/>
      <c r="B148" s="853"/>
      <c r="C148" s="839"/>
      <c r="D148" s="833"/>
      <c r="E148" s="837"/>
      <c r="F148" s="840"/>
      <c r="G148" s="834"/>
      <c r="H148" s="835"/>
      <c r="I148" s="835"/>
      <c r="J148" s="836"/>
      <c r="K148" s="801"/>
      <c r="S148" s="750"/>
    </row>
    <row r="149" spans="1:19" s="854" customFormat="1" ht="14.25" customHeight="1" hidden="1">
      <c r="A149" s="853"/>
      <c r="B149" s="853"/>
      <c r="C149" s="839"/>
      <c r="D149" s="833"/>
      <c r="E149" s="837"/>
      <c r="F149" s="840"/>
      <c r="G149" s="834"/>
      <c r="H149" s="835"/>
      <c r="I149" s="835"/>
      <c r="J149" s="836"/>
      <c r="K149" s="801"/>
      <c r="S149" s="750"/>
    </row>
    <row r="150" spans="1:19" s="854" customFormat="1" ht="14.25" customHeight="1">
      <c r="A150" s="853"/>
      <c r="B150" s="853"/>
      <c r="C150" s="839"/>
      <c r="D150" s="833"/>
      <c r="E150" s="837"/>
      <c r="F150" s="840"/>
      <c r="G150" s="834"/>
      <c r="H150" s="837"/>
      <c r="I150" s="835"/>
      <c r="J150" s="836"/>
      <c r="K150" s="801"/>
      <c r="S150" s="750"/>
    </row>
    <row r="151" spans="1:19" s="832" customFormat="1" ht="14.25" customHeight="1">
      <c r="A151" s="823"/>
      <c r="B151" s="823"/>
      <c r="C151" s="824" t="s">
        <v>706</v>
      </c>
      <c r="D151" s="825" t="s">
        <v>794</v>
      </c>
      <c r="E151" s="826"/>
      <c r="F151" s="827"/>
      <c r="G151" s="828"/>
      <c r="H151" s="838">
        <f>H152</f>
        <v>40000</v>
      </c>
      <c r="I151" s="829">
        <f>I152</f>
        <v>45000</v>
      </c>
      <c r="J151" s="830">
        <f>I151/H151</f>
        <v>1.125</v>
      </c>
      <c r="K151" s="831">
        <f>I151*0.27</f>
        <v>12150</v>
      </c>
      <c r="S151" s="750"/>
    </row>
    <row r="152" spans="1:19" s="832" customFormat="1" ht="14.25" customHeight="1">
      <c r="A152" s="823"/>
      <c r="B152" s="823"/>
      <c r="C152" s="824"/>
      <c r="D152" s="855" t="s">
        <v>795</v>
      </c>
      <c r="E152" s="826"/>
      <c r="F152" s="827"/>
      <c r="G152" s="828"/>
      <c r="H152" s="837">
        <v>40000</v>
      </c>
      <c r="I152" s="835">
        <v>45000</v>
      </c>
      <c r="J152" s="836">
        <f t="shared" si="4"/>
        <v>1.125</v>
      </c>
      <c r="K152" s="831"/>
      <c r="S152" s="750" t="s">
        <v>1152</v>
      </c>
    </row>
    <row r="153" spans="1:19" s="832" customFormat="1" ht="14.25" customHeight="1">
      <c r="A153" s="823"/>
      <c r="B153" s="823"/>
      <c r="C153" s="824"/>
      <c r="D153" s="855"/>
      <c r="E153" s="826"/>
      <c r="F153" s="827"/>
      <c r="G153" s="828"/>
      <c r="H153" s="837"/>
      <c r="I153" s="835"/>
      <c r="J153" s="836"/>
      <c r="K153" s="831"/>
      <c r="S153" s="750"/>
    </row>
    <row r="154" spans="1:19" s="832" customFormat="1" ht="14.25" customHeight="1">
      <c r="A154" s="823"/>
      <c r="B154" s="823"/>
      <c r="C154" s="824" t="s">
        <v>711</v>
      </c>
      <c r="D154" s="825" t="s">
        <v>796</v>
      </c>
      <c r="E154" s="826"/>
      <c r="F154" s="827"/>
      <c r="G154" s="828"/>
      <c r="H154" s="838">
        <f>SUM(H155:H168)</f>
        <v>343595</v>
      </c>
      <c r="I154" s="829">
        <f>SUM(I155:I170)</f>
        <v>1211080</v>
      </c>
      <c r="J154" s="830">
        <f>I154/H154</f>
        <v>3.5247311515010407</v>
      </c>
      <c r="K154" s="831">
        <f>(I154-I155-I156)*0.27</f>
        <v>321051.60000000003</v>
      </c>
      <c r="S154" s="750"/>
    </row>
    <row r="155" spans="1:19" s="832" customFormat="1" ht="14.25" customHeight="1" hidden="1">
      <c r="A155" s="823"/>
      <c r="B155" s="823"/>
      <c r="C155" s="824"/>
      <c r="D155" s="855" t="s">
        <v>797</v>
      </c>
      <c r="E155" s="826"/>
      <c r="F155" s="827"/>
      <c r="G155" s="828"/>
      <c r="H155" s="835">
        <v>0</v>
      </c>
      <c r="I155" s="835">
        <v>0</v>
      </c>
      <c r="J155" s="836" t="e">
        <f t="shared" si="4"/>
        <v>#DIV/0!</v>
      </c>
      <c r="K155" s="831">
        <f>I155*0.27</f>
        <v>0</v>
      </c>
      <c r="S155" s="750"/>
    </row>
    <row r="156" spans="1:19" s="832" customFormat="1" ht="14.25" customHeight="1">
      <c r="A156" s="823"/>
      <c r="B156" s="823"/>
      <c r="C156" s="824"/>
      <c r="D156" s="855" t="s">
        <v>798</v>
      </c>
      <c r="E156" s="826"/>
      <c r="F156" s="827"/>
      <c r="G156" s="828"/>
      <c r="H156" s="835">
        <v>20000</v>
      </c>
      <c r="I156" s="835">
        <v>22000</v>
      </c>
      <c r="J156" s="836">
        <f t="shared" si="4"/>
        <v>1.1</v>
      </c>
      <c r="K156" s="831"/>
      <c r="S156" s="750" t="s">
        <v>1152</v>
      </c>
    </row>
    <row r="157" spans="1:19" s="832" customFormat="1" ht="14.25" customHeight="1">
      <c r="A157" s="823"/>
      <c r="B157" s="823"/>
      <c r="C157" s="824"/>
      <c r="D157" s="833" t="s">
        <v>799</v>
      </c>
      <c r="E157" s="826"/>
      <c r="F157" s="827"/>
      <c r="G157" s="828"/>
      <c r="H157" s="835">
        <v>4800</v>
      </c>
      <c r="I157" s="835">
        <v>4900</v>
      </c>
      <c r="J157" s="836">
        <f t="shared" si="4"/>
        <v>1.0208333333333333</v>
      </c>
      <c r="K157" s="831"/>
      <c r="S157" s="750" t="s">
        <v>1152</v>
      </c>
    </row>
    <row r="158" spans="1:19" s="832" customFormat="1" ht="14.25" customHeight="1">
      <c r="A158" s="823"/>
      <c r="B158" s="823"/>
      <c r="C158" s="824"/>
      <c r="D158" s="833" t="s">
        <v>800</v>
      </c>
      <c r="E158" s="837"/>
      <c r="F158" s="840"/>
      <c r="G158" s="834"/>
      <c r="H158" s="835">
        <v>191140</v>
      </c>
      <c r="I158" s="835">
        <f>149317+70873</f>
        <v>220190</v>
      </c>
      <c r="J158" s="836">
        <f t="shared" si="4"/>
        <v>1.1519828398032856</v>
      </c>
      <c r="K158" s="831"/>
      <c r="S158" s="750" t="s">
        <v>1152</v>
      </c>
    </row>
    <row r="159" spans="1:19" s="832" customFormat="1" ht="14.25" customHeight="1">
      <c r="A159" s="823"/>
      <c r="B159" s="823"/>
      <c r="C159" s="824"/>
      <c r="D159" s="833" t="s">
        <v>801</v>
      </c>
      <c r="E159" s="837"/>
      <c r="F159" s="840"/>
      <c r="G159" s="834"/>
      <c r="H159" s="835">
        <v>7000</v>
      </c>
      <c r="I159" s="835">
        <v>12000</v>
      </c>
      <c r="J159" s="836">
        <f t="shared" si="4"/>
        <v>1.7142857142857142</v>
      </c>
      <c r="K159" s="831"/>
      <c r="S159" s="750" t="s">
        <v>1152</v>
      </c>
    </row>
    <row r="160" spans="1:19" s="832" customFormat="1" ht="14.25" customHeight="1">
      <c r="A160" s="823"/>
      <c r="B160" s="823"/>
      <c r="C160" s="824"/>
      <c r="D160" s="833" t="s">
        <v>802</v>
      </c>
      <c r="E160" s="837"/>
      <c r="F160" s="840"/>
      <c r="G160" s="834"/>
      <c r="H160" s="835">
        <v>4800</v>
      </c>
      <c r="I160" s="835">
        <v>4800</v>
      </c>
      <c r="J160" s="836">
        <f t="shared" si="4"/>
        <v>1</v>
      </c>
      <c r="K160" s="831"/>
      <c r="S160" s="750" t="s">
        <v>1152</v>
      </c>
    </row>
    <row r="161" spans="1:19" s="832" customFormat="1" ht="14.25" customHeight="1">
      <c r="A161" s="823"/>
      <c r="B161" s="823"/>
      <c r="C161" s="824"/>
      <c r="D161" s="833" t="s">
        <v>803</v>
      </c>
      <c r="E161" s="837"/>
      <c r="F161" s="840"/>
      <c r="G161" s="834"/>
      <c r="H161" s="835">
        <v>18000</v>
      </c>
      <c r="I161" s="835">
        <v>24000</v>
      </c>
      <c r="J161" s="836">
        <f t="shared" si="4"/>
        <v>1.3333333333333333</v>
      </c>
      <c r="K161" s="831"/>
      <c r="S161" s="750" t="s">
        <v>1152</v>
      </c>
    </row>
    <row r="162" spans="1:19" s="832" customFormat="1" ht="14.25" customHeight="1">
      <c r="A162" s="823"/>
      <c r="B162" s="823"/>
      <c r="C162" s="824"/>
      <c r="D162" s="833" t="s">
        <v>804</v>
      </c>
      <c r="E162" s="837"/>
      <c r="F162" s="840"/>
      <c r="G162" s="834"/>
      <c r="H162" s="835">
        <v>15000</v>
      </c>
      <c r="I162" s="835">
        <v>22000</v>
      </c>
      <c r="J162" s="836">
        <f t="shared" si="4"/>
        <v>1.4666666666666666</v>
      </c>
      <c r="K162" s="831"/>
      <c r="S162" s="750" t="s">
        <v>1152</v>
      </c>
    </row>
    <row r="163" spans="1:19" s="832" customFormat="1" ht="14.25" customHeight="1">
      <c r="A163" s="823"/>
      <c r="B163" s="823"/>
      <c r="C163" s="824"/>
      <c r="D163" s="833" t="s">
        <v>805</v>
      </c>
      <c r="E163" s="837"/>
      <c r="F163" s="840"/>
      <c r="G163" s="834"/>
      <c r="H163" s="835">
        <v>1000</v>
      </c>
      <c r="I163" s="835">
        <v>4000</v>
      </c>
      <c r="J163" s="836">
        <f t="shared" si="4"/>
        <v>4</v>
      </c>
      <c r="K163" s="831"/>
      <c r="S163" s="750" t="s">
        <v>1152</v>
      </c>
    </row>
    <row r="164" spans="1:19" s="832" customFormat="1" ht="14.25" customHeight="1">
      <c r="A164" s="823"/>
      <c r="B164" s="823"/>
      <c r="C164" s="824"/>
      <c r="D164" s="833" t="s">
        <v>806</v>
      </c>
      <c r="E164" s="837"/>
      <c r="F164" s="840"/>
      <c r="G164" s="834"/>
      <c r="H164" s="835">
        <v>11575</v>
      </c>
      <c r="I164" s="835">
        <v>25075</v>
      </c>
      <c r="J164" s="836">
        <f t="shared" si="4"/>
        <v>2.166306695464363</v>
      </c>
      <c r="K164" s="831"/>
      <c r="S164" s="750" t="s">
        <v>1152</v>
      </c>
    </row>
    <row r="165" spans="1:19" s="832" customFormat="1" ht="14.25" customHeight="1">
      <c r="A165" s="823"/>
      <c r="B165" s="823"/>
      <c r="C165" s="824"/>
      <c r="D165" s="833" t="s">
        <v>807</v>
      </c>
      <c r="E165" s="837"/>
      <c r="F165" s="840"/>
      <c r="G165" s="834"/>
      <c r="H165" s="835">
        <v>2000</v>
      </c>
      <c r="I165" s="835">
        <v>2000</v>
      </c>
      <c r="J165" s="836">
        <f t="shared" si="4"/>
        <v>1</v>
      </c>
      <c r="K165" s="831"/>
      <c r="S165" s="750" t="s">
        <v>1152</v>
      </c>
    </row>
    <row r="166" spans="1:19" s="832" customFormat="1" ht="14.25" customHeight="1">
      <c r="A166" s="823"/>
      <c r="B166" s="823"/>
      <c r="C166" s="824"/>
      <c r="D166" s="833" t="s">
        <v>808</v>
      </c>
      <c r="E166" s="837"/>
      <c r="F166" s="840"/>
      <c r="G166" s="834"/>
      <c r="H166" s="835">
        <f>1200+3500+2500+800+134+1396</f>
        <v>9530</v>
      </c>
      <c r="I166" s="835">
        <v>3500</v>
      </c>
      <c r="J166" s="836">
        <f t="shared" si="4"/>
        <v>0.3672612801678909</v>
      </c>
      <c r="K166" s="831"/>
      <c r="S166" s="750" t="s">
        <v>1152</v>
      </c>
    </row>
    <row r="167" spans="1:19" s="832" customFormat="1" ht="14.25" customHeight="1">
      <c r="A167" s="823"/>
      <c r="B167" s="823"/>
      <c r="C167" s="824"/>
      <c r="D167" s="833" t="s">
        <v>809</v>
      </c>
      <c r="E167" s="837"/>
      <c r="F167" s="840"/>
      <c r="G167" s="834"/>
      <c r="H167" s="835">
        <f>31000+7750</f>
        <v>38750</v>
      </c>
      <c r="I167" s="835">
        <v>31000</v>
      </c>
      <c r="J167" s="836">
        <f t="shared" si="4"/>
        <v>0.8</v>
      </c>
      <c r="K167" s="831"/>
      <c r="S167" s="750" t="s">
        <v>1152</v>
      </c>
    </row>
    <row r="168" spans="1:19" s="832" customFormat="1" ht="14.25" customHeight="1">
      <c r="A168" s="823"/>
      <c r="B168" s="823"/>
      <c r="C168" s="824"/>
      <c r="D168" s="833" t="s">
        <v>810</v>
      </c>
      <c r="E168" s="837"/>
      <c r="F168" s="840"/>
      <c r="G168" s="834"/>
      <c r="H168" s="835">
        <v>20000</v>
      </c>
      <c r="I168" s="835">
        <v>28986</v>
      </c>
      <c r="J168" s="836">
        <f t="shared" si="4"/>
        <v>1.4493</v>
      </c>
      <c r="K168" s="831"/>
      <c r="S168" s="750" t="s">
        <v>1152</v>
      </c>
    </row>
    <row r="169" spans="1:19" s="832" customFormat="1" ht="14.25" customHeight="1">
      <c r="A169" s="823"/>
      <c r="B169" s="823"/>
      <c r="C169" s="824"/>
      <c r="D169" s="833" t="s">
        <v>811</v>
      </c>
      <c r="E169" s="826"/>
      <c r="F169" s="827"/>
      <c r="G169" s="828"/>
      <c r="H169" s="837">
        <v>0</v>
      </c>
      <c r="I169" s="835">
        <f>6350+6350</f>
        <v>12700</v>
      </c>
      <c r="J169" s="836">
        <v>0</v>
      </c>
      <c r="K169" s="831"/>
      <c r="S169" s="750" t="s">
        <v>1152</v>
      </c>
    </row>
    <row r="170" spans="1:19" s="832" customFormat="1" ht="14.25" customHeight="1">
      <c r="A170" s="823"/>
      <c r="B170" s="823"/>
      <c r="C170" s="824"/>
      <c r="D170" s="833" t="s">
        <v>1184</v>
      </c>
      <c r="E170" s="826"/>
      <c r="F170" s="827"/>
      <c r="G170" s="828"/>
      <c r="H170" s="837">
        <v>0</v>
      </c>
      <c r="I170" s="835">
        <v>793929</v>
      </c>
      <c r="J170" s="836"/>
      <c r="K170" s="831"/>
      <c r="S170" s="750"/>
    </row>
    <row r="171" spans="1:19" s="832" customFormat="1" ht="14.25" customHeight="1">
      <c r="A171" s="823"/>
      <c r="B171" s="823"/>
      <c r="C171" s="824"/>
      <c r="D171" s="833"/>
      <c r="E171" s="826"/>
      <c r="F171" s="827"/>
      <c r="G171" s="828"/>
      <c r="H171" s="837"/>
      <c r="I171" s="835"/>
      <c r="J171" s="836"/>
      <c r="K171" s="831"/>
      <c r="S171" s="750"/>
    </row>
    <row r="172" spans="1:19" s="832" customFormat="1" ht="14.25" customHeight="1">
      <c r="A172" s="823"/>
      <c r="B172" s="823"/>
      <c r="C172" s="824" t="s">
        <v>714</v>
      </c>
      <c r="D172" s="825" t="s">
        <v>812</v>
      </c>
      <c r="E172" s="826"/>
      <c r="F172" s="827"/>
      <c r="G172" s="828"/>
      <c r="H172" s="838">
        <f>SUM(H173:H177)</f>
        <v>45778</v>
      </c>
      <c r="I172" s="829">
        <f>SUM(I173:I177)</f>
        <v>49300</v>
      </c>
      <c r="J172" s="830">
        <f>I172/H172</f>
        <v>1.0769365197256324</v>
      </c>
      <c r="K172" s="831">
        <f>I172*0.27</f>
        <v>13311</v>
      </c>
      <c r="S172" s="750"/>
    </row>
    <row r="173" spans="1:19" s="832" customFormat="1" ht="14.25" customHeight="1">
      <c r="A173" s="823"/>
      <c r="B173" s="823"/>
      <c r="C173" s="824"/>
      <c r="D173" s="833" t="s">
        <v>813</v>
      </c>
      <c r="E173" s="837"/>
      <c r="F173" s="840"/>
      <c r="G173" s="834"/>
      <c r="H173" s="837">
        <f>2364+12333</f>
        <v>14697</v>
      </c>
      <c r="I173" s="837">
        <v>17500</v>
      </c>
      <c r="J173" s="836">
        <f t="shared" si="4"/>
        <v>1.1907191943934137</v>
      </c>
      <c r="K173" s="831"/>
      <c r="S173" s="750" t="s">
        <v>1152</v>
      </c>
    </row>
    <row r="174" spans="1:19" s="832" customFormat="1" ht="14.25" customHeight="1">
      <c r="A174" s="823"/>
      <c r="B174" s="823"/>
      <c r="C174" s="824"/>
      <c r="D174" s="833" t="s">
        <v>814</v>
      </c>
      <c r="E174" s="837"/>
      <c r="F174" s="840"/>
      <c r="G174" s="834"/>
      <c r="H174" s="837">
        <f>10867</f>
        <v>10867</v>
      </c>
      <c r="I174" s="837">
        <v>13800</v>
      </c>
      <c r="J174" s="836">
        <f t="shared" si="4"/>
        <v>1.2698996963283335</v>
      </c>
      <c r="K174" s="831"/>
      <c r="S174" s="750" t="s">
        <v>1152</v>
      </c>
    </row>
    <row r="175" spans="1:19" s="832" customFormat="1" ht="14.25" customHeight="1">
      <c r="A175" s="823"/>
      <c r="B175" s="823"/>
      <c r="C175" s="824"/>
      <c r="D175" s="833" t="s">
        <v>815</v>
      </c>
      <c r="E175" s="837"/>
      <c r="F175" s="840"/>
      <c r="G175" s="834"/>
      <c r="H175" s="837">
        <f>4808+3156</f>
        <v>7964</v>
      </c>
      <c r="I175" s="837">
        <v>9000</v>
      </c>
      <c r="J175" s="836">
        <f t="shared" si="4"/>
        <v>1.1300853842290306</v>
      </c>
      <c r="K175" s="831"/>
      <c r="S175" s="750" t="s">
        <v>1152</v>
      </c>
    </row>
    <row r="176" spans="1:19" s="832" customFormat="1" ht="14.25" customHeight="1">
      <c r="A176" s="823"/>
      <c r="B176" s="823"/>
      <c r="C176" s="824"/>
      <c r="D176" s="833" t="s">
        <v>816</v>
      </c>
      <c r="E176" s="837"/>
      <c r="F176" s="840"/>
      <c r="G176" s="834"/>
      <c r="H176" s="837">
        <v>5100</v>
      </c>
      <c r="I176" s="837">
        <v>3800</v>
      </c>
      <c r="J176" s="836">
        <f t="shared" si="4"/>
        <v>0.7450980392156863</v>
      </c>
      <c r="K176" s="831"/>
      <c r="S176" s="750" t="s">
        <v>1152</v>
      </c>
    </row>
    <row r="177" spans="1:19" s="832" customFormat="1" ht="14.25" customHeight="1">
      <c r="A177" s="823"/>
      <c r="B177" s="823"/>
      <c r="C177" s="824"/>
      <c r="D177" s="833" t="s">
        <v>817</v>
      </c>
      <c r="E177" s="837"/>
      <c r="F177" s="840"/>
      <c r="G177" s="834"/>
      <c r="H177" s="837">
        <f>960+1922+4268</f>
        <v>7150</v>
      </c>
      <c r="I177" s="837">
        <v>5200</v>
      </c>
      <c r="J177" s="836">
        <f t="shared" si="4"/>
        <v>0.7272727272727273</v>
      </c>
      <c r="K177" s="831"/>
      <c r="S177" s="750" t="s">
        <v>1152</v>
      </c>
    </row>
    <row r="178" spans="1:19" s="832" customFormat="1" ht="14.25" customHeight="1">
      <c r="A178" s="823"/>
      <c r="B178" s="823"/>
      <c r="C178" s="824"/>
      <c r="D178" s="833"/>
      <c r="E178" s="837"/>
      <c r="F178" s="840"/>
      <c r="G178" s="834"/>
      <c r="H178" s="837"/>
      <c r="I178" s="835"/>
      <c r="J178" s="836"/>
      <c r="K178" s="831"/>
      <c r="S178" s="750"/>
    </row>
    <row r="179" spans="1:19" s="832" customFormat="1" ht="14.25" customHeight="1">
      <c r="A179" s="823"/>
      <c r="B179" s="823"/>
      <c r="C179" s="824" t="s">
        <v>720</v>
      </c>
      <c r="D179" s="825" t="s">
        <v>818</v>
      </c>
      <c r="E179" s="826"/>
      <c r="F179" s="827"/>
      <c r="G179" s="828"/>
      <c r="H179" s="829">
        <f>10463+81814+10800+108000+1296+1701+5280+1973+1374+674+3707+1152+519+259</f>
        <v>229012</v>
      </c>
      <c r="I179" s="829">
        <f>294044+214361</f>
        <v>508405</v>
      </c>
      <c r="J179" s="830">
        <f aca="true" t="shared" si="5" ref="J179:J190">I179/H179</f>
        <v>2.219992838803207</v>
      </c>
      <c r="K179" s="831"/>
      <c r="M179" s="864"/>
      <c r="S179" s="750" t="s">
        <v>1152</v>
      </c>
    </row>
    <row r="180" spans="1:19" s="832" customFormat="1" ht="14.25" customHeight="1">
      <c r="A180" s="823"/>
      <c r="B180" s="823"/>
      <c r="C180" s="824"/>
      <c r="D180" s="825"/>
      <c r="E180" s="826"/>
      <c r="F180" s="827"/>
      <c r="G180" s="828"/>
      <c r="H180" s="829"/>
      <c r="I180" s="829"/>
      <c r="J180" s="830"/>
      <c r="K180" s="831"/>
      <c r="S180" s="750"/>
    </row>
    <row r="181" spans="1:19" s="832" customFormat="1" ht="14.25" customHeight="1">
      <c r="A181" s="823"/>
      <c r="B181" s="823"/>
      <c r="C181" s="824" t="s">
        <v>819</v>
      </c>
      <c r="D181" s="825" t="s">
        <v>820</v>
      </c>
      <c r="E181" s="826"/>
      <c r="F181" s="827"/>
      <c r="G181" s="828"/>
      <c r="H181" s="829">
        <f>10800+162000+1587+5769+3444+2097+8625+1587+358+213-720</f>
        <v>195760</v>
      </c>
      <c r="I181" s="829">
        <f>168170+1</f>
        <v>168171</v>
      </c>
      <c r="J181" s="830">
        <f t="shared" si="5"/>
        <v>0.8590672251736821</v>
      </c>
      <c r="K181" s="831"/>
      <c r="L181" s="864"/>
      <c r="S181" s="750" t="s">
        <v>1152</v>
      </c>
    </row>
    <row r="182" spans="1:19" s="832" customFormat="1" ht="14.25" customHeight="1">
      <c r="A182" s="823"/>
      <c r="B182" s="823"/>
      <c r="C182" s="824"/>
      <c r="D182" s="825"/>
      <c r="E182" s="826"/>
      <c r="F182" s="827"/>
      <c r="G182" s="828"/>
      <c r="H182" s="838"/>
      <c r="I182" s="829"/>
      <c r="J182" s="830"/>
      <c r="K182" s="831"/>
      <c r="S182" s="750"/>
    </row>
    <row r="183" spans="1:19" s="832" customFormat="1" ht="14.25" customHeight="1">
      <c r="A183" s="823"/>
      <c r="B183" s="823"/>
      <c r="C183" s="824" t="s">
        <v>821</v>
      </c>
      <c r="D183" s="825" t="s">
        <v>822</v>
      </c>
      <c r="E183" s="826"/>
      <c r="F183" s="827"/>
      <c r="G183" s="828"/>
      <c r="H183" s="838">
        <f>SUM(H184:H185)</f>
        <v>1000</v>
      </c>
      <c r="I183" s="829">
        <f>SUM(I184:I185)</f>
        <v>2200</v>
      </c>
      <c r="J183" s="830">
        <f t="shared" si="5"/>
        <v>2.2</v>
      </c>
      <c r="K183" s="831"/>
      <c r="S183" s="750"/>
    </row>
    <row r="184" spans="1:19" s="832" customFormat="1" ht="14.25" customHeight="1">
      <c r="A184" s="823"/>
      <c r="B184" s="823"/>
      <c r="C184" s="824"/>
      <c r="D184" s="833" t="s">
        <v>823</v>
      </c>
      <c r="E184" s="835"/>
      <c r="F184" s="835"/>
      <c r="G184" s="828"/>
      <c r="H184" s="837">
        <v>1000</v>
      </c>
      <c r="I184" s="835">
        <v>1200</v>
      </c>
      <c r="J184" s="836">
        <f t="shared" si="5"/>
        <v>1.2</v>
      </c>
      <c r="K184" s="831"/>
      <c r="S184" s="750" t="s">
        <v>1152</v>
      </c>
    </row>
    <row r="185" spans="1:19" s="832" customFormat="1" ht="14.25" customHeight="1">
      <c r="A185" s="823"/>
      <c r="B185" s="823"/>
      <c r="C185" s="824"/>
      <c r="D185" s="833" t="s">
        <v>824</v>
      </c>
      <c r="E185" s="835"/>
      <c r="F185" s="835"/>
      <c r="G185" s="828"/>
      <c r="H185" s="837">
        <v>0</v>
      </c>
      <c r="I185" s="835">
        <v>1000</v>
      </c>
      <c r="J185" s="836">
        <v>0</v>
      </c>
      <c r="K185" s="831"/>
      <c r="S185" s="750" t="s">
        <v>1152</v>
      </c>
    </row>
    <row r="186" spans="1:19" s="832" customFormat="1" ht="14.25" customHeight="1">
      <c r="A186" s="823"/>
      <c r="B186" s="823"/>
      <c r="C186" s="824"/>
      <c r="D186" s="833"/>
      <c r="E186" s="837"/>
      <c r="F186" s="835"/>
      <c r="G186" s="828"/>
      <c r="H186" s="837"/>
      <c r="I186" s="835"/>
      <c r="J186" s="836"/>
      <c r="K186" s="831"/>
      <c r="S186" s="750"/>
    </row>
    <row r="187" spans="1:19" s="832" customFormat="1" ht="14.25" customHeight="1">
      <c r="A187" s="823"/>
      <c r="B187" s="823"/>
      <c r="C187" s="824" t="s">
        <v>825</v>
      </c>
      <c r="D187" s="825" t="s">
        <v>826</v>
      </c>
      <c r="E187" s="826"/>
      <c r="F187" s="827"/>
      <c r="G187" s="828"/>
      <c r="H187" s="838">
        <v>0</v>
      </c>
      <c r="I187" s="829">
        <v>0</v>
      </c>
      <c r="J187" s="830">
        <v>0</v>
      </c>
      <c r="K187" s="831"/>
      <c r="S187" s="750"/>
    </row>
    <row r="188" spans="1:19" s="832" customFormat="1" ht="14.25" customHeight="1">
      <c r="A188" s="823"/>
      <c r="B188" s="823"/>
      <c r="C188" s="824"/>
      <c r="D188" s="825"/>
      <c r="E188" s="826"/>
      <c r="F188" s="827"/>
      <c r="G188" s="828"/>
      <c r="H188" s="838"/>
      <c r="I188" s="829"/>
      <c r="J188" s="830"/>
      <c r="K188" s="831"/>
      <c r="S188" s="750"/>
    </row>
    <row r="189" spans="1:19" s="832" customFormat="1" ht="14.25" customHeight="1">
      <c r="A189" s="823"/>
      <c r="B189" s="823"/>
      <c r="C189" s="824" t="s">
        <v>827</v>
      </c>
      <c r="D189" s="825" t="s">
        <v>828</v>
      </c>
      <c r="E189" s="826"/>
      <c r="F189" s="827"/>
      <c r="G189" s="828"/>
      <c r="H189" s="838">
        <f>H190</f>
        <v>1000</v>
      </c>
      <c r="I189" s="829">
        <f>I190+I191</f>
        <v>4000</v>
      </c>
      <c r="J189" s="830">
        <f t="shared" si="5"/>
        <v>4</v>
      </c>
      <c r="K189" s="831"/>
      <c r="S189" s="750"/>
    </row>
    <row r="190" spans="1:19" s="832" customFormat="1" ht="14.25" customHeight="1">
      <c r="A190" s="823"/>
      <c r="B190" s="823"/>
      <c r="C190" s="824"/>
      <c r="D190" s="833" t="s">
        <v>437</v>
      </c>
      <c r="E190" s="837"/>
      <c r="F190" s="835"/>
      <c r="G190" s="828"/>
      <c r="H190" s="837">
        <v>1000</v>
      </c>
      <c r="I190" s="835">
        <v>4000</v>
      </c>
      <c r="J190" s="836">
        <f t="shared" si="5"/>
        <v>4</v>
      </c>
      <c r="K190" s="831"/>
      <c r="S190" s="750" t="s">
        <v>1152</v>
      </c>
    </row>
    <row r="191" spans="1:19" s="832" customFormat="1" ht="14.25" customHeight="1" hidden="1">
      <c r="A191" s="823"/>
      <c r="B191" s="823"/>
      <c r="C191" s="824"/>
      <c r="D191" s="833"/>
      <c r="E191" s="837"/>
      <c r="F191" s="835"/>
      <c r="G191" s="828"/>
      <c r="H191" s="837"/>
      <c r="I191" s="835"/>
      <c r="J191" s="836"/>
      <c r="K191" s="831"/>
      <c r="S191" s="750"/>
    </row>
    <row r="192" spans="1:19" s="832" customFormat="1" ht="14.25" customHeight="1">
      <c r="A192" s="823"/>
      <c r="B192" s="823"/>
      <c r="C192" s="824"/>
      <c r="D192" s="833"/>
      <c r="E192" s="837"/>
      <c r="F192" s="835"/>
      <c r="G192" s="828"/>
      <c r="H192" s="837"/>
      <c r="I192" s="835"/>
      <c r="J192" s="836"/>
      <c r="K192" s="831"/>
      <c r="S192" s="750"/>
    </row>
    <row r="193" spans="1:19" s="832" customFormat="1" ht="14.25" customHeight="1">
      <c r="A193" s="823"/>
      <c r="B193" s="823"/>
      <c r="C193" s="824" t="s">
        <v>829</v>
      </c>
      <c r="D193" s="825" t="s">
        <v>830</v>
      </c>
      <c r="E193" s="837"/>
      <c r="F193" s="835"/>
      <c r="G193" s="828"/>
      <c r="H193" s="838">
        <f>H194</f>
        <v>0</v>
      </c>
      <c r="I193" s="829">
        <f>I194+I195</f>
        <v>5300</v>
      </c>
      <c r="J193" s="830">
        <v>0</v>
      </c>
      <c r="K193" s="831"/>
      <c r="S193" s="750"/>
    </row>
    <row r="194" spans="1:19" s="832" customFormat="1" ht="14.25" customHeight="1">
      <c r="A194" s="823"/>
      <c r="B194" s="823"/>
      <c r="C194" s="824"/>
      <c r="D194" s="833" t="s">
        <v>831</v>
      </c>
      <c r="E194" s="837"/>
      <c r="F194" s="835"/>
      <c r="G194" s="828"/>
      <c r="H194" s="837">
        <v>0</v>
      </c>
      <c r="I194" s="835">
        <v>3000</v>
      </c>
      <c r="J194" s="836">
        <v>0</v>
      </c>
      <c r="K194" s="831"/>
      <c r="S194" s="750" t="s">
        <v>1152</v>
      </c>
    </row>
    <row r="195" spans="1:19" s="832" customFormat="1" ht="14.25" customHeight="1">
      <c r="A195" s="823"/>
      <c r="B195" s="823"/>
      <c r="C195" s="824"/>
      <c r="D195" s="833" t="s">
        <v>832</v>
      </c>
      <c r="E195" s="826"/>
      <c r="F195" s="827"/>
      <c r="G195" s="828"/>
      <c r="H195" s="837">
        <v>0</v>
      </c>
      <c r="I195" s="835">
        <v>2300</v>
      </c>
      <c r="J195" s="836">
        <v>0</v>
      </c>
      <c r="K195" s="831"/>
      <c r="S195" s="750" t="s">
        <v>1152</v>
      </c>
    </row>
    <row r="196" spans="1:19" s="832" customFormat="1" ht="14.25" customHeight="1">
      <c r="A196" s="823"/>
      <c r="B196" s="823"/>
      <c r="C196" s="824"/>
      <c r="D196" s="833"/>
      <c r="E196" s="837"/>
      <c r="F196" s="835"/>
      <c r="G196" s="828"/>
      <c r="H196" s="837"/>
      <c r="I196" s="835"/>
      <c r="J196" s="836"/>
      <c r="K196" s="831"/>
      <c r="S196" s="750"/>
    </row>
    <row r="197" spans="1:11" s="750" customFormat="1" ht="14.25" customHeight="1">
      <c r="A197" s="808" t="s">
        <v>833</v>
      </c>
      <c r="B197" s="809" t="s">
        <v>834</v>
      </c>
      <c r="C197" s="809"/>
      <c r="D197" s="810"/>
      <c r="E197" s="812">
        <f>E198+E201</f>
        <v>750000</v>
      </c>
      <c r="F197" s="812">
        <f>F198+F201</f>
        <v>500000</v>
      </c>
      <c r="G197" s="851">
        <f>F197/E197</f>
        <v>0.6666666666666666</v>
      </c>
      <c r="H197" s="811"/>
      <c r="I197" s="812"/>
      <c r="J197" s="814"/>
      <c r="K197" s="801"/>
    </row>
    <row r="198" spans="1:11" s="750" customFormat="1" ht="14.25" customHeight="1">
      <c r="A198" s="815"/>
      <c r="B198" s="816" t="s">
        <v>697</v>
      </c>
      <c r="C198" s="817" t="s">
        <v>835</v>
      </c>
      <c r="D198" s="818"/>
      <c r="E198" s="820">
        <f>E199</f>
        <v>750000</v>
      </c>
      <c r="F198" s="820">
        <f>F199</f>
        <v>500000</v>
      </c>
      <c r="G198" s="852">
        <f>F198/E198</f>
        <v>0.6666666666666666</v>
      </c>
      <c r="H198" s="819"/>
      <c r="I198" s="820"/>
      <c r="J198" s="822"/>
      <c r="K198" s="801"/>
    </row>
    <row r="199" spans="1:19" s="832" customFormat="1" ht="14.25" customHeight="1">
      <c r="A199" s="823"/>
      <c r="B199" s="823"/>
      <c r="C199" s="824"/>
      <c r="D199" s="833" t="s">
        <v>836</v>
      </c>
      <c r="E199" s="837">
        <v>750000</v>
      </c>
      <c r="F199" s="835">
        <v>500000</v>
      </c>
      <c r="G199" s="834">
        <f>F199/E199</f>
        <v>0.6666666666666666</v>
      </c>
      <c r="H199" s="837"/>
      <c r="I199" s="835"/>
      <c r="J199" s="836"/>
      <c r="K199" s="831">
        <f>F199*0.27</f>
        <v>135000</v>
      </c>
      <c r="S199" s="750" t="s">
        <v>1152</v>
      </c>
    </row>
    <row r="200" spans="1:19" s="832" customFormat="1" ht="14.25" customHeight="1">
      <c r="A200" s="823"/>
      <c r="B200" s="823"/>
      <c r="C200" s="824"/>
      <c r="D200" s="833"/>
      <c r="E200" s="837"/>
      <c r="F200" s="835"/>
      <c r="G200" s="834"/>
      <c r="H200" s="837"/>
      <c r="I200" s="835"/>
      <c r="J200" s="836"/>
      <c r="K200" s="831"/>
      <c r="S200" s="750"/>
    </row>
    <row r="201" spans="1:11" s="750" customFormat="1" ht="14.25" customHeight="1">
      <c r="A201" s="815"/>
      <c r="B201" s="816" t="s">
        <v>722</v>
      </c>
      <c r="C201" s="817" t="s">
        <v>837</v>
      </c>
      <c r="D201" s="818"/>
      <c r="E201" s="820">
        <f>SUM(E202:E203)</f>
        <v>0</v>
      </c>
      <c r="F201" s="820">
        <f>SUM(F202:F203)</f>
        <v>0</v>
      </c>
      <c r="G201" s="852">
        <v>0</v>
      </c>
      <c r="H201" s="819"/>
      <c r="I201" s="820"/>
      <c r="J201" s="822"/>
      <c r="K201" s="801"/>
    </row>
    <row r="202" spans="1:19" s="832" customFormat="1" ht="14.25" customHeight="1" hidden="1">
      <c r="A202" s="823"/>
      <c r="B202" s="823"/>
      <c r="C202" s="824"/>
      <c r="D202" s="833"/>
      <c r="E202" s="837"/>
      <c r="F202" s="835"/>
      <c r="G202" s="834"/>
      <c r="H202" s="837"/>
      <c r="I202" s="835"/>
      <c r="J202" s="836"/>
      <c r="K202" s="831"/>
      <c r="S202" s="750"/>
    </row>
    <row r="203" spans="1:19" s="832" customFormat="1" ht="14.25" customHeight="1">
      <c r="A203" s="823"/>
      <c r="B203" s="823"/>
      <c r="C203" s="824"/>
      <c r="D203" s="833"/>
      <c r="E203" s="837"/>
      <c r="F203" s="835"/>
      <c r="G203" s="834"/>
      <c r="H203" s="837"/>
      <c r="I203" s="835"/>
      <c r="J203" s="830"/>
      <c r="K203" s="831"/>
      <c r="S203" s="750"/>
    </row>
    <row r="204" spans="1:11" s="750" customFormat="1" ht="14.25" customHeight="1">
      <c r="A204" s="808" t="s">
        <v>838</v>
      </c>
      <c r="B204" s="809" t="s">
        <v>839</v>
      </c>
      <c r="C204" s="809"/>
      <c r="D204" s="810"/>
      <c r="E204" s="811"/>
      <c r="F204" s="811"/>
      <c r="G204" s="813"/>
      <c r="H204" s="811">
        <f>H205+H209</f>
        <v>107430</v>
      </c>
      <c r="I204" s="811">
        <f>I205+I209</f>
        <v>194830</v>
      </c>
      <c r="J204" s="814">
        <f>I204/H204</f>
        <v>1.8135530112631482</v>
      </c>
      <c r="K204" s="801"/>
    </row>
    <row r="205" spans="1:11" s="750" customFormat="1" ht="14.25" customHeight="1">
      <c r="A205" s="815"/>
      <c r="B205" s="816" t="s">
        <v>697</v>
      </c>
      <c r="C205" s="817" t="s">
        <v>840</v>
      </c>
      <c r="D205" s="818"/>
      <c r="E205" s="819"/>
      <c r="F205" s="819"/>
      <c r="G205" s="821"/>
      <c r="H205" s="819">
        <f>H206+H207</f>
        <v>97430</v>
      </c>
      <c r="I205" s="820">
        <f>I206+I207</f>
        <v>94830</v>
      </c>
      <c r="J205" s="822">
        <f>I205/H205</f>
        <v>0.9733141742789695</v>
      </c>
      <c r="K205" s="801"/>
    </row>
    <row r="206" spans="1:19" s="832" customFormat="1" ht="14.25" customHeight="1">
      <c r="A206" s="823"/>
      <c r="B206" s="823"/>
      <c r="C206" s="824"/>
      <c r="D206" s="833" t="s">
        <v>832</v>
      </c>
      <c r="E206" s="837"/>
      <c r="F206" s="835"/>
      <c r="G206" s="828"/>
      <c r="H206" s="837">
        <v>2600</v>
      </c>
      <c r="I206" s="835">
        <v>0</v>
      </c>
      <c r="J206" s="836">
        <f>I206/H206</f>
        <v>0</v>
      </c>
      <c r="K206" s="831"/>
      <c r="S206" s="750"/>
    </row>
    <row r="207" spans="1:19" s="832" customFormat="1" ht="14.25" customHeight="1">
      <c r="A207" s="823"/>
      <c r="B207" s="823"/>
      <c r="C207" s="824"/>
      <c r="D207" s="833" t="s">
        <v>841</v>
      </c>
      <c r="E207" s="837"/>
      <c r="F207" s="835"/>
      <c r="G207" s="828"/>
      <c r="H207" s="837">
        <v>94830</v>
      </c>
      <c r="I207" s="835">
        <v>94830</v>
      </c>
      <c r="J207" s="836">
        <f>I207/H207</f>
        <v>1</v>
      </c>
      <c r="K207" s="831"/>
      <c r="S207" s="750" t="s">
        <v>1152</v>
      </c>
    </row>
    <row r="208" spans="1:19" s="832" customFormat="1" ht="14.25" customHeight="1">
      <c r="A208" s="823"/>
      <c r="B208" s="823"/>
      <c r="C208" s="824"/>
      <c r="D208" s="833"/>
      <c r="E208" s="837"/>
      <c r="F208" s="835"/>
      <c r="G208" s="828"/>
      <c r="H208" s="837"/>
      <c r="I208" s="835"/>
      <c r="J208" s="836"/>
      <c r="K208" s="831"/>
      <c r="S208" s="750"/>
    </row>
    <row r="209" spans="1:11" s="750" customFormat="1" ht="14.25" customHeight="1">
      <c r="A209" s="815"/>
      <c r="B209" s="816" t="s">
        <v>722</v>
      </c>
      <c r="C209" s="817" t="s">
        <v>842</v>
      </c>
      <c r="D209" s="818"/>
      <c r="E209" s="819"/>
      <c r="F209" s="819"/>
      <c r="G209" s="821"/>
      <c r="H209" s="819">
        <f>H210</f>
        <v>10000</v>
      </c>
      <c r="I209" s="820">
        <f>SUM(I210:I212)</f>
        <v>100000</v>
      </c>
      <c r="J209" s="822">
        <f>I209/H209</f>
        <v>10</v>
      </c>
      <c r="K209" s="801"/>
    </row>
    <row r="210" spans="1:19" s="832" customFormat="1" ht="14.25" customHeight="1">
      <c r="A210" s="823"/>
      <c r="B210" s="823"/>
      <c r="C210" s="824"/>
      <c r="D210" s="833" t="s">
        <v>843</v>
      </c>
      <c r="E210" s="837"/>
      <c r="F210" s="835"/>
      <c r="G210" s="828"/>
      <c r="H210" s="837">
        <v>10000</v>
      </c>
      <c r="I210" s="835">
        <v>0</v>
      </c>
      <c r="J210" s="836">
        <v>0</v>
      </c>
      <c r="K210" s="831"/>
      <c r="S210" s="750"/>
    </row>
    <row r="211" spans="1:19" s="832" customFormat="1" ht="14.25" customHeight="1">
      <c r="A211" s="823"/>
      <c r="B211" s="823"/>
      <c r="C211" s="824"/>
      <c r="D211" s="833" t="s">
        <v>844</v>
      </c>
      <c r="E211" s="837"/>
      <c r="F211" s="835"/>
      <c r="G211" s="828"/>
      <c r="H211" s="837">
        <v>0</v>
      </c>
      <c r="I211" s="835">
        <f>50000+50000</f>
        <v>100000</v>
      </c>
      <c r="J211" s="836">
        <v>0</v>
      </c>
      <c r="K211" s="831"/>
      <c r="S211" s="750" t="s">
        <v>1152</v>
      </c>
    </row>
    <row r="212" spans="1:19" s="832" customFormat="1" ht="14.25" customHeight="1" hidden="1">
      <c r="A212" s="823"/>
      <c r="B212" s="823"/>
      <c r="C212" s="824"/>
      <c r="D212" s="833"/>
      <c r="E212" s="837"/>
      <c r="F212" s="835"/>
      <c r="G212" s="828"/>
      <c r="H212" s="837"/>
      <c r="I212" s="835"/>
      <c r="J212" s="836"/>
      <c r="K212" s="831"/>
      <c r="S212" s="750"/>
    </row>
    <row r="213" spans="1:19" s="832" customFormat="1" ht="14.25" customHeight="1">
      <c r="A213" s="823"/>
      <c r="B213" s="823"/>
      <c r="C213" s="824"/>
      <c r="D213" s="833"/>
      <c r="E213" s="837"/>
      <c r="F213" s="835"/>
      <c r="G213" s="828"/>
      <c r="H213" s="837"/>
      <c r="I213" s="835"/>
      <c r="J213" s="836"/>
      <c r="K213" s="831"/>
      <c r="S213" s="750"/>
    </row>
    <row r="214" spans="1:11" s="750" customFormat="1" ht="14.25" customHeight="1">
      <c r="A214" s="808" t="s">
        <v>845</v>
      </c>
      <c r="B214" s="809" t="s">
        <v>846</v>
      </c>
      <c r="C214" s="809"/>
      <c r="D214" s="810"/>
      <c r="E214" s="811">
        <f>E215+E222</f>
        <v>21235</v>
      </c>
      <c r="F214" s="811">
        <f>F215+F222</f>
        <v>126622</v>
      </c>
      <c r="G214" s="851">
        <f aca="true" t="shared" si="6" ref="G214:G225">F214/E214</f>
        <v>5.962891452790205</v>
      </c>
      <c r="H214" s="811"/>
      <c r="I214" s="811"/>
      <c r="J214" s="814"/>
      <c r="K214" s="801"/>
    </row>
    <row r="215" spans="1:11" s="750" customFormat="1" ht="14.25" customHeight="1">
      <c r="A215" s="815"/>
      <c r="B215" s="816" t="s">
        <v>697</v>
      </c>
      <c r="C215" s="817" t="s">
        <v>847</v>
      </c>
      <c r="D215" s="818"/>
      <c r="E215" s="819">
        <f>E216+E217+E218</f>
        <v>20935</v>
      </c>
      <c r="F215" s="819">
        <f>SUM(F216:F221)</f>
        <v>126522</v>
      </c>
      <c r="G215" s="852">
        <f t="shared" si="6"/>
        <v>6.043563410556485</v>
      </c>
      <c r="H215" s="819"/>
      <c r="I215" s="820"/>
      <c r="J215" s="822"/>
      <c r="K215" s="801"/>
    </row>
    <row r="216" spans="1:19" s="832" customFormat="1" ht="14.25" customHeight="1">
      <c r="A216" s="823"/>
      <c r="B216" s="823"/>
      <c r="C216" s="824"/>
      <c r="D216" s="833" t="s">
        <v>848</v>
      </c>
      <c r="E216" s="835">
        <v>2500</v>
      </c>
      <c r="F216" s="835">
        <v>2000</v>
      </c>
      <c r="G216" s="834">
        <f t="shared" si="6"/>
        <v>0.8</v>
      </c>
      <c r="H216" s="837"/>
      <c r="I216" s="835"/>
      <c r="J216" s="836"/>
      <c r="K216" s="831"/>
      <c r="S216" s="750" t="s">
        <v>1153</v>
      </c>
    </row>
    <row r="217" spans="1:19" s="832" customFormat="1" ht="14.25" customHeight="1">
      <c r="A217" s="823"/>
      <c r="B217" s="823"/>
      <c r="C217" s="824"/>
      <c r="D217" s="833" t="s">
        <v>849</v>
      </c>
      <c r="E217" s="835">
        <v>1000</v>
      </c>
      <c r="F217" s="835">
        <v>800</v>
      </c>
      <c r="G217" s="834">
        <f t="shared" si="6"/>
        <v>0.8</v>
      </c>
      <c r="H217" s="837"/>
      <c r="I217" s="835"/>
      <c r="J217" s="836"/>
      <c r="K217" s="831"/>
      <c r="S217" s="750" t="s">
        <v>1153</v>
      </c>
    </row>
    <row r="218" spans="1:19" s="832" customFormat="1" ht="14.25" customHeight="1">
      <c r="A218" s="823"/>
      <c r="B218" s="823"/>
      <c r="C218" s="824"/>
      <c r="D218" s="833" t="s">
        <v>850</v>
      </c>
      <c r="E218" s="835">
        <v>17435</v>
      </c>
      <c r="F218" s="835">
        <v>0</v>
      </c>
      <c r="G218" s="834">
        <v>0</v>
      </c>
      <c r="H218" s="837"/>
      <c r="I218" s="835"/>
      <c r="J218" s="830"/>
      <c r="K218" s="831"/>
      <c r="S218" s="750"/>
    </row>
    <row r="219" spans="1:19" s="832" customFormat="1" ht="14.25" customHeight="1">
      <c r="A219" s="823"/>
      <c r="B219" s="823"/>
      <c r="C219" s="824"/>
      <c r="D219" s="833" t="s">
        <v>851</v>
      </c>
      <c r="E219" s="837">
        <v>0</v>
      </c>
      <c r="F219" s="835">
        <v>100000</v>
      </c>
      <c r="G219" s="834">
        <v>0</v>
      </c>
      <c r="H219" s="837"/>
      <c r="I219" s="835"/>
      <c r="J219" s="830"/>
      <c r="K219" s="831"/>
      <c r="S219" s="750" t="s">
        <v>1152</v>
      </c>
    </row>
    <row r="220" spans="1:19" s="832" customFormat="1" ht="14.25" customHeight="1">
      <c r="A220" s="823"/>
      <c r="B220" s="823"/>
      <c r="C220" s="824"/>
      <c r="D220" s="833" t="s">
        <v>852</v>
      </c>
      <c r="E220" s="837">
        <v>0</v>
      </c>
      <c r="F220" s="835">
        <v>23722</v>
      </c>
      <c r="G220" s="834">
        <v>0</v>
      </c>
      <c r="H220" s="837"/>
      <c r="I220" s="835"/>
      <c r="J220" s="830"/>
      <c r="K220" s="831"/>
      <c r="S220" s="750" t="s">
        <v>1152</v>
      </c>
    </row>
    <row r="221" spans="1:19" s="832" customFormat="1" ht="14.25" customHeight="1">
      <c r="A221" s="823"/>
      <c r="B221" s="823"/>
      <c r="C221" s="824"/>
      <c r="D221" s="833"/>
      <c r="E221" s="837"/>
      <c r="F221" s="835"/>
      <c r="G221" s="834"/>
      <c r="H221" s="837"/>
      <c r="I221" s="835"/>
      <c r="J221" s="830"/>
      <c r="K221" s="831"/>
      <c r="S221" s="750"/>
    </row>
    <row r="222" spans="1:11" s="750" customFormat="1" ht="14.25" customHeight="1">
      <c r="A222" s="815"/>
      <c r="B222" s="816" t="s">
        <v>722</v>
      </c>
      <c r="C222" s="817" t="s">
        <v>853</v>
      </c>
      <c r="D222" s="818"/>
      <c r="E222" s="819">
        <f>E223+E224</f>
        <v>300</v>
      </c>
      <c r="F222" s="819">
        <f>F223+F224</f>
        <v>100</v>
      </c>
      <c r="G222" s="852">
        <f t="shared" si="6"/>
        <v>0.3333333333333333</v>
      </c>
      <c r="H222" s="819"/>
      <c r="I222" s="820"/>
      <c r="J222" s="822"/>
      <c r="K222" s="801"/>
    </row>
    <row r="223" spans="1:19" s="832" customFormat="1" ht="14.25" customHeight="1">
      <c r="A223" s="823"/>
      <c r="B223" s="823"/>
      <c r="C223" s="824"/>
      <c r="D223" s="833" t="s">
        <v>854</v>
      </c>
      <c r="E223" s="837">
        <v>300</v>
      </c>
      <c r="F223" s="835">
        <v>100</v>
      </c>
      <c r="G223" s="834">
        <f t="shared" si="6"/>
        <v>0.3333333333333333</v>
      </c>
      <c r="H223" s="837"/>
      <c r="I223" s="835"/>
      <c r="J223" s="836"/>
      <c r="K223" s="831"/>
      <c r="S223" s="750" t="s">
        <v>1152</v>
      </c>
    </row>
    <row r="224" spans="1:19" s="832" customFormat="1" ht="14.25" customHeight="1" thickBot="1">
      <c r="A224" s="823"/>
      <c r="B224" s="823"/>
      <c r="C224" s="824"/>
      <c r="D224" s="833"/>
      <c r="E224" s="837"/>
      <c r="F224" s="835"/>
      <c r="G224" s="834"/>
      <c r="H224" s="837"/>
      <c r="I224" s="835"/>
      <c r="J224" s="836"/>
      <c r="K224" s="831"/>
      <c r="S224" s="750"/>
    </row>
    <row r="225" spans="1:19" s="870" customFormat="1" ht="14.25" customHeight="1" thickBot="1">
      <c r="A225" s="1466" t="s">
        <v>855</v>
      </c>
      <c r="B225" s="1467"/>
      <c r="C225" s="1467"/>
      <c r="D225" s="1468"/>
      <c r="E225" s="865">
        <f>E11+E73+E105+E131+E197+E204+E214</f>
        <v>2577509</v>
      </c>
      <c r="F225" s="865">
        <f>F11+F73+F105+F131+F197+F204+F214</f>
        <v>2512562</v>
      </c>
      <c r="G225" s="866">
        <f t="shared" si="6"/>
        <v>0.9748024158208565</v>
      </c>
      <c r="H225" s="867">
        <f>H11+H73+H105+H131+H197+H204+H214</f>
        <v>5585113</v>
      </c>
      <c r="I225" s="865">
        <f>I11+I73+I105+I131+I197+I204+I214</f>
        <v>6944998</v>
      </c>
      <c r="J225" s="866">
        <f>I225/H225</f>
        <v>1.2434838829581425</v>
      </c>
      <c r="K225" s="868"/>
      <c r="L225" s="869">
        <f>F225+I225</f>
        <v>9457560</v>
      </c>
      <c r="S225" s="1012"/>
    </row>
    <row r="226" spans="1:12" s="750" customFormat="1" ht="14.25" customHeight="1">
      <c r="A226" s="808" t="s">
        <v>856</v>
      </c>
      <c r="B226" s="809" t="s">
        <v>857</v>
      </c>
      <c r="C226" s="809"/>
      <c r="D226" s="810"/>
      <c r="E226" s="811">
        <f aca="true" t="shared" si="7" ref="E226:I228">E227</f>
        <v>19994</v>
      </c>
      <c r="F226" s="811">
        <f t="shared" si="7"/>
        <v>0</v>
      </c>
      <c r="G226" s="851">
        <v>0</v>
      </c>
      <c r="H226" s="811">
        <f t="shared" si="7"/>
        <v>145131</v>
      </c>
      <c r="I226" s="811">
        <f t="shared" si="7"/>
        <v>1202332</v>
      </c>
      <c r="J226" s="871">
        <f>I226/H226</f>
        <v>8.284460246260275</v>
      </c>
      <c r="K226" s="801"/>
      <c r="L226" s="869"/>
    </row>
    <row r="227" spans="1:12" s="750" customFormat="1" ht="14.25" customHeight="1">
      <c r="A227" s="815"/>
      <c r="B227" s="816" t="s">
        <v>697</v>
      </c>
      <c r="C227" s="817" t="s">
        <v>858</v>
      </c>
      <c r="D227" s="818"/>
      <c r="E227" s="819">
        <f t="shared" si="7"/>
        <v>19994</v>
      </c>
      <c r="F227" s="819">
        <f t="shared" si="7"/>
        <v>0</v>
      </c>
      <c r="G227" s="852">
        <v>0</v>
      </c>
      <c r="H227" s="819">
        <f t="shared" si="7"/>
        <v>145131</v>
      </c>
      <c r="I227" s="819">
        <f>I228+I234</f>
        <v>1202332</v>
      </c>
      <c r="J227" s="822">
        <f>I227/H227</f>
        <v>8.284460246260275</v>
      </c>
      <c r="K227" s="801"/>
      <c r="L227" s="869"/>
    </row>
    <row r="228" spans="1:19" s="832" customFormat="1" ht="14.25" customHeight="1">
      <c r="A228" s="823"/>
      <c r="B228" s="823"/>
      <c r="C228" s="824" t="s">
        <v>699</v>
      </c>
      <c r="D228" s="825" t="s">
        <v>859</v>
      </c>
      <c r="E228" s="838">
        <f t="shared" si="7"/>
        <v>19994</v>
      </c>
      <c r="F228" s="838">
        <f t="shared" si="7"/>
        <v>0</v>
      </c>
      <c r="G228" s="828">
        <v>0</v>
      </c>
      <c r="H228" s="838">
        <f t="shared" si="7"/>
        <v>145131</v>
      </c>
      <c r="I228" s="838">
        <f t="shared" si="7"/>
        <v>452332</v>
      </c>
      <c r="J228" s="830">
        <f>I228/H228</f>
        <v>3.116715243469693</v>
      </c>
      <c r="K228" s="831"/>
      <c r="L228" s="869"/>
      <c r="S228" s="750"/>
    </row>
    <row r="229" spans="1:19" s="832" customFormat="1" ht="14.25" customHeight="1">
      <c r="A229" s="823"/>
      <c r="B229" s="823"/>
      <c r="C229" s="824"/>
      <c r="D229" s="872" t="s">
        <v>860</v>
      </c>
      <c r="E229" s="873">
        <f>SUM(E230:E237)</f>
        <v>19994</v>
      </c>
      <c r="F229" s="873">
        <f>SUM(F230:F237)</f>
        <v>0</v>
      </c>
      <c r="G229" s="874">
        <v>0</v>
      </c>
      <c r="H229" s="873">
        <f>SUM(H230:H237)</f>
        <v>145131</v>
      </c>
      <c r="I229" s="873">
        <f>SUM(I230:I233)</f>
        <v>452332</v>
      </c>
      <c r="J229" s="875">
        <f>I229/H229</f>
        <v>3.116715243469693</v>
      </c>
      <c r="K229" s="831"/>
      <c r="L229" s="869"/>
      <c r="S229" s="750"/>
    </row>
    <row r="230" spans="1:19" s="832" customFormat="1" ht="31.5">
      <c r="A230" s="823"/>
      <c r="B230" s="823"/>
      <c r="C230" s="824"/>
      <c r="D230" s="855" t="s">
        <v>861</v>
      </c>
      <c r="E230" s="858">
        <v>19994</v>
      </c>
      <c r="F230" s="859">
        <v>0</v>
      </c>
      <c r="G230" s="860">
        <v>0</v>
      </c>
      <c r="H230" s="873"/>
      <c r="I230" s="873"/>
      <c r="J230" s="875"/>
      <c r="K230" s="831"/>
      <c r="L230" s="869"/>
      <c r="S230" s="750"/>
    </row>
    <row r="231" spans="1:19" s="832" customFormat="1" ht="14.25" customHeight="1">
      <c r="A231" s="823"/>
      <c r="B231" s="823"/>
      <c r="C231" s="824"/>
      <c r="D231" s="833" t="s">
        <v>862</v>
      </c>
      <c r="E231" s="837"/>
      <c r="F231" s="835"/>
      <c r="G231" s="834"/>
      <c r="H231" s="837">
        <v>143802</v>
      </c>
      <c r="I231" s="835">
        <v>0</v>
      </c>
      <c r="J231" s="836">
        <v>0</v>
      </c>
      <c r="K231" s="831"/>
      <c r="L231" s="869"/>
      <c r="S231" s="750"/>
    </row>
    <row r="232" spans="1:19" s="832" customFormat="1" ht="14.25" customHeight="1">
      <c r="A232" s="823"/>
      <c r="B232" s="823"/>
      <c r="C232" s="824"/>
      <c r="D232" s="855" t="s">
        <v>863</v>
      </c>
      <c r="E232" s="858"/>
      <c r="F232" s="859"/>
      <c r="G232" s="860"/>
      <c r="H232" s="837">
        <v>1329</v>
      </c>
      <c r="I232" s="859">
        <v>0</v>
      </c>
      <c r="J232" s="836">
        <v>0</v>
      </c>
      <c r="K232" s="831"/>
      <c r="L232" s="869"/>
      <c r="S232" s="750"/>
    </row>
    <row r="233" spans="1:19" s="832" customFormat="1" ht="14.25" customHeight="1">
      <c r="A233" s="823"/>
      <c r="B233" s="823"/>
      <c r="C233" s="824"/>
      <c r="D233" s="855" t="s">
        <v>864</v>
      </c>
      <c r="E233" s="858"/>
      <c r="F233" s="859"/>
      <c r="G233" s="860"/>
      <c r="H233" s="837">
        <v>0</v>
      </c>
      <c r="I233" s="859">
        <f>152014+300318</f>
        <v>452332</v>
      </c>
      <c r="J233" s="836">
        <v>0</v>
      </c>
      <c r="K233" s="831"/>
      <c r="L233" s="869"/>
      <c r="S233" s="750" t="s">
        <v>1152</v>
      </c>
    </row>
    <row r="234" spans="1:19" s="832" customFormat="1" ht="14.25" customHeight="1">
      <c r="A234" s="823"/>
      <c r="B234" s="823"/>
      <c r="C234" s="824" t="s">
        <v>703</v>
      </c>
      <c r="D234" s="825" t="s">
        <v>1185</v>
      </c>
      <c r="E234" s="838"/>
      <c r="F234" s="838"/>
      <c r="G234" s="828"/>
      <c r="H234" s="838"/>
      <c r="I234" s="838">
        <f>I235</f>
        <v>750000</v>
      </c>
      <c r="J234" s="830"/>
      <c r="K234" s="831"/>
      <c r="L234" s="869"/>
      <c r="S234" s="750"/>
    </row>
    <row r="235" spans="1:19" s="832" customFormat="1" ht="14.25" customHeight="1">
      <c r="A235" s="823"/>
      <c r="B235" s="823"/>
      <c r="C235" s="824"/>
      <c r="D235" s="849" t="s">
        <v>1186</v>
      </c>
      <c r="E235" s="858"/>
      <c r="F235" s="859"/>
      <c r="G235" s="860"/>
      <c r="H235" s="837"/>
      <c r="I235" s="859">
        <v>750000</v>
      </c>
      <c r="J235" s="836"/>
      <c r="K235" s="831"/>
      <c r="L235" s="869"/>
      <c r="S235" s="750"/>
    </row>
    <row r="236" spans="1:19" s="832" customFormat="1" ht="14.25" customHeight="1">
      <c r="A236" s="823"/>
      <c r="B236" s="823"/>
      <c r="C236" s="824"/>
      <c r="D236" s="855"/>
      <c r="E236" s="858"/>
      <c r="F236" s="859"/>
      <c r="G236" s="860"/>
      <c r="H236" s="837"/>
      <c r="I236" s="859"/>
      <c r="J236" s="836"/>
      <c r="K236" s="831"/>
      <c r="L236" s="869"/>
      <c r="S236" s="750"/>
    </row>
    <row r="237" spans="1:19" s="832" customFormat="1" ht="14.25" customHeight="1" thickBot="1">
      <c r="A237" s="823"/>
      <c r="B237" s="823"/>
      <c r="C237" s="824"/>
      <c r="D237" s="833"/>
      <c r="E237" s="837"/>
      <c r="F237" s="835"/>
      <c r="G237" s="860"/>
      <c r="H237" s="837"/>
      <c r="I237" s="835"/>
      <c r="J237" s="836"/>
      <c r="K237" s="831"/>
      <c r="L237" s="869"/>
      <c r="S237" s="750"/>
    </row>
    <row r="238" spans="1:20" s="870" customFormat="1" ht="15" customHeight="1" thickBot="1">
      <c r="A238" s="1469" t="s">
        <v>865</v>
      </c>
      <c r="B238" s="1470"/>
      <c r="C238" s="1470"/>
      <c r="D238" s="1471"/>
      <c r="E238" s="867">
        <f>E225+E226</f>
        <v>2597503</v>
      </c>
      <c r="F238" s="867">
        <f>F225+F226</f>
        <v>2512562</v>
      </c>
      <c r="G238" s="876">
        <f>F238/E238</f>
        <v>0.9672989790579645</v>
      </c>
      <c r="H238" s="867">
        <f>H225+H226</f>
        <v>5730244</v>
      </c>
      <c r="I238" s="867">
        <f>I225+I226</f>
        <v>8147330</v>
      </c>
      <c r="J238" s="876">
        <f>I238/H238</f>
        <v>1.4218120554726814</v>
      </c>
      <c r="L238" s="869">
        <f>F238+I238</f>
        <v>10659892</v>
      </c>
      <c r="M238" s="877"/>
      <c r="S238" s="1012"/>
      <c r="T238" s="869">
        <f>F238+I238</f>
        <v>10659892</v>
      </c>
    </row>
    <row r="239" ht="15.75">
      <c r="L239" s="869"/>
    </row>
    <row r="240" spans="9:20" ht="15.75">
      <c r="I240" s="759">
        <f>I13+I22+I27+I35+I39+I49+F81+I110+I114+I125+I136+I137+I138+I139+I151+I154+I172+I179+I181+I183+I189+I193+F198+I205+I209+F219+F220+F223+I233+I235</f>
        <v>10651092</v>
      </c>
      <c r="J240" s="836" t="s">
        <v>1152</v>
      </c>
      <c r="T240" s="795">
        <f>'9.1'!C90</f>
        <v>10651092</v>
      </c>
    </row>
    <row r="241" spans="9:20" ht="15.75">
      <c r="I241" s="759">
        <f>F217+F216+I135</f>
        <v>8800</v>
      </c>
      <c r="J241" s="836" t="s">
        <v>1153</v>
      </c>
      <c r="T241" s="795">
        <f>'9.2'!C90</f>
        <v>8800</v>
      </c>
    </row>
    <row r="242" spans="9:10" ht="15.75">
      <c r="I242" s="758"/>
      <c r="J242" s="836" t="s">
        <v>1154</v>
      </c>
    </row>
    <row r="243" spans="9:10" ht="15.75">
      <c r="I243" s="759">
        <f>SUM(I240:I242)</f>
        <v>10659892</v>
      </c>
      <c r="J243" s="759">
        <f>T238-I243</f>
        <v>0</v>
      </c>
    </row>
  </sheetData>
  <sheetProtection/>
  <mergeCells count="10">
    <mergeCell ref="G8:G9"/>
    <mergeCell ref="J8:J9"/>
    <mergeCell ref="A225:D225"/>
    <mergeCell ref="A238:D238"/>
    <mergeCell ref="A1:J1"/>
    <mergeCell ref="A3:J3"/>
    <mergeCell ref="A4:J4"/>
    <mergeCell ref="A5:J5"/>
    <mergeCell ref="E7:G7"/>
    <mergeCell ref="H7:J7"/>
  </mergeCells>
  <printOptions/>
  <pageMargins left="0.7" right="0.7" top="0.75" bottom="0.75" header="0.3" footer="0.3"/>
  <pageSetup horizontalDpi="600" verticalDpi="600" orientation="landscape" paperSize="9" scale="72" r:id="rId2"/>
  <rowBreaks count="2" manualBreakCount="2">
    <brk id="104" max="16" man="1"/>
    <brk id="213" max="16" man="1"/>
  </rowBreaks>
  <colBreaks count="1" manualBreakCount="1">
    <brk id="18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42"/>
  <sheetViews>
    <sheetView zoomScalePageLayoutView="0" workbookViewId="0" topLeftCell="D1">
      <pane ySplit="2910" topLeftCell="A122" activePane="bottomLeft" state="split"/>
      <selection pane="topLeft" activeCell="P6" sqref="P6:R6"/>
      <selection pane="bottomLeft" activeCell="X130" sqref="X130"/>
    </sheetView>
  </sheetViews>
  <sheetFormatPr defaultColWidth="9.375" defaultRowHeight="12.75"/>
  <cols>
    <col min="1" max="1" width="2.375" style="879" customWidth="1"/>
    <col min="2" max="2" width="2.50390625" style="881" customWidth="1"/>
    <col min="3" max="3" width="32.875" style="966" customWidth="1"/>
    <col min="4" max="5" width="10.00390625" style="879" customWidth="1"/>
    <col min="6" max="6" width="8.375" style="967" bestFit="1" customWidth="1"/>
    <col min="7" max="7" width="9.625" style="879" customWidth="1"/>
    <col min="8" max="8" width="9.375" style="879" customWidth="1"/>
    <col min="9" max="9" width="8.125" style="967" customWidth="1"/>
    <col min="10" max="10" width="11.00390625" style="879" bestFit="1" customWidth="1"/>
    <col min="11" max="11" width="12.625" style="879" bestFit="1" customWidth="1"/>
    <col min="12" max="12" width="8.875" style="967" customWidth="1"/>
    <col min="13" max="13" width="9.00390625" style="879" customWidth="1"/>
    <col min="14" max="14" width="8.875" style="879" customWidth="1"/>
    <col min="15" max="15" width="8.125" style="967" customWidth="1"/>
    <col min="16" max="16" width="10.875" style="879" customWidth="1"/>
    <col min="17" max="17" width="12.625" style="879" bestFit="1" customWidth="1"/>
    <col min="18" max="18" width="8.625" style="967" customWidth="1"/>
    <col min="19" max="20" width="10.00390625" style="879" customWidth="1"/>
    <col min="21" max="21" width="8.625" style="967" bestFit="1" customWidth="1"/>
    <col min="22" max="22" width="11.00390625" style="879" bestFit="1" customWidth="1"/>
    <col min="23" max="23" width="12.625" style="879" bestFit="1" customWidth="1"/>
    <col min="24" max="24" width="8.875" style="967" customWidth="1"/>
    <col min="25" max="16384" width="9.375" style="879" customWidth="1"/>
  </cols>
  <sheetData>
    <row r="1" spans="2:24" s="878" customFormat="1" ht="9" customHeight="1">
      <c r="B1" s="1483" t="s">
        <v>866</v>
      </c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3"/>
      <c r="O1" s="1483"/>
      <c r="P1" s="1483"/>
      <c r="Q1" s="1483"/>
      <c r="R1" s="1483"/>
      <c r="S1" s="1483"/>
      <c r="T1" s="1483"/>
      <c r="U1" s="1483"/>
      <c r="V1" s="1483"/>
      <c r="W1" s="1483"/>
      <c r="X1" s="1484"/>
    </row>
    <row r="2" spans="2:24" ht="15" customHeight="1">
      <c r="B2" s="1485" t="s">
        <v>867</v>
      </c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  <c r="N2" s="1485"/>
      <c r="O2" s="1485"/>
      <c r="P2" s="1485"/>
      <c r="Q2" s="1485"/>
      <c r="R2" s="1485"/>
      <c r="S2" s="1485"/>
      <c r="T2" s="1485"/>
      <c r="U2" s="1485"/>
      <c r="V2" s="1485"/>
      <c r="W2" s="1485"/>
      <c r="X2" s="1485"/>
    </row>
    <row r="3" spans="2:24" s="880" customFormat="1" ht="15" customHeight="1">
      <c r="B3" s="1486" t="s">
        <v>868</v>
      </c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</row>
    <row r="4" spans="2:24" s="881" customFormat="1" ht="12.75" customHeight="1" thickBot="1">
      <c r="B4" s="1487" t="s">
        <v>869</v>
      </c>
      <c r="C4" s="1487"/>
      <c r="D4" s="1487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487"/>
      <c r="X4" s="1488"/>
    </row>
    <row r="5" spans="2:24" s="882" customFormat="1" ht="24" customHeight="1">
      <c r="B5" s="883"/>
      <c r="C5" s="884"/>
      <c r="D5" s="1489" t="s">
        <v>870</v>
      </c>
      <c r="E5" s="1490"/>
      <c r="F5" s="1491"/>
      <c r="G5" s="1489" t="s">
        <v>871</v>
      </c>
      <c r="H5" s="1490"/>
      <c r="I5" s="1491"/>
      <c r="J5" s="1489" t="s">
        <v>872</v>
      </c>
      <c r="K5" s="1490"/>
      <c r="L5" s="1491"/>
      <c r="M5" s="1489" t="s">
        <v>873</v>
      </c>
      <c r="N5" s="1490"/>
      <c r="O5" s="1491"/>
      <c r="P5" s="1492" t="s">
        <v>874</v>
      </c>
      <c r="Q5" s="1493"/>
      <c r="R5" s="1493"/>
      <c r="S5" s="1493"/>
      <c r="T5" s="1493"/>
      <c r="U5" s="1494"/>
      <c r="V5" s="1489" t="s">
        <v>875</v>
      </c>
      <c r="W5" s="1490"/>
      <c r="X5" s="1491"/>
    </row>
    <row r="6" spans="2:24" s="882" customFormat="1" ht="57" customHeight="1">
      <c r="B6" s="885"/>
      <c r="C6" s="886"/>
      <c r="D6" s="1480"/>
      <c r="E6" s="1481"/>
      <c r="F6" s="1482"/>
      <c r="G6" s="1480"/>
      <c r="H6" s="1481"/>
      <c r="I6" s="1482"/>
      <c r="J6" s="1480"/>
      <c r="K6" s="1481"/>
      <c r="L6" s="1482"/>
      <c r="M6" s="1480"/>
      <c r="N6" s="1481"/>
      <c r="O6" s="1482"/>
      <c r="P6" s="1480" t="s">
        <v>876</v>
      </c>
      <c r="Q6" s="1481"/>
      <c r="R6" s="1482"/>
      <c r="S6" s="1480" t="s">
        <v>877</v>
      </c>
      <c r="T6" s="1481"/>
      <c r="U6" s="1482"/>
      <c r="V6" s="1495"/>
      <c r="W6" s="1496"/>
      <c r="X6" s="1497"/>
    </row>
    <row r="7" spans="2:24" s="887" customFormat="1" ht="11.25" customHeight="1">
      <c r="B7" s="888"/>
      <c r="C7" s="889"/>
      <c r="D7" s="890" t="s">
        <v>691</v>
      </c>
      <c r="E7" s="891" t="s">
        <v>692</v>
      </c>
      <c r="F7" s="1478" t="s">
        <v>693</v>
      </c>
      <c r="G7" s="892" t="str">
        <f>D7</f>
        <v>2014. évi</v>
      </c>
      <c r="H7" s="891" t="str">
        <f aca="true" t="shared" si="0" ref="H7:N7">E7</f>
        <v>2015. évi</v>
      </c>
      <c r="I7" s="1478" t="s">
        <v>693</v>
      </c>
      <c r="J7" s="892" t="str">
        <f t="shared" si="0"/>
        <v>2014. évi</v>
      </c>
      <c r="K7" s="891" t="str">
        <f t="shared" si="0"/>
        <v>2015. évi</v>
      </c>
      <c r="L7" s="1478" t="s">
        <v>693</v>
      </c>
      <c r="M7" s="892" t="str">
        <f t="shared" si="0"/>
        <v>2014. évi</v>
      </c>
      <c r="N7" s="893" t="str">
        <f t="shared" si="0"/>
        <v>2015. évi</v>
      </c>
      <c r="O7" s="1478" t="s">
        <v>693</v>
      </c>
      <c r="P7" s="892" t="str">
        <f>D7</f>
        <v>2014. évi</v>
      </c>
      <c r="Q7" s="891" t="str">
        <f>K7</f>
        <v>2015. évi</v>
      </c>
      <c r="R7" s="1478" t="s">
        <v>693</v>
      </c>
      <c r="S7" s="892" t="str">
        <f>D7</f>
        <v>2014. évi</v>
      </c>
      <c r="T7" s="891" t="str">
        <f>Q7</f>
        <v>2015. évi</v>
      </c>
      <c r="U7" s="1478" t="s">
        <v>693</v>
      </c>
      <c r="V7" s="892" t="str">
        <f>G7</f>
        <v>2014. évi</v>
      </c>
      <c r="W7" s="894" t="str">
        <f>T7</f>
        <v>2015. évi</v>
      </c>
      <c r="X7" s="1478" t="s">
        <v>693</v>
      </c>
    </row>
    <row r="8" spans="2:24" s="882" customFormat="1" ht="9.75" customHeight="1" thickBot="1">
      <c r="B8" s="895"/>
      <c r="C8" s="896"/>
      <c r="D8" s="897" t="s">
        <v>694</v>
      </c>
      <c r="E8" s="898" t="s">
        <v>694</v>
      </c>
      <c r="F8" s="1479"/>
      <c r="G8" s="897" t="s">
        <v>694</v>
      </c>
      <c r="H8" s="899" t="str">
        <f>E8</f>
        <v>terv</v>
      </c>
      <c r="I8" s="1479"/>
      <c r="J8" s="897" t="s">
        <v>694</v>
      </c>
      <c r="K8" s="899" t="str">
        <f>H8</f>
        <v>terv</v>
      </c>
      <c r="L8" s="1479"/>
      <c r="M8" s="897" t="str">
        <f>J8</f>
        <v>terv</v>
      </c>
      <c r="N8" s="900" t="str">
        <f>K8</f>
        <v>terv</v>
      </c>
      <c r="O8" s="1479"/>
      <c r="P8" s="897" t="s">
        <v>694</v>
      </c>
      <c r="Q8" s="899" t="str">
        <f>K8</f>
        <v>terv</v>
      </c>
      <c r="R8" s="1479"/>
      <c r="S8" s="897" t="s">
        <v>694</v>
      </c>
      <c r="T8" s="899" t="str">
        <f>Q8</f>
        <v>terv</v>
      </c>
      <c r="U8" s="1479"/>
      <c r="V8" s="897" t="s">
        <v>694</v>
      </c>
      <c r="W8" s="901" t="str">
        <f>T8</f>
        <v>terv</v>
      </c>
      <c r="X8" s="1479"/>
    </row>
    <row r="9" spans="2:24" s="882" customFormat="1" ht="11.25" customHeight="1">
      <c r="B9" s="902" t="s">
        <v>17</v>
      </c>
      <c r="C9" s="903" t="str">
        <f>'[2]2'!B7</f>
        <v>Városüzemeltetés</v>
      </c>
      <c r="D9" s="904"/>
      <c r="E9" s="905"/>
      <c r="F9" s="906"/>
      <c r="G9" s="904"/>
      <c r="H9" s="905"/>
      <c r="I9" s="906"/>
      <c r="J9" s="904"/>
      <c r="K9" s="905"/>
      <c r="L9" s="906"/>
      <c r="M9" s="904"/>
      <c r="N9" s="905"/>
      <c r="O9" s="906"/>
      <c r="P9" s="904"/>
      <c r="Q9" s="905"/>
      <c r="R9" s="906"/>
      <c r="S9" s="904"/>
      <c r="T9" s="905"/>
      <c r="U9" s="906"/>
      <c r="V9" s="905"/>
      <c r="W9" s="905"/>
      <c r="X9" s="906"/>
    </row>
    <row r="10" spans="1:24" s="907" customFormat="1" ht="14.25" customHeight="1">
      <c r="A10" s="907" t="s">
        <v>1152</v>
      </c>
      <c r="B10" s="908"/>
      <c r="C10" s="909" t="str">
        <f>'[2]2'!B8</f>
        <v>2/A melléklet szerint</v>
      </c>
      <c r="D10" s="910">
        <v>29679</v>
      </c>
      <c r="E10" s="910">
        <f>49796+11154</f>
        <v>60950</v>
      </c>
      <c r="F10" s="860">
        <f>E10/D10</f>
        <v>2.0536406213147345</v>
      </c>
      <c r="G10" s="910">
        <v>4007</v>
      </c>
      <c r="H10" s="910">
        <f>6723+1506</f>
        <v>8229</v>
      </c>
      <c r="I10" s="860">
        <f>H10/G10</f>
        <v>2.053656101821812</v>
      </c>
      <c r="J10" s="910">
        <f>'[2]2a'!B26+12345</f>
        <v>929966</v>
      </c>
      <c r="K10" s="910">
        <f>966836+5028+5762</f>
        <v>977626</v>
      </c>
      <c r="L10" s="860">
        <f>K10/J10</f>
        <v>1.051249185454092</v>
      </c>
      <c r="M10" s="911"/>
      <c r="N10" s="910"/>
      <c r="O10" s="860"/>
      <c r="P10" s="911"/>
      <c r="Q10" s="910"/>
      <c r="R10" s="860"/>
      <c r="S10" s="911"/>
      <c r="T10" s="910"/>
      <c r="U10" s="860"/>
      <c r="V10" s="912">
        <f>D10+G10+J10+M10+P10+S10</f>
        <v>963652</v>
      </c>
      <c r="W10" s="913">
        <f>E10+H10+K10+N10+Q10+T10</f>
        <v>1046805</v>
      </c>
      <c r="X10" s="914">
        <f>W10/V10</f>
        <v>1.0862894488881878</v>
      </c>
    </row>
    <row r="11" spans="2:24" s="882" customFormat="1" ht="11.25" customHeight="1">
      <c r="B11" s="915" t="s">
        <v>18</v>
      </c>
      <c r="C11" s="916" t="str">
        <f>'[2]2'!B9</f>
        <v>Közművelődés</v>
      </c>
      <c r="D11" s="917"/>
      <c r="E11" s="917"/>
      <c r="F11" s="918"/>
      <c r="G11" s="919"/>
      <c r="H11" s="919"/>
      <c r="I11" s="918"/>
      <c r="J11" s="920"/>
      <c r="K11" s="920"/>
      <c r="L11" s="918"/>
      <c r="M11" s="921"/>
      <c r="N11" s="920"/>
      <c r="O11" s="918"/>
      <c r="P11" s="921"/>
      <c r="Q11" s="919"/>
      <c r="R11" s="918"/>
      <c r="S11" s="922"/>
      <c r="T11" s="919"/>
      <c r="U11" s="918"/>
      <c r="V11" s="920"/>
      <c r="W11" s="920"/>
      <c r="X11" s="923"/>
    </row>
    <row r="12" spans="1:24" s="924" customFormat="1" ht="13.5" customHeight="1">
      <c r="A12" s="924" t="s">
        <v>1153</v>
      </c>
      <c r="B12" s="908"/>
      <c r="C12" s="909" t="str">
        <f>'[2]2'!B10</f>
        <v>2/B melléklet szerint</v>
      </c>
      <c r="D12" s="910">
        <v>3450</v>
      </c>
      <c r="E12" s="910">
        <v>3260</v>
      </c>
      <c r="F12" s="860">
        <f>E12/D12</f>
        <v>0.9449275362318841</v>
      </c>
      <c r="G12" s="910"/>
      <c r="H12" s="910"/>
      <c r="I12" s="860"/>
      <c r="J12" s="910"/>
      <c r="K12" s="910"/>
      <c r="L12" s="860"/>
      <c r="M12" s="911">
        <v>3550</v>
      </c>
      <c r="N12" s="910">
        <v>2740</v>
      </c>
      <c r="O12" s="860">
        <f>N12/M12</f>
        <v>0.7718309859154929</v>
      </c>
      <c r="P12" s="911"/>
      <c r="Q12" s="910"/>
      <c r="R12" s="860"/>
      <c r="S12" s="910">
        <v>6500</v>
      </c>
      <c r="T12" s="910">
        <v>8000</v>
      </c>
      <c r="U12" s="860">
        <f>T12/S12</f>
        <v>1.2307692307692308</v>
      </c>
      <c r="V12" s="912">
        <f aca="true" t="shared" si="1" ref="V12:W23">D12+G12+J12+M12+P12+S12</f>
        <v>13500</v>
      </c>
      <c r="W12" s="913">
        <f t="shared" si="1"/>
        <v>14000</v>
      </c>
      <c r="X12" s="914">
        <f>W12/V12</f>
        <v>1.037037037037037</v>
      </c>
    </row>
    <row r="13" spans="1:24" s="924" customFormat="1" ht="25.5">
      <c r="A13" s="924" t="s">
        <v>1152</v>
      </c>
      <c r="B13" s="908"/>
      <c r="C13" s="925" t="s">
        <v>878</v>
      </c>
      <c r="D13" s="910"/>
      <c r="E13" s="910"/>
      <c r="F13" s="860"/>
      <c r="G13" s="910"/>
      <c r="H13" s="910"/>
      <c r="I13" s="860"/>
      <c r="J13" s="910"/>
      <c r="K13" s="910"/>
      <c r="L13" s="860"/>
      <c r="M13" s="911"/>
      <c r="N13" s="910"/>
      <c r="O13" s="860"/>
      <c r="P13" s="911"/>
      <c r="Q13" s="910"/>
      <c r="R13" s="860"/>
      <c r="S13" s="910">
        <v>35490</v>
      </c>
      <c r="T13" s="910">
        <v>26500</v>
      </c>
      <c r="U13" s="860">
        <f>T13/S13</f>
        <v>0.7466892082276698</v>
      </c>
      <c r="V13" s="912">
        <f t="shared" si="1"/>
        <v>35490</v>
      </c>
      <c r="W13" s="913">
        <f t="shared" si="1"/>
        <v>26500</v>
      </c>
      <c r="X13" s="914">
        <f>W13/V13</f>
        <v>0.7466892082276698</v>
      </c>
    </row>
    <row r="14" spans="1:24" s="924" customFormat="1" ht="12.75">
      <c r="A14" s="924" t="s">
        <v>1152</v>
      </c>
      <c r="B14" s="908"/>
      <c r="C14" s="925" t="s">
        <v>879</v>
      </c>
      <c r="D14" s="910"/>
      <c r="E14" s="910"/>
      <c r="F14" s="860"/>
      <c r="G14" s="910"/>
      <c r="H14" s="910"/>
      <c r="I14" s="860"/>
      <c r="J14" s="910"/>
      <c r="K14" s="910"/>
      <c r="L14" s="860"/>
      <c r="M14" s="911"/>
      <c r="N14" s="910"/>
      <c r="O14" s="860"/>
      <c r="P14" s="911"/>
      <c r="Q14" s="910"/>
      <c r="R14" s="860"/>
      <c r="S14" s="910">
        <v>0</v>
      </c>
      <c r="T14" s="910">
        <v>10424</v>
      </c>
      <c r="U14" s="860">
        <v>0</v>
      </c>
      <c r="V14" s="912">
        <f>D14+G14+J14+M14+P14+S14</f>
        <v>0</v>
      </c>
      <c r="W14" s="913">
        <f>E14+H14+K14+N14+Q14+T14</f>
        <v>10424</v>
      </c>
      <c r="X14" s="914">
        <v>0</v>
      </c>
    </row>
    <row r="15" spans="1:24" s="924" customFormat="1" ht="12" customHeight="1">
      <c r="A15" s="924" t="s">
        <v>1153</v>
      </c>
      <c r="B15" s="908"/>
      <c r="C15" s="925" t="s">
        <v>880</v>
      </c>
      <c r="D15" s="910"/>
      <c r="E15" s="910"/>
      <c r="F15" s="860"/>
      <c r="G15" s="910"/>
      <c r="H15" s="910"/>
      <c r="I15" s="860"/>
      <c r="J15" s="910"/>
      <c r="K15" s="910"/>
      <c r="L15" s="860"/>
      <c r="M15" s="911"/>
      <c r="N15" s="910"/>
      <c r="O15" s="860"/>
      <c r="P15" s="911"/>
      <c r="Q15" s="910"/>
      <c r="R15" s="860"/>
      <c r="S15" s="910">
        <v>42435</v>
      </c>
      <c r="T15" s="910">
        <f>55000-27500</f>
        <v>27500</v>
      </c>
      <c r="U15" s="860">
        <f>T15/S15</f>
        <v>0.6480499587604571</v>
      </c>
      <c r="V15" s="912">
        <f t="shared" si="1"/>
        <v>42435</v>
      </c>
      <c r="W15" s="913">
        <f t="shared" si="1"/>
        <v>27500</v>
      </c>
      <c r="X15" s="914">
        <f>W15/V15</f>
        <v>0.6480499587604571</v>
      </c>
    </row>
    <row r="16" spans="1:24" s="924" customFormat="1" ht="12" customHeight="1">
      <c r="A16" s="924" t="s">
        <v>1153</v>
      </c>
      <c r="B16" s="908"/>
      <c r="C16" s="909" t="s">
        <v>881</v>
      </c>
      <c r="D16" s="910"/>
      <c r="E16" s="910"/>
      <c r="F16" s="860"/>
      <c r="G16" s="910"/>
      <c r="H16" s="910"/>
      <c r="I16" s="860"/>
      <c r="J16" s="910"/>
      <c r="K16" s="910"/>
      <c r="L16" s="860"/>
      <c r="M16" s="911"/>
      <c r="N16" s="910"/>
      <c r="O16" s="860"/>
      <c r="P16" s="911"/>
      <c r="Q16" s="910"/>
      <c r="R16" s="860"/>
      <c r="S16" s="910">
        <v>6000</v>
      </c>
      <c r="T16" s="910">
        <v>10000</v>
      </c>
      <c r="U16" s="860">
        <f>T16/S16</f>
        <v>1.6666666666666667</v>
      </c>
      <c r="V16" s="912">
        <f t="shared" si="1"/>
        <v>6000</v>
      </c>
      <c r="W16" s="913">
        <f t="shared" si="1"/>
        <v>10000</v>
      </c>
      <c r="X16" s="914">
        <f>W16/V16</f>
        <v>1.6666666666666667</v>
      </c>
    </row>
    <row r="17" spans="1:24" s="926" customFormat="1" ht="12.75">
      <c r="A17" s="924" t="s">
        <v>1153</v>
      </c>
      <c r="B17" s="927"/>
      <c r="C17" s="909" t="s">
        <v>1231</v>
      </c>
      <c r="D17" s="928"/>
      <c r="E17" s="928"/>
      <c r="F17" s="860"/>
      <c r="G17" s="928"/>
      <c r="H17" s="928"/>
      <c r="I17" s="860"/>
      <c r="J17" s="910">
        <v>0</v>
      </c>
      <c r="K17" s="910">
        <v>27500</v>
      </c>
      <c r="L17" s="860"/>
      <c r="M17" s="929"/>
      <c r="N17" s="928"/>
      <c r="O17" s="860"/>
      <c r="P17" s="929"/>
      <c r="Q17" s="928"/>
      <c r="R17" s="860"/>
      <c r="S17" s="910"/>
      <c r="T17" s="910"/>
      <c r="U17" s="860"/>
      <c r="V17" s="912">
        <f t="shared" si="1"/>
        <v>0</v>
      </c>
      <c r="W17" s="913">
        <f t="shared" si="1"/>
        <v>27500</v>
      </c>
      <c r="X17" s="914">
        <v>0</v>
      </c>
    </row>
    <row r="18" spans="2:24" s="926" customFormat="1" ht="12.75" hidden="1">
      <c r="B18" s="927"/>
      <c r="C18" s="930"/>
      <c r="D18" s="928"/>
      <c r="E18" s="928"/>
      <c r="F18" s="860"/>
      <c r="G18" s="928"/>
      <c r="H18" s="928"/>
      <c r="I18" s="860"/>
      <c r="J18" s="928"/>
      <c r="K18" s="928"/>
      <c r="L18" s="860"/>
      <c r="M18" s="929"/>
      <c r="N18" s="928"/>
      <c r="O18" s="860"/>
      <c r="P18" s="929"/>
      <c r="Q18" s="928"/>
      <c r="R18" s="860"/>
      <c r="S18" s="928"/>
      <c r="T18" s="928"/>
      <c r="U18" s="860"/>
      <c r="V18" s="912">
        <f t="shared" si="1"/>
        <v>0</v>
      </c>
      <c r="W18" s="913">
        <f t="shared" si="1"/>
        <v>0</v>
      </c>
      <c r="X18" s="914" t="e">
        <f aca="true" t="shared" si="2" ref="X18:X23">W18/V18</f>
        <v>#DIV/0!</v>
      </c>
    </row>
    <row r="19" spans="2:24" s="926" customFormat="1" ht="12.75" hidden="1">
      <c r="B19" s="927"/>
      <c r="C19" s="930"/>
      <c r="D19" s="928"/>
      <c r="E19" s="928"/>
      <c r="F19" s="860"/>
      <c r="G19" s="928"/>
      <c r="H19" s="928"/>
      <c r="I19" s="860"/>
      <c r="J19" s="928"/>
      <c r="K19" s="928"/>
      <c r="L19" s="860"/>
      <c r="M19" s="929"/>
      <c r="N19" s="928"/>
      <c r="O19" s="860"/>
      <c r="P19" s="929"/>
      <c r="Q19" s="928"/>
      <c r="R19" s="860"/>
      <c r="S19" s="928"/>
      <c r="T19" s="928"/>
      <c r="U19" s="860"/>
      <c r="V19" s="912">
        <f t="shared" si="1"/>
        <v>0</v>
      </c>
      <c r="W19" s="913">
        <f t="shared" si="1"/>
        <v>0</v>
      </c>
      <c r="X19" s="914" t="e">
        <f t="shared" si="2"/>
        <v>#DIV/0!</v>
      </c>
    </row>
    <row r="20" spans="2:24" s="926" customFormat="1" ht="12.75" hidden="1">
      <c r="B20" s="927"/>
      <c r="C20" s="930"/>
      <c r="D20" s="928"/>
      <c r="E20" s="928"/>
      <c r="F20" s="860"/>
      <c r="G20" s="928"/>
      <c r="H20" s="928"/>
      <c r="I20" s="860"/>
      <c r="J20" s="928"/>
      <c r="K20" s="928"/>
      <c r="L20" s="860"/>
      <c r="M20" s="929"/>
      <c r="N20" s="928"/>
      <c r="O20" s="860"/>
      <c r="P20" s="929"/>
      <c r="Q20" s="928"/>
      <c r="R20" s="860"/>
      <c r="S20" s="928"/>
      <c r="T20" s="928"/>
      <c r="U20" s="860"/>
      <c r="V20" s="912">
        <f t="shared" si="1"/>
        <v>0</v>
      </c>
      <c r="W20" s="913">
        <f t="shared" si="1"/>
        <v>0</v>
      </c>
      <c r="X20" s="914" t="e">
        <f t="shared" si="2"/>
        <v>#DIV/0!</v>
      </c>
    </row>
    <row r="21" spans="2:24" s="926" customFormat="1" ht="12.75" hidden="1">
      <c r="B21" s="927"/>
      <c r="C21" s="930"/>
      <c r="D21" s="928"/>
      <c r="E21" s="928"/>
      <c r="F21" s="860"/>
      <c r="G21" s="928"/>
      <c r="H21" s="928"/>
      <c r="I21" s="860"/>
      <c r="J21" s="928"/>
      <c r="K21" s="928"/>
      <c r="L21" s="860"/>
      <c r="M21" s="929"/>
      <c r="N21" s="928"/>
      <c r="O21" s="860"/>
      <c r="P21" s="929"/>
      <c r="Q21" s="928"/>
      <c r="R21" s="860"/>
      <c r="S21" s="928"/>
      <c r="T21" s="928"/>
      <c r="U21" s="860"/>
      <c r="V21" s="912">
        <f t="shared" si="1"/>
        <v>0</v>
      </c>
      <c r="W21" s="913">
        <f t="shared" si="1"/>
        <v>0</v>
      </c>
      <c r="X21" s="914" t="e">
        <f t="shared" si="2"/>
        <v>#DIV/0!</v>
      </c>
    </row>
    <row r="22" spans="2:24" s="926" customFormat="1" ht="12.75" hidden="1">
      <c r="B22" s="927"/>
      <c r="C22" s="930"/>
      <c r="D22" s="928"/>
      <c r="E22" s="928"/>
      <c r="F22" s="860"/>
      <c r="G22" s="928"/>
      <c r="H22" s="928"/>
      <c r="I22" s="860"/>
      <c r="J22" s="928"/>
      <c r="K22" s="928"/>
      <c r="L22" s="860"/>
      <c r="M22" s="929"/>
      <c r="N22" s="928"/>
      <c r="O22" s="860"/>
      <c r="P22" s="929"/>
      <c r="Q22" s="928"/>
      <c r="R22" s="860"/>
      <c r="S22" s="928"/>
      <c r="T22" s="928"/>
      <c r="U22" s="860"/>
      <c r="V22" s="912">
        <f t="shared" si="1"/>
        <v>0</v>
      </c>
      <c r="W22" s="913">
        <f t="shared" si="1"/>
        <v>0</v>
      </c>
      <c r="X22" s="914" t="e">
        <f t="shared" si="2"/>
        <v>#DIV/0!</v>
      </c>
    </row>
    <row r="23" spans="2:24" s="926" customFormat="1" ht="12.75" hidden="1">
      <c r="B23" s="927"/>
      <c r="C23" s="930"/>
      <c r="D23" s="928"/>
      <c r="E23" s="928"/>
      <c r="F23" s="860"/>
      <c r="G23" s="928"/>
      <c r="H23" s="928"/>
      <c r="I23" s="860"/>
      <c r="J23" s="928"/>
      <c r="K23" s="928"/>
      <c r="L23" s="860"/>
      <c r="M23" s="929"/>
      <c r="N23" s="928"/>
      <c r="O23" s="860"/>
      <c r="P23" s="929"/>
      <c r="Q23" s="928"/>
      <c r="R23" s="860"/>
      <c r="S23" s="928"/>
      <c r="T23" s="928"/>
      <c r="U23" s="860"/>
      <c r="V23" s="912">
        <f t="shared" si="1"/>
        <v>0</v>
      </c>
      <c r="W23" s="913">
        <f t="shared" si="1"/>
        <v>0</v>
      </c>
      <c r="X23" s="914" t="e">
        <f t="shared" si="2"/>
        <v>#DIV/0!</v>
      </c>
    </row>
    <row r="24" spans="2:24" s="926" customFormat="1" ht="11.25">
      <c r="B24" s="915" t="s">
        <v>19</v>
      </c>
      <c r="C24" s="931" t="str">
        <f>'[2]2'!B22</f>
        <v>Szociálpolitikai feladatok</v>
      </c>
      <c r="D24" s="920"/>
      <c r="E24" s="920"/>
      <c r="F24" s="918"/>
      <c r="G24" s="920"/>
      <c r="H24" s="920"/>
      <c r="I24" s="918"/>
      <c r="J24" s="920"/>
      <c r="K24" s="920"/>
      <c r="L24" s="918"/>
      <c r="M24" s="921"/>
      <c r="N24" s="920"/>
      <c r="O24" s="918"/>
      <c r="P24" s="921"/>
      <c r="Q24" s="920"/>
      <c r="R24" s="918"/>
      <c r="S24" s="920"/>
      <c r="T24" s="920"/>
      <c r="U24" s="918"/>
      <c r="V24" s="920"/>
      <c r="W24" s="920"/>
      <c r="X24" s="923"/>
    </row>
    <row r="25" spans="1:24" s="924" customFormat="1" ht="12" customHeight="1">
      <c r="A25" s="924" t="s">
        <v>1152</v>
      </c>
      <c r="B25" s="908"/>
      <c r="C25" s="925" t="s">
        <v>882</v>
      </c>
      <c r="D25" s="910"/>
      <c r="E25" s="910"/>
      <c r="F25" s="860"/>
      <c r="G25" s="910"/>
      <c r="H25" s="910"/>
      <c r="I25" s="860"/>
      <c r="J25" s="910"/>
      <c r="K25" s="910"/>
      <c r="L25" s="860"/>
      <c r="M25" s="911"/>
      <c r="N25" s="910"/>
      <c r="O25" s="860"/>
      <c r="P25" s="911"/>
      <c r="Q25" s="910"/>
      <c r="R25" s="860"/>
      <c r="S25" s="910">
        <v>5000</v>
      </c>
      <c r="T25" s="910">
        <v>5000</v>
      </c>
      <c r="U25" s="860">
        <f>T25/S25</f>
        <v>1</v>
      </c>
      <c r="V25" s="912">
        <f aca="true" t="shared" si="3" ref="V25:W28">D25+G25+J25+M25+P25+S25</f>
        <v>5000</v>
      </c>
      <c r="W25" s="913">
        <f t="shared" si="3"/>
        <v>5000</v>
      </c>
      <c r="X25" s="914">
        <f aca="true" t="shared" si="4" ref="X25:X76">W25/V25</f>
        <v>1</v>
      </c>
    </row>
    <row r="26" spans="1:24" s="924" customFormat="1" ht="12" customHeight="1">
      <c r="A26" s="924" t="s">
        <v>1152</v>
      </c>
      <c r="B26" s="908"/>
      <c r="C26" s="925" t="s">
        <v>883</v>
      </c>
      <c r="D26" s="910"/>
      <c r="E26" s="910"/>
      <c r="F26" s="860"/>
      <c r="G26" s="910"/>
      <c r="H26" s="910"/>
      <c r="I26" s="860"/>
      <c r="J26" s="910"/>
      <c r="K26" s="910"/>
      <c r="L26" s="860"/>
      <c r="M26" s="911"/>
      <c r="N26" s="910"/>
      <c r="O26" s="860"/>
      <c r="P26" s="911"/>
      <c r="Q26" s="910"/>
      <c r="R26" s="860"/>
      <c r="S26" s="910">
        <v>1560</v>
      </c>
      <c r="T26" s="910">
        <v>1500</v>
      </c>
      <c r="U26" s="860">
        <f>T26/S26</f>
        <v>0.9615384615384616</v>
      </c>
      <c r="V26" s="912">
        <f t="shared" si="3"/>
        <v>1560</v>
      </c>
      <c r="W26" s="913">
        <f t="shared" si="3"/>
        <v>1500</v>
      </c>
      <c r="X26" s="914">
        <f t="shared" si="4"/>
        <v>0.9615384615384616</v>
      </c>
    </row>
    <row r="27" spans="2:24" s="924" customFormat="1" ht="12" customHeight="1">
      <c r="B27" s="908"/>
      <c r="C27" s="925" t="s">
        <v>884</v>
      </c>
      <c r="D27" s="910"/>
      <c r="E27" s="910"/>
      <c r="F27" s="860"/>
      <c r="G27" s="910"/>
      <c r="H27" s="910"/>
      <c r="I27" s="860"/>
      <c r="J27" s="910">
        <v>1421</v>
      </c>
      <c r="K27" s="910">
        <v>0</v>
      </c>
      <c r="L27" s="860">
        <f>K27/J27</f>
        <v>0</v>
      </c>
      <c r="M27" s="911"/>
      <c r="N27" s="910"/>
      <c r="O27" s="860"/>
      <c r="P27" s="911"/>
      <c r="Q27" s="910"/>
      <c r="R27" s="860"/>
      <c r="S27" s="910"/>
      <c r="T27" s="910"/>
      <c r="U27" s="860"/>
      <c r="V27" s="912">
        <f t="shared" si="3"/>
        <v>1421</v>
      </c>
      <c r="W27" s="913">
        <f t="shared" si="3"/>
        <v>0</v>
      </c>
      <c r="X27" s="914">
        <f t="shared" si="4"/>
        <v>0</v>
      </c>
    </row>
    <row r="28" spans="2:24" s="924" customFormat="1" ht="12" customHeight="1">
      <c r="B28" s="908"/>
      <c r="C28" s="925" t="s">
        <v>885</v>
      </c>
      <c r="D28" s="910"/>
      <c r="E28" s="910"/>
      <c r="F28" s="860"/>
      <c r="G28" s="910"/>
      <c r="H28" s="910"/>
      <c r="I28" s="860"/>
      <c r="J28" s="910">
        <v>500</v>
      </c>
      <c r="K28" s="910">
        <v>0</v>
      </c>
      <c r="L28" s="860">
        <f>K28/J28</f>
        <v>0</v>
      </c>
      <c r="M28" s="911"/>
      <c r="N28" s="910"/>
      <c r="O28" s="860"/>
      <c r="P28" s="911"/>
      <c r="Q28" s="910"/>
      <c r="R28" s="860"/>
      <c r="S28" s="910"/>
      <c r="T28" s="910"/>
      <c r="U28" s="860"/>
      <c r="V28" s="912">
        <f t="shared" si="3"/>
        <v>500</v>
      </c>
      <c r="W28" s="913">
        <f t="shared" si="3"/>
        <v>0</v>
      </c>
      <c r="X28" s="914">
        <f t="shared" si="4"/>
        <v>0</v>
      </c>
    </row>
    <row r="29" spans="1:24" s="924" customFormat="1" ht="25.5">
      <c r="A29" s="924" t="s">
        <v>1152</v>
      </c>
      <c r="B29" s="908"/>
      <c r="C29" s="925" t="s">
        <v>886</v>
      </c>
      <c r="D29" s="910"/>
      <c r="E29" s="910"/>
      <c r="F29" s="860"/>
      <c r="G29" s="910"/>
      <c r="H29" s="910"/>
      <c r="I29" s="860"/>
      <c r="J29" s="910">
        <v>0</v>
      </c>
      <c r="K29" s="910">
        <v>100</v>
      </c>
      <c r="L29" s="860">
        <v>0</v>
      </c>
      <c r="M29" s="911"/>
      <c r="N29" s="910"/>
      <c r="O29" s="860"/>
      <c r="P29" s="911"/>
      <c r="Q29" s="910"/>
      <c r="R29" s="860"/>
      <c r="S29" s="910"/>
      <c r="T29" s="910"/>
      <c r="U29" s="860"/>
      <c r="V29" s="912">
        <f>D29+G29+J29+M29+P29+S29</f>
        <v>0</v>
      </c>
      <c r="W29" s="913">
        <f>E29+H29+K29+N29+Q29+T29</f>
        <v>100</v>
      </c>
      <c r="X29" s="914">
        <v>0</v>
      </c>
    </row>
    <row r="30" spans="2:24" s="926" customFormat="1" ht="12" customHeight="1">
      <c r="B30" s="915" t="s">
        <v>20</v>
      </c>
      <c r="C30" s="931" t="str">
        <f>'[2]2'!B28</f>
        <v>Egyéb feladatok</v>
      </c>
      <c r="D30" s="920"/>
      <c r="E30" s="920"/>
      <c r="F30" s="918"/>
      <c r="G30" s="920"/>
      <c r="H30" s="920"/>
      <c r="I30" s="918"/>
      <c r="J30" s="920"/>
      <c r="K30" s="920"/>
      <c r="L30" s="918"/>
      <c r="M30" s="921"/>
      <c r="N30" s="920"/>
      <c r="O30" s="918"/>
      <c r="P30" s="921"/>
      <c r="Q30" s="920"/>
      <c r="R30" s="918"/>
      <c r="S30" s="921"/>
      <c r="T30" s="920"/>
      <c r="U30" s="918"/>
      <c r="V30" s="920"/>
      <c r="W30" s="920"/>
      <c r="X30" s="923"/>
    </row>
    <row r="31" spans="1:24" s="924" customFormat="1" ht="25.5">
      <c r="A31" s="924" t="s">
        <v>1152</v>
      </c>
      <c r="B31" s="908"/>
      <c r="C31" s="925" t="s">
        <v>887</v>
      </c>
      <c r="D31" s="910"/>
      <c r="E31" s="910"/>
      <c r="F31" s="860"/>
      <c r="G31" s="910"/>
      <c r="H31" s="910"/>
      <c r="I31" s="860"/>
      <c r="J31" s="910">
        <v>18000</v>
      </c>
      <c r="K31" s="910">
        <v>23000</v>
      </c>
      <c r="L31" s="860">
        <f aca="true" t="shared" si="5" ref="L31:L36">K31/J31</f>
        <v>1.2777777777777777</v>
      </c>
      <c r="M31" s="911"/>
      <c r="N31" s="910"/>
      <c r="O31" s="860"/>
      <c r="P31" s="911"/>
      <c r="Q31" s="910"/>
      <c r="R31" s="860"/>
      <c r="S31" s="910"/>
      <c r="T31" s="910"/>
      <c r="U31" s="860"/>
      <c r="V31" s="912">
        <f>D31+G31+J31+M31+P31+S31</f>
        <v>18000</v>
      </c>
      <c r="W31" s="913">
        <f>E31+H31+K31+N31+Q31+T31</f>
        <v>23000</v>
      </c>
      <c r="X31" s="914">
        <f t="shared" si="4"/>
        <v>1.2777777777777777</v>
      </c>
    </row>
    <row r="32" spans="1:24" s="924" customFormat="1" ht="25.5">
      <c r="A32" s="924" t="s">
        <v>1152</v>
      </c>
      <c r="B32" s="908"/>
      <c r="C32" s="925" t="s">
        <v>888</v>
      </c>
      <c r="D32" s="910"/>
      <c r="E32" s="910"/>
      <c r="F32" s="860"/>
      <c r="G32" s="910"/>
      <c r="H32" s="910"/>
      <c r="I32" s="860"/>
      <c r="J32" s="910">
        <v>45000</v>
      </c>
      <c r="K32" s="910">
        <v>45000</v>
      </c>
      <c r="L32" s="860">
        <f t="shared" si="5"/>
        <v>1</v>
      </c>
      <c r="M32" s="911"/>
      <c r="N32" s="910"/>
      <c r="O32" s="860"/>
      <c r="P32" s="911"/>
      <c r="Q32" s="910"/>
      <c r="R32" s="860"/>
      <c r="S32" s="910"/>
      <c r="T32" s="910"/>
      <c r="U32" s="860"/>
      <c r="V32" s="912">
        <f aca="true" t="shared" si="6" ref="V32:W64">D32+G32+J32+M32+P32+S32</f>
        <v>45000</v>
      </c>
      <c r="W32" s="913">
        <f t="shared" si="6"/>
        <v>45000</v>
      </c>
      <c r="X32" s="914">
        <f t="shared" si="4"/>
        <v>1</v>
      </c>
    </row>
    <row r="33" spans="1:24" s="924" customFormat="1" ht="12" customHeight="1">
      <c r="A33" s="924" t="s">
        <v>1153</v>
      </c>
      <c r="B33" s="908"/>
      <c r="C33" s="925" t="s">
        <v>790</v>
      </c>
      <c r="D33" s="910">
        <v>500</v>
      </c>
      <c r="E33" s="910">
        <v>500</v>
      </c>
      <c r="F33" s="860">
        <f>E33/D33</f>
        <v>1</v>
      </c>
      <c r="G33" s="910">
        <v>130</v>
      </c>
      <c r="H33" s="910">
        <v>130</v>
      </c>
      <c r="I33" s="860">
        <f>H33/G33</f>
        <v>1</v>
      </c>
      <c r="J33" s="910">
        <f>34365+250+9755</f>
        <v>44370</v>
      </c>
      <c r="K33" s="910">
        <v>25370</v>
      </c>
      <c r="L33" s="860">
        <f t="shared" si="5"/>
        <v>0.571782736082939</v>
      </c>
      <c r="M33" s="911"/>
      <c r="N33" s="910"/>
      <c r="O33" s="860"/>
      <c r="P33" s="911"/>
      <c r="Q33" s="910"/>
      <c r="R33" s="860"/>
      <c r="S33" s="910"/>
      <c r="T33" s="910"/>
      <c r="U33" s="860"/>
      <c r="V33" s="912">
        <f t="shared" si="6"/>
        <v>45000</v>
      </c>
      <c r="W33" s="913">
        <f t="shared" si="6"/>
        <v>26000</v>
      </c>
      <c r="X33" s="914">
        <f t="shared" si="4"/>
        <v>0.5777777777777777</v>
      </c>
    </row>
    <row r="34" spans="1:24" s="924" customFormat="1" ht="12" customHeight="1">
      <c r="A34" s="924" t="s">
        <v>1152</v>
      </c>
      <c r="B34" s="908"/>
      <c r="C34" s="925" t="s">
        <v>889</v>
      </c>
      <c r="D34" s="910">
        <v>1000</v>
      </c>
      <c r="E34" s="910">
        <f>800+200</f>
        <v>1000</v>
      </c>
      <c r="F34" s="860">
        <f>E34/D34</f>
        <v>1</v>
      </c>
      <c r="G34" s="910">
        <v>270</v>
      </c>
      <c r="H34" s="910">
        <v>318</v>
      </c>
      <c r="I34" s="860">
        <f>H34/G34</f>
        <v>1.1777777777777778</v>
      </c>
      <c r="J34" s="910">
        <f>98730+500</f>
        <v>99230</v>
      </c>
      <c r="K34" s="910">
        <f>60682-50</f>
        <v>60632</v>
      </c>
      <c r="L34" s="860">
        <f t="shared" si="5"/>
        <v>0.6110248916658269</v>
      </c>
      <c r="M34" s="911"/>
      <c r="N34" s="910"/>
      <c r="O34" s="860"/>
      <c r="P34" s="911"/>
      <c r="Q34" s="910"/>
      <c r="R34" s="860"/>
      <c r="S34" s="910">
        <v>99500</v>
      </c>
      <c r="T34" s="910">
        <v>50</v>
      </c>
      <c r="U34" s="860">
        <f>T34/S34</f>
        <v>0.0005025125628140704</v>
      </c>
      <c r="V34" s="912">
        <f t="shared" si="6"/>
        <v>200000</v>
      </c>
      <c r="W34" s="913">
        <f t="shared" si="6"/>
        <v>62000</v>
      </c>
      <c r="X34" s="914">
        <f t="shared" si="4"/>
        <v>0.31</v>
      </c>
    </row>
    <row r="35" spans="1:24" s="924" customFormat="1" ht="12" customHeight="1">
      <c r="A35" s="924" t="s">
        <v>1153</v>
      </c>
      <c r="B35" s="908"/>
      <c r="C35" s="925" t="s">
        <v>890</v>
      </c>
      <c r="D35" s="910">
        <v>5215</v>
      </c>
      <c r="E35" s="910">
        <v>2608</v>
      </c>
      <c r="F35" s="860">
        <f>E35/D35</f>
        <v>0.5000958772770854</v>
      </c>
      <c r="G35" s="910">
        <v>3377</v>
      </c>
      <c r="H35" s="910">
        <v>1688</v>
      </c>
      <c r="I35" s="860">
        <f>H35/G35</f>
        <v>0.49985193959135327</v>
      </c>
      <c r="J35" s="910">
        <v>1408</v>
      </c>
      <c r="K35" s="910">
        <v>704</v>
      </c>
      <c r="L35" s="860">
        <f t="shared" si="5"/>
        <v>0.5</v>
      </c>
      <c r="M35" s="911"/>
      <c r="N35" s="910"/>
      <c r="O35" s="860"/>
      <c r="P35" s="911"/>
      <c r="Q35" s="910"/>
      <c r="R35" s="860"/>
      <c r="S35" s="910"/>
      <c r="T35" s="910"/>
      <c r="U35" s="860"/>
      <c r="V35" s="912">
        <f t="shared" si="6"/>
        <v>10000</v>
      </c>
      <c r="W35" s="913">
        <f t="shared" si="6"/>
        <v>5000</v>
      </c>
      <c r="X35" s="914">
        <f t="shared" si="4"/>
        <v>0.5</v>
      </c>
    </row>
    <row r="36" spans="1:24" s="924" customFormat="1" ht="12" customHeight="1">
      <c r="A36" s="924" t="s">
        <v>1153</v>
      </c>
      <c r="B36" s="908"/>
      <c r="C36" s="925" t="s">
        <v>891</v>
      </c>
      <c r="D36" s="910">
        <v>0</v>
      </c>
      <c r="E36" s="910">
        <v>980</v>
      </c>
      <c r="F36" s="860">
        <v>0</v>
      </c>
      <c r="G36" s="910">
        <v>2000</v>
      </c>
      <c r="H36" s="910">
        <v>500</v>
      </c>
      <c r="I36" s="860">
        <f>H36/G36</f>
        <v>0.25</v>
      </c>
      <c r="J36" s="910">
        <v>8000</v>
      </c>
      <c r="K36" s="910">
        <v>4520</v>
      </c>
      <c r="L36" s="860">
        <f t="shared" si="5"/>
        <v>0.565</v>
      </c>
      <c r="M36" s="911"/>
      <c r="N36" s="910"/>
      <c r="O36" s="860"/>
      <c r="P36" s="911"/>
      <c r="Q36" s="910"/>
      <c r="R36" s="860"/>
      <c r="S36" s="910"/>
      <c r="T36" s="910"/>
      <c r="U36" s="860"/>
      <c r="V36" s="912">
        <f t="shared" si="6"/>
        <v>10000</v>
      </c>
      <c r="W36" s="913">
        <f t="shared" si="6"/>
        <v>6000</v>
      </c>
      <c r="X36" s="914">
        <f t="shared" si="4"/>
        <v>0.6</v>
      </c>
    </row>
    <row r="37" spans="1:24" s="924" customFormat="1" ht="12" customHeight="1">
      <c r="A37" s="924" t="s">
        <v>1152</v>
      </c>
      <c r="B37" s="908"/>
      <c r="C37" s="925" t="s">
        <v>892</v>
      </c>
      <c r="D37" s="910"/>
      <c r="E37" s="910"/>
      <c r="F37" s="860"/>
      <c r="G37" s="910"/>
      <c r="H37" s="910"/>
      <c r="I37" s="860"/>
      <c r="J37" s="910">
        <v>8600</v>
      </c>
      <c r="K37" s="910">
        <v>9660</v>
      </c>
      <c r="L37" s="860">
        <f>K37/J37</f>
        <v>1.1232558139534883</v>
      </c>
      <c r="M37" s="911"/>
      <c r="N37" s="910"/>
      <c r="O37" s="860"/>
      <c r="P37" s="911"/>
      <c r="Q37" s="910"/>
      <c r="R37" s="860"/>
      <c r="S37" s="910"/>
      <c r="T37" s="910"/>
      <c r="U37" s="860"/>
      <c r="V37" s="912">
        <f t="shared" si="6"/>
        <v>8600</v>
      </c>
      <c r="W37" s="913">
        <f t="shared" si="6"/>
        <v>9660</v>
      </c>
      <c r="X37" s="914">
        <f t="shared" si="4"/>
        <v>1.1232558139534883</v>
      </c>
    </row>
    <row r="38" spans="1:24" s="924" customFormat="1" ht="12" customHeight="1">
      <c r="A38" s="924" t="s">
        <v>1152</v>
      </c>
      <c r="B38" s="908"/>
      <c r="C38" s="925" t="s">
        <v>893</v>
      </c>
      <c r="D38" s="910"/>
      <c r="E38" s="910"/>
      <c r="F38" s="860"/>
      <c r="G38" s="910"/>
      <c r="H38" s="910"/>
      <c r="I38" s="860"/>
      <c r="J38" s="910">
        <v>20000</v>
      </c>
      <c r="K38" s="910">
        <v>25000</v>
      </c>
      <c r="L38" s="860">
        <f>K38/J38</f>
        <v>1.25</v>
      </c>
      <c r="M38" s="911"/>
      <c r="N38" s="910"/>
      <c r="O38" s="860"/>
      <c r="P38" s="911"/>
      <c r="Q38" s="910"/>
      <c r="R38" s="860"/>
      <c r="S38" s="910"/>
      <c r="T38" s="910"/>
      <c r="U38" s="860"/>
      <c r="V38" s="912">
        <f t="shared" si="6"/>
        <v>20000</v>
      </c>
      <c r="W38" s="913">
        <f t="shared" si="6"/>
        <v>25000</v>
      </c>
      <c r="X38" s="914">
        <f t="shared" si="4"/>
        <v>1.25</v>
      </c>
    </row>
    <row r="39" spans="1:24" s="924" customFormat="1" ht="12" customHeight="1">
      <c r="A39" s="924" t="s">
        <v>1152</v>
      </c>
      <c r="B39" s="908"/>
      <c r="C39" s="925" t="s">
        <v>894</v>
      </c>
      <c r="D39" s="910"/>
      <c r="E39" s="910"/>
      <c r="F39" s="860"/>
      <c r="G39" s="910"/>
      <c r="H39" s="910"/>
      <c r="I39" s="860"/>
      <c r="J39" s="910">
        <f>'[2]1a'!H171+162000</f>
        <v>391012</v>
      </c>
      <c r="K39" s="910">
        <f>'Ö1'!I179+156020+73078-483</f>
        <v>737020</v>
      </c>
      <c r="L39" s="860">
        <f>K39/J39</f>
        <v>1.8849037881190347</v>
      </c>
      <c r="M39" s="911"/>
      <c r="N39" s="910"/>
      <c r="O39" s="860"/>
      <c r="P39" s="911"/>
      <c r="Q39" s="910"/>
      <c r="R39" s="860"/>
      <c r="S39" s="910"/>
      <c r="T39" s="910"/>
      <c r="U39" s="860"/>
      <c r="V39" s="912">
        <f t="shared" si="6"/>
        <v>391012</v>
      </c>
      <c r="W39" s="913">
        <f t="shared" si="6"/>
        <v>737020</v>
      </c>
      <c r="X39" s="914">
        <f t="shared" si="4"/>
        <v>1.8849037881190347</v>
      </c>
    </row>
    <row r="40" spans="1:24" s="924" customFormat="1" ht="12" customHeight="1">
      <c r="A40" s="924" t="s">
        <v>1152</v>
      </c>
      <c r="B40" s="908"/>
      <c r="C40" s="925" t="s">
        <v>895</v>
      </c>
      <c r="D40" s="910"/>
      <c r="E40" s="910"/>
      <c r="F40" s="860"/>
      <c r="G40" s="910"/>
      <c r="H40" s="910"/>
      <c r="I40" s="860"/>
      <c r="J40" s="910"/>
      <c r="K40" s="910"/>
      <c r="L40" s="860"/>
      <c r="M40" s="911"/>
      <c r="N40" s="910"/>
      <c r="O40" s="860"/>
      <c r="P40" s="911"/>
      <c r="Q40" s="910"/>
      <c r="R40" s="860"/>
      <c r="S40" s="910">
        <v>2000</v>
      </c>
      <c r="T40" s="910">
        <v>2100</v>
      </c>
      <c r="U40" s="860">
        <f>T40/S40</f>
        <v>1.05</v>
      </c>
      <c r="V40" s="912">
        <f t="shared" si="6"/>
        <v>2000</v>
      </c>
      <c r="W40" s="913">
        <f t="shared" si="6"/>
        <v>2100</v>
      </c>
      <c r="X40" s="914">
        <f t="shared" si="4"/>
        <v>1.05</v>
      </c>
    </row>
    <row r="41" spans="1:24" s="924" customFormat="1" ht="12" customHeight="1">
      <c r="A41" s="924" t="s">
        <v>1152</v>
      </c>
      <c r="B41" s="908"/>
      <c r="C41" s="925" t="s">
        <v>896</v>
      </c>
      <c r="D41" s="910">
        <v>0</v>
      </c>
      <c r="E41" s="910">
        <v>20</v>
      </c>
      <c r="F41" s="860"/>
      <c r="G41" s="910">
        <v>0</v>
      </c>
      <c r="H41" s="910">
        <v>5</v>
      </c>
      <c r="I41" s="860"/>
      <c r="J41" s="910"/>
      <c r="K41" s="910"/>
      <c r="L41" s="860"/>
      <c r="M41" s="911"/>
      <c r="N41" s="910"/>
      <c r="O41" s="860"/>
      <c r="P41" s="911"/>
      <c r="Q41" s="910"/>
      <c r="R41" s="860"/>
      <c r="S41" s="910">
        <v>3000</v>
      </c>
      <c r="T41" s="910">
        <f>3000-25</f>
        <v>2975</v>
      </c>
      <c r="U41" s="860">
        <f>T41/S41</f>
        <v>0.9916666666666667</v>
      </c>
      <c r="V41" s="912">
        <f t="shared" si="6"/>
        <v>3000</v>
      </c>
      <c r="W41" s="913">
        <f t="shared" si="6"/>
        <v>3000</v>
      </c>
      <c r="X41" s="914">
        <f t="shared" si="4"/>
        <v>1</v>
      </c>
    </row>
    <row r="42" spans="1:24" s="924" customFormat="1" ht="12" customHeight="1">
      <c r="A42" s="924" t="s">
        <v>1152</v>
      </c>
      <c r="B42" s="908"/>
      <c r="C42" s="925" t="s">
        <v>897</v>
      </c>
      <c r="D42" s="910">
        <v>0</v>
      </c>
      <c r="E42" s="910">
        <v>1500</v>
      </c>
      <c r="F42" s="860">
        <v>0</v>
      </c>
      <c r="G42" s="910">
        <v>0</v>
      </c>
      <c r="H42" s="910">
        <v>750</v>
      </c>
      <c r="I42" s="860">
        <v>0</v>
      </c>
      <c r="J42" s="910">
        <v>1795</v>
      </c>
      <c r="K42" s="910">
        <v>750</v>
      </c>
      <c r="L42" s="860">
        <f>K42/J42</f>
        <v>0.4178272980501393</v>
      </c>
      <c r="M42" s="911"/>
      <c r="N42" s="910"/>
      <c r="O42" s="860"/>
      <c r="P42" s="911"/>
      <c r="Q42" s="910"/>
      <c r="R42" s="860"/>
      <c r="S42" s="910"/>
      <c r="T42" s="910"/>
      <c r="U42" s="860"/>
      <c r="V42" s="912">
        <f t="shared" si="6"/>
        <v>1795</v>
      </c>
      <c r="W42" s="913">
        <f t="shared" si="6"/>
        <v>3000</v>
      </c>
      <c r="X42" s="914">
        <f t="shared" si="4"/>
        <v>1.6713091922005572</v>
      </c>
    </row>
    <row r="43" spans="1:24" s="924" customFormat="1" ht="12" customHeight="1">
      <c r="A43" s="924" t="s">
        <v>1152</v>
      </c>
      <c r="B43" s="908"/>
      <c r="C43" s="925" t="s">
        <v>898</v>
      </c>
      <c r="D43" s="910"/>
      <c r="E43" s="910"/>
      <c r="F43" s="860"/>
      <c r="G43" s="910"/>
      <c r="H43" s="910"/>
      <c r="I43" s="860"/>
      <c r="J43" s="910">
        <v>1200</v>
      </c>
      <c r="K43" s="910">
        <v>2500</v>
      </c>
      <c r="L43" s="860">
        <f>K43/J43</f>
        <v>2.0833333333333335</v>
      </c>
      <c r="M43" s="911"/>
      <c r="N43" s="910"/>
      <c r="O43" s="860"/>
      <c r="P43" s="911"/>
      <c r="Q43" s="910"/>
      <c r="R43" s="860"/>
      <c r="S43" s="910"/>
      <c r="T43" s="910"/>
      <c r="U43" s="860"/>
      <c r="V43" s="912">
        <f t="shared" si="6"/>
        <v>1200</v>
      </c>
      <c r="W43" s="913">
        <f t="shared" si="6"/>
        <v>2500</v>
      </c>
      <c r="X43" s="914">
        <f t="shared" si="4"/>
        <v>2.0833333333333335</v>
      </c>
    </row>
    <row r="44" spans="1:24" s="924" customFormat="1" ht="12" customHeight="1">
      <c r="A44" s="924" t="s">
        <v>1153</v>
      </c>
      <c r="B44" s="908"/>
      <c r="C44" s="925" t="s">
        <v>899</v>
      </c>
      <c r="D44" s="910"/>
      <c r="E44" s="910"/>
      <c r="F44" s="860"/>
      <c r="G44" s="910"/>
      <c r="H44" s="910"/>
      <c r="I44" s="860"/>
      <c r="J44" s="910"/>
      <c r="K44" s="910"/>
      <c r="L44" s="860"/>
      <c r="M44" s="911"/>
      <c r="N44" s="910"/>
      <c r="O44" s="860"/>
      <c r="P44" s="911"/>
      <c r="Q44" s="910"/>
      <c r="R44" s="860"/>
      <c r="S44" s="910">
        <v>3000</v>
      </c>
      <c r="T44" s="910">
        <v>2500</v>
      </c>
      <c r="U44" s="860">
        <f>T44/S44</f>
        <v>0.8333333333333334</v>
      </c>
      <c r="V44" s="912">
        <f t="shared" si="6"/>
        <v>3000</v>
      </c>
      <c r="W44" s="913">
        <f t="shared" si="6"/>
        <v>2500</v>
      </c>
      <c r="X44" s="914">
        <f t="shared" si="4"/>
        <v>0.8333333333333334</v>
      </c>
    </row>
    <row r="45" spans="1:24" s="924" customFormat="1" ht="25.5">
      <c r="A45" s="924" t="s">
        <v>1152</v>
      </c>
      <c r="B45" s="908"/>
      <c r="C45" s="925" t="s">
        <v>900</v>
      </c>
      <c r="D45" s="910"/>
      <c r="E45" s="910"/>
      <c r="F45" s="860"/>
      <c r="G45" s="910"/>
      <c r="H45" s="910"/>
      <c r="I45" s="860"/>
      <c r="J45" s="910">
        <v>1000</v>
      </c>
      <c r="K45" s="910">
        <v>1000</v>
      </c>
      <c r="L45" s="860">
        <f>K45/J45</f>
        <v>1</v>
      </c>
      <c r="M45" s="911"/>
      <c r="N45" s="910"/>
      <c r="O45" s="860"/>
      <c r="P45" s="911"/>
      <c r="Q45" s="910"/>
      <c r="R45" s="860"/>
      <c r="S45" s="910"/>
      <c r="T45" s="910"/>
      <c r="U45" s="860"/>
      <c r="V45" s="912">
        <f t="shared" si="6"/>
        <v>1000</v>
      </c>
      <c r="W45" s="913">
        <f t="shared" si="6"/>
        <v>1000</v>
      </c>
      <c r="X45" s="914">
        <f t="shared" si="4"/>
        <v>1</v>
      </c>
    </row>
    <row r="46" spans="1:24" s="924" customFormat="1" ht="25.5">
      <c r="A46" s="924" t="s">
        <v>1152</v>
      </c>
      <c r="B46" s="908"/>
      <c r="C46" s="925" t="s">
        <v>901</v>
      </c>
      <c r="D46" s="910"/>
      <c r="E46" s="910"/>
      <c r="F46" s="860"/>
      <c r="G46" s="910"/>
      <c r="H46" s="910"/>
      <c r="I46" s="860"/>
      <c r="J46" s="910">
        <v>100</v>
      </c>
      <c r="K46" s="910">
        <v>100</v>
      </c>
      <c r="L46" s="860">
        <f>K46/J46</f>
        <v>1</v>
      </c>
      <c r="M46" s="911"/>
      <c r="N46" s="910"/>
      <c r="O46" s="860"/>
      <c r="P46" s="911"/>
      <c r="Q46" s="910"/>
      <c r="R46" s="860"/>
      <c r="S46" s="910"/>
      <c r="T46" s="910"/>
      <c r="U46" s="860"/>
      <c r="V46" s="912">
        <f t="shared" si="6"/>
        <v>100</v>
      </c>
      <c r="W46" s="913">
        <f t="shared" si="6"/>
        <v>100</v>
      </c>
      <c r="X46" s="914">
        <f t="shared" si="4"/>
        <v>1</v>
      </c>
    </row>
    <row r="47" spans="1:24" s="924" customFormat="1" ht="12" customHeight="1">
      <c r="A47" s="924" t="s">
        <v>1152</v>
      </c>
      <c r="B47" s="908"/>
      <c r="C47" s="925" t="s">
        <v>902</v>
      </c>
      <c r="D47" s="910"/>
      <c r="E47" s="910"/>
      <c r="F47" s="860"/>
      <c r="G47" s="910"/>
      <c r="H47" s="910"/>
      <c r="I47" s="860"/>
      <c r="J47" s="910">
        <v>2800</v>
      </c>
      <c r="K47" s="910">
        <f>1333+266</f>
        <v>1599</v>
      </c>
      <c r="L47" s="860">
        <f>K47/J47</f>
        <v>0.5710714285714286</v>
      </c>
      <c r="M47" s="911">
        <v>212200</v>
      </c>
      <c r="N47" s="910">
        <f>48815+260</f>
        <v>49075</v>
      </c>
      <c r="O47" s="860">
        <f>N47/M47</f>
        <v>0.23126767200754006</v>
      </c>
      <c r="P47" s="911"/>
      <c r="Q47" s="910"/>
      <c r="R47" s="860"/>
      <c r="S47" s="910"/>
      <c r="T47" s="910"/>
      <c r="U47" s="860"/>
      <c r="V47" s="912">
        <f t="shared" si="6"/>
        <v>215000</v>
      </c>
      <c r="W47" s="913">
        <f t="shared" si="6"/>
        <v>50674</v>
      </c>
      <c r="X47" s="914">
        <f t="shared" si="4"/>
        <v>0.23569302325581395</v>
      </c>
    </row>
    <row r="48" spans="2:24" s="924" customFormat="1" ht="12" customHeight="1">
      <c r="B48" s="908"/>
      <c r="C48" s="925" t="s">
        <v>903</v>
      </c>
      <c r="D48" s="910"/>
      <c r="E48" s="910"/>
      <c r="F48" s="860"/>
      <c r="G48" s="910"/>
      <c r="H48" s="910"/>
      <c r="I48" s="860"/>
      <c r="J48" s="910"/>
      <c r="K48" s="910"/>
      <c r="L48" s="860"/>
      <c r="M48" s="911"/>
      <c r="N48" s="910"/>
      <c r="O48" s="860"/>
      <c r="P48" s="911">
        <v>200000</v>
      </c>
      <c r="Q48" s="910">
        <v>0</v>
      </c>
      <c r="R48" s="860">
        <f>Q48/P48</f>
        <v>0</v>
      </c>
      <c r="S48" s="910"/>
      <c r="T48" s="910"/>
      <c r="U48" s="860"/>
      <c r="V48" s="912">
        <f t="shared" si="6"/>
        <v>200000</v>
      </c>
      <c r="W48" s="913">
        <f t="shared" si="6"/>
        <v>0</v>
      </c>
      <c r="X48" s="914">
        <f t="shared" si="4"/>
        <v>0</v>
      </c>
    </row>
    <row r="49" spans="2:24" s="924" customFormat="1" ht="38.25">
      <c r="B49" s="908"/>
      <c r="C49" s="925" t="s">
        <v>904</v>
      </c>
      <c r="D49" s="910"/>
      <c r="E49" s="910"/>
      <c r="F49" s="860"/>
      <c r="G49" s="910"/>
      <c r="H49" s="910"/>
      <c r="I49" s="860"/>
      <c r="J49" s="910">
        <v>406</v>
      </c>
      <c r="K49" s="910">
        <v>0</v>
      </c>
      <c r="L49" s="860">
        <f aca="true" t="shared" si="7" ref="L49:L54">K49/J49</f>
        <v>0</v>
      </c>
      <c r="M49" s="911"/>
      <c r="N49" s="910"/>
      <c r="O49" s="860"/>
      <c r="P49" s="911"/>
      <c r="Q49" s="910"/>
      <c r="R49" s="860"/>
      <c r="S49" s="910"/>
      <c r="T49" s="910"/>
      <c r="U49" s="860"/>
      <c r="V49" s="912">
        <f t="shared" si="6"/>
        <v>406</v>
      </c>
      <c r="W49" s="913">
        <f t="shared" si="6"/>
        <v>0</v>
      </c>
      <c r="X49" s="914">
        <f t="shared" si="4"/>
        <v>0</v>
      </c>
    </row>
    <row r="50" spans="1:24" s="924" customFormat="1" ht="12" customHeight="1">
      <c r="A50" s="924" t="s">
        <v>1152</v>
      </c>
      <c r="B50" s="908"/>
      <c r="C50" s="925" t="s">
        <v>905</v>
      </c>
      <c r="D50" s="910"/>
      <c r="E50" s="910"/>
      <c r="F50" s="860"/>
      <c r="G50" s="910"/>
      <c r="H50" s="910"/>
      <c r="I50" s="860"/>
      <c r="J50" s="910">
        <v>40000</v>
      </c>
      <c r="K50" s="910">
        <v>45000</v>
      </c>
      <c r="L50" s="860">
        <f t="shared" si="7"/>
        <v>1.125</v>
      </c>
      <c r="M50" s="911"/>
      <c r="N50" s="910"/>
      <c r="O50" s="860"/>
      <c r="P50" s="911"/>
      <c r="Q50" s="910"/>
      <c r="R50" s="860"/>
      <c r="S50" s="910"/>
      <c r="T50" s="910"/>
      <c r="U50" s="860"/>
      <c r="V50" s="912">
        <f t="shared" si="6"/>
        <v>40000</v>
      </c>
      <c r="W50" s="913">
        <f t="shared" si="6"/>
        <v>45000</v>
      </c>
      <c r="X50" s="914">
        <f t="shared" si="4"/>
        <v>1.125</v>
      </c>
    </row>
    <row r="51" spans="1:24" s="924" customFormat="1" ht="12" customHeight="1">
      <c r="A51" s="924" t="s">
        <v>1152</v>
      </c>
      <c r="B51" s="908"/>
      <c r="C51" s="925" t="s">
        <v>906</v>
      </c>
      <c r="D51" s="910"/>
      <c r="E51" s="910"/>
      <c r="F51" s="860"/>
      <c r="G51" s="910"/>
      <c r="H51" s="910"/>
      <c r="I51" s="860"/>
      <c r="J51" s="910">
        <v>11200</v>
      </c>
      <c r="K51" s="910">
        <v>11600</v>
      </c>
      <c r="L51" s="860">
        <f t="shared" si="7"/>
        <v>1.0357142857142858</v>
      </c>
      <c r="M51" s="911"/>
      <c r="N51" s="910"/>
      <c r="O51" s="860"/>
      <c r="P51" s="911"/>
      <c r="Q51" s="910"/>
      <c r="R51" s="860"/>
      <c r="S51" s="910"/>
      <c r="T51" s="910"/>
      <c r="U51" s="860"/>
      <c r="V51" s="912">
        <f t="shared" si="6"/>
        <v>11200</v>
      </c>
      <c r="W51" s="913">
        <f t="shared" si="6"/>
        <v>11600</v>
      </c>
      <c r="X51" s="914">
        <f t="shared" si="4"/>
        <v>1.0357142857142858</v>
      </c>
    </row>
    <row r="52" spans="1:24" s="924" customFormat="1" ht="12" customHeight="1">
      <c r="A52" s="924" t="s">
        <v>1152</v>
      </c>
      <c r="B52" s="908"/>
      <c r="C52" s="925" t="s">
        <v>907</v>
      </c>
      <c r="D52" s="910"/>
      <c r="E52" s="910"/>
      <c r="F52" s="860"/>
      <c r="G52" s="910"/>
      <c r="H52" s="910"/>
      <c r="I52" s="860"/>
      <c r="J52" s="910">
        <v>3000</v>
      </c>
      <c r="K52" s="910">
        <v>5334</v>
      </c>
      <c r="L52" s="860">
        <f t="shared" si="7"/>
        <v>1.778</v>
      </c>
      <c r="M52" s="911"/>
      <c r="N52" s="910"/>
      <c r="O52" s="860"/>
      <c r="P52" s="911"/>
      <c r="Q52" s="910"/>
      <c r="R52" s="860"/>
      <c r="S52" s="910"/>
      <c r="T52" s="910"/>
      <c r="U52" s="860"/>
      <c r="V52" s="912">
        <f t="shared" si="6"/>
        <v>3000</v>
      </c>
      <c r="W52" s="913">
        <f t="shared" si="6"/>
        <v>5334</v>
      </c>
      <c r="X52" s="914">
        <f t="shared" si="4"/>
        <v>1.778</v>
      </c>
    </row>
    <row r="53" spans="1:24" s="924" customFormat="1" ht="38.25">
      <c r="A53" s="924" t="s">
        <v>1152</v>
      </c>
      <c r="B53" s="908"/>
      <c r="C53" s="925" t="s">
        <v>908</v>
      </c>
      <c r="D53" s="910"/>
      <c r="E53" s="910"/>
      <c r="F53" s="860"/>
      <c r="G53" s="910"/>
      <c r="H53" s="910"/>
      <c r="I53" s="860"/>
      <c r="J53" s="910">
        <v>1800</v>
      </c>
      <c r="K53" s="910">
        <v>1850</v>
      </c>
      <c r="L53" s="860">
        <f t="shared" si="7"/>
        <v>1.0277777777777777</v>
      </c>
      <c r="M53" s="911"/>
      <c r="N53" s="910"/>
      <c r="O53" s="860"/>
      <c r="P53" s="911"/>
      <c r="Q53" s="910"/>
      <c r="R53" s="860"/>
      <c r="S53" s="910"/>
      <c r="T53" s="910"/>
      <c r="U53" s="860"/>
      <c r="V53" s="912">
        <f t="shared" si="6"/>
        <v>1800</v>
      </c>
      <c r="W53" s="913">
        <f t="shared" si="6"/>
        <v>1850</v>
      </c>
      <c r="X53" s="914">
        <f t="shared" si="4"/>
        <v>1.0277777777777777</v>
      </c>
    </row>
    <row r="54" spans="1:24" s="924" customFormat="1" ht="38.25">
      <c r="A54" s="924" t="s">
        <v>1152</v>
      </c>
      <c r="B54" s="908"/>
      <c r="C54" s="925" t="s">
        <v>725</v>
      </c>
      <c r="D54" s="910"/>
      <c r="E54" s="910"/>
      <c r="F54" s="860"/>
      <c r="G54" s="910"/>
      <c r="H54" s="910"/>
      <c r="I54" s="860"/>
      <c r="J54" s="910">
        <f>7087+1100</f>
        <v>8187</v>
      </c>
      <c r="K54" s="910">
        <v>0</v>
      </c>
      <c r="L54" s="860">
        <f t="shared" si="7"/>
        <v>0</v>
      </c>
      <c r="M54" s="911"/>
      <c r="N54" s="910"/>
      <c r="O54" s="860"/>
      <c r="P54" s="911">
        <v>0</v>
      </c>
      <c r="Q54" s="910">
        <v>1106</v>
      </c>
      <c r="R54" s="860">
        <v>0</v>
      </c>
      <c r="S54" s="910"/>
      <c r="T54" s="910"/>
      <c r="U54" s="860"/>
      <c r="V54" s="912">
        <f t="shared" si="6"/>
        <v>8187</v>
      </c>
      <c r="W54" s="913">
        <f t="shared" si="6"/>
        <v>1106</v>
      </c>
      <c r="X54" s="914">
        <f t="shared" si="4"/>
        <v>0.1350922193721754</v>
      </c>
    </row>
    <row r="55" spans="1:24" s="924" customFormat="1" ht="25.5">
      <c r="A55" s="924" t="s">
        <v>1152</v>
      </c>
      <c r="B55" s="908"/>
      <c r="C55" s="925" t="s">
        <v>909</v>
      </c>
      <c r="D55" s="910"/>
      <c r="E55" s="910"/>
      <c r="F55" s="860"/>
      <c r="G55" s="910"/>
      <c r="H55" s="910"/>
      <c r="I55" s="860"/>
      <c r="J55" s="910"/>
      <c r="K55" s="910"/>
      <c r="L55" s="860"/>
      <c r="M55" s="911"/>
      <c r="N55" s="910"/>
      <c r="O55" s="860"/>
      <c r="P55" s="911">
        <v>6300</v>
      </c>
      <c r="Q55" s="910">
        <v>8000</v>
      </c>
      <c r="R55" s="860">
        <f>Q55/P55</f>
        <v>1.2698412698412698</v>
      </c>
      <c r="S55" s="910"/>
      <c r="T55" s="910"/>
      <c r="U55" s="860"/>
      <c r="V55" s="912">
        <f t="shared" si="6"/>
        <v>6300</v>
      </c>
      <c r="W55" s="913">
        <f t="shared" si="6"/>
        <v>8000</v>
      </c>
      <c r="X55" s="914">
        <f t="shared" si="4"/>
        <v>1.2698412698412698</v>
      </c>
    </row>
    <row r="56" spans="1:24" s="924" customFormat="1" ht="25.5">
      <c r="A56" s="924" t="s">
        <v>1152</v>
      </c>
      <c r="B56" s="908"/>
      <c r="C56" s="925" t="s">
        <v>910</v>
      </c>
      <c r="D56" s="910">
        <v>20995</v>
      </c>
      <c r="E56" s="910">
        <f>46558+6421</f>
        <v>52979</v>
      </c>
      <c r="F56" s="860">
        <f>E56/D56</f>
        <v>2.5234103357942366</v>
      </c>
      <c r="G56" s="910">
        <v>5669</v>
      </c>
      <c r="H56" s="910">
        <f>12597+1734</f>
        <v>14331</v>
      </c>
      <c r="I56" s="860">
        <f>H56/G56</f>
        <v>2.527959075674722</v>
      </c>
      <c r="J56" s="910"/>
      <c r="K56" s="910"/>
      <c r="L56" s="860"/>
      <c r="M56" s="911"/>
      <c r="N56" s="910"/>
      <c r="O56" s="860"/>
      <c r="P56" s="911"/>
      <c r="Q56" s="910"/>
      <c r="R56" s="860"/>
      <c r="S56" s="910"/>
      <c r="T56" s="910"/>
      <c r="U56" s="860"/>
      <c r="V56" s="912">
        <f t="shared" si="6"/>
        <v>26664</v>
      </c>
      <c r="W56" s="913">
        <f t="shared" si="6"/>
        <v>67310</v>
      </c>
      <c r="X56" s="914">
        <f t="shared" si="4"/>
        <v>2.5243774377437744</v>
      </c>
    </row>
    <row r="57" spans="2:24" s="924" customFormat="1" ht="12" customHeight="1">
      <c r="B57" s="908"/>
      <c r="C57" s="925" t="s">
        <v>911</v>
      </c>
      <c r="D57" s="910"/>
      <c r="E57" s="910"/>
      <c r="F57" s="860"/>
      <c r="G57" s="910"/>
      <c r="H57" s="910"/>
      <c r="I57" s="860"/>
      <c r="J57" s="910"/>
      <c r="K57" s="910"/>
      <c r="L57" s="860"/>
      <c r="M57" s="911"/>
      <c r="N57" s="910"/>
      <c r="O57" s="860"/>
      <c r="P57" s="911"/>
      <c r="Q57" s="910"/>
      <c r="R57" s="860"/>
      <c r="S57" s="910">
        <v>20000</v>
      </c>
      <c r="T57" s="910">
        <v>0</v>
      </c>
      <c r="U57" s="860">
        <f>T57/S57</f>
        <v>0</v>
      </c>
      <c r="V57" s="912">
        <f t="shared" si="6"/>
        <v>20000</v>
      </c>
      <c r="W57" s="913">
        <f t="shared" si="6"/>
        <v>0</v>
      </c>
      <c r="X57" s="914">
        <f t="shared" si="4"/>
        <v>0</v>
      </c>
    </row>
    <row r="58" spans="2:24" s="924" customFormat="1" ht="12" customHeight="1">
      <c r="B58" s="908"/>
      <c r="C58" s="925" t="s">
        <v>912</v>
      </c>
      <c r="D58" s="910"/>
      <c r="E58" s="910"/>
      <c r="F58" s="860"/>
      <c r="G58" s="910"/>
      <c r="H58" s="910"/>
      <c r="I58" s="860"/>
      <c r="J58" s="910"/>
      <c r="K58" s="910"/>
      <c r="L58" s="860"/>
      <c r="M58" s="911"/>
      <c r="N58" s="910"/>
      <c r="O58" s="860"/>
      <c r="P58" s="911"/>
      <c r="Q58" s="910"/>
      <c r="R58" s="860"/>
      <c r="S58" s="910">
        <v>25400</v>
      </c>
      <c r="T58" s="910">
        <v>0</v>
      </c>
      <c r="U58" s="860">
        <f>T58/S58</f>
        <v>0</v>
      </c>
      <c r="V58" s="912">
        <f t="shared" si="6"/>
        <v>25400</v>
      </c>
      <c r="W58" s="913">
        <f t="shared" si="6"/>
        <v>0</v>
      </c>
      <c r="X58" s="914">
        <f t="shared" si="4"/>
        <v>0</v>
      </c>
    </row>
    <row r="59" spans="1:24" s="924" customFormat="1" ht="63.75">
      <c r="A59" s="924" t="s">
        <v>1152</v>
      </c>
      <c r="B59" s="908"/>
      <c r="C59" s="925" t="s">
        <v>656</v>
      </c>
      <c r="D59" s="910">
        <v>18980</v>
      </c>
      <c r="E59" s="910">
        <v>0</v>
      </c>
      <c r="F59" s="860">
        <f>E59/D59</f>
        <v>0</v>
      </c>
      <c r="G59" s="910">
        <v>5322</v>
      </c>
      <c r="H59" s="910">
        <v>0</v>
      </c>
      <c r="I59" s="860">
        <f>H59/G59</f>
        <v>0</v>
      </c>
      <c r="J59" s="910">
        <v>23330</v>
      </c>
      <c r="K59" s="910">
        <f>36589</f>
        <v>36589</v>
      </c>
      <c r="L59" s="860">
        <f>K59/J59</f>
        <v>1.5683240462923276</v>
      </c>
      <c r="M59" s="911"/>
      <c r="N59" s="910"/>
      <c r="O59" s="860"/>
      <c r="P59" s="911"/>
      <c r="Q59" s="910"/>
      <c r="R59" s="860"/>
      <c r="S59" s="910"/>
      <c r="T59" s="910"/>
      <c r="U59" s="860"/>
      <c r="V59" s="912">
        <f t="shared" si="6"/>
        <v>47632</v>
      </c>
      <c r="W59" s="913">
        <f t="shared" si="6"/>
        <v>36589</v>
      </c>
      <c r="X59" s="914">
        <f t="shared" si="4"/>
        <v>0.7681600604635539</v>
      </c>
    </row>
    <row r="60" spans="2:24" s="924" customFormat="1" ht="12" customHeight="1">
      <c r="B60" s="908"/>
      <c r="C60" s="925" t="s">
        <v>913</v>
      </c>
      <c r="D60" s="910"/>
      <c r="E60" s="910"/>
      <c r="F60" s="860"/>
      <c r="G60" s="910"/>
      <c r="H60" s="910"/>
      <c r="I60" s="860"/>
      <c r="J60" s="910">
        <v>1329</v>
      </c>
      <c r="K60" s="910">
        <v>0</v>
      </c>
      <c r="L60" s="860">
        <f aca="true" t="shared" si="8" ref="L60:L71">K60/J60</f>
        <v>0</v>
      </c>
      <c r="M60" s="911"/>
      <c r="N60" s="910"/>
      <c r="O60" s="860"/>
      <c r="P60" s="911"/>
      <c r="Q60" s="910"/>
      <c r="R60" s="860"/>
      <c r="S60" s="910"/>
      <c r="T60" s="910"/>
      <c r="U60" s="860"/>
      <c r="V60" s="912">
        <f t="shared" si="6"/>
        <v>1329</v>
      </c>
      <c r="W60" s="913">
        <f t="shared" si="6"/>
        <v>0</v>
      </c>
      <c r="X60" s="914">
        <f t="shared" si="4"/>
        <v>0</v>
      </c>
    </row>
    <row r="61" spans="1:24" s="924" customFormat="1" ht="12" customHeight="1">
      <c r="A61" s="924" t="s">
        <v>1152</v>
      </c>
      <c r="B61" s="908"/>
      <c r="C61" s="925" t="s">
        <v>914</v>
      </c>
      <c r="D61" s="910"/>
      <c r="E61" s="910"/>
      <c r="F61" s="860"/>
      <c r="G61" s="910"/>
      <c r="H61" s="910"/>
      <c r="I61" s="860"/>
      <c r="J61" s="910">
        <f>2000+1926</f>
        <v>3926</v>
      </c>
      <c r="K61" s="910">
        <f>12000-50</f>
        <v>11950</v>
      </c>
      <c r="L61" s="860">
        <f t="shared" si="8"/>
        <v>3.0438104941416197</v>
      </c>
      <c r="M61" s="911"/>
      <c r="N61" s="910"/>
      <c r="O61" s="860"/>
      <c r="P61" s="911"/>
      <c r="Q61" s="910"/>
      <c r="R61" s="860"/>
      <c r="S61" s="910"/>
      <c r="T61" s="910"/>
      <c r="U61" s="860"/>
      <c r="V61" s="912">
        <f t="shared" si="6"/>
        <v>3926</v>
      </c>
      <c r="W61" s="913">
        <f t="shared" si="6"/>
        <v>11950</v>
      </c>
      <c r="X61" s="914">
        <f t="shared" si="4"/>
        <v>3.0438104941416197</v>
      </c>
    </row>
    <row r="62" spans="1:24" s="924" customFormat="1" ht="12" customHeight="1">
      <c r="A62" s="924" t="s">
        <v>1152</v>
      </c>
      <c r="B62" s="908"/>
      <c r="C62" s="925" t="s">
        <v>915</v>
      </c>
      <c r="D62" s="910"/>
      <c r="E62" s="910"/>
      <c r="F62" s="860"/>
      <c r="G62" s="910"/>
      <c r="H62" s="910"/>
      <c r="I62" s="860"/>
      <c r="J62" s="910">
        <v>3300</v>
      </c>
      <c r="K62" s="910">
        <v>2904</v>
      </c>
      <c r="L62" s="860">
        <f t="shared" si="8"/>
        <v>0.88</v>
      </c>
      <c r="M62" s="911"/>
      <c r="N62" s="910"/>
      <c r="O62" s="860"/>
      <c r="P62" s="911"/>
      <c r="Q62" s="910"/>
      <c r="R62" s="860"/>
      <c r="S62" s="910"/>
      <c r="T62" s="910"/>
      <c r="U62" s="860"/>
      <c r="V62" s="912">
        <f t="shared" si="6"/>
        <v>3300</v>
      </c>
      <c r="W62" s="913">
        <f t="shared" si="6"/>
        <v>2904</v>
      </c>
      <c r="X62" s="914">
        <f t="shared" si="4"/>
        <v>0.88</v>
      </c>
    </row>
    <row r="63" spans="1:24" s="924" customFormat="1" ht="25.5">
      <c r="A63" s="924" t="s">
        <v>1152</v>
      </c>
      <c r="B63" s="908"/>
      <c r="C63" s="925" t="s">
        <v>916</v>
      </c>
      <c r="D63" s="910"/>
      <c r="E63" s="910"/>
      <c r="F63" s="860"/>
      <c r="G63" s="910"/>
      <c r="H63" s="910"/>
      <c r="I63" s="860"/>
      <c r="J63" s="910">
        <v>180</v>
      </c>
      <c r="K63" s="910">
        <v>420</v>
      </c>
      <c r="L63" s="860">
        <f t="shared" si="8"/>
        <v>2.3333333333333335</v>
      </c>
      <c r="M63" s="911"/>
      <c r="N63" s="910"/>
      <c r="O63" s="860"/>
      <c r="P63" s="911"/>
      <c r="Q63" s="910"/>
      <c r="R63" s="860"/>
      <c r="S63" s="910"/>
      <c r="T63" s="910"/>
      <c r="U63" s="860"/>
      <c r="V63" s="912">
        <f t="shared" si="6"/>
        <v>180</v>
      </c>
      <c r="W63" s="913">
        <f t="shared" si="6"/>
        <v>420</v>
      </c>
      <c r="X63" s="914">
        <f t="shared" si="4"/>
        <v>2.3333333333333335</v>
      </c>
    </row>
    <row r="64" spans="2:24" s="924" customFormat="1" ht="38.25">
      <c r="B64" s="908"/>
      <c r="C64" s="925" t="s">
        <v>917</v>
      </c>
      <c r="D64" s="910"/>
      <c r="E64" s="910"/>
      <c r="F64" s="860"/>
      <c r="G64" s="910"/>
      <c r="H64" s="910"/>
      <c r="I64" s="860"/>
      <c r="J64" s="910"/>
      <c r="K64" s="910"/>
      <c r="L64" s="860"/>
      <c r="M64" s="911"/>
      <c r="N64" s="910"/>
      <c r="O64" s="860"/>
      <c r="P64" s="911"/>
      <c r="Q64" s="910"/>
      <c r="R64" s="860"/>
      <c r="S64" s="910">
        <v>143802</v>
      </c>
      <c r="T64" s="910">
        <v>0</v>
      </c>
      <c r="U64" s="860">
        <f>T64/S64</f>
        <v>0</v>
      </c>
      <c r="V64" s="912">
        <f t="shared" si="6"/>
        <v>143802</v>
      </c>
      <c r="W64" s="913">
        <f t="shared" si="6"/>
        <v>0</v>
      </c>
      <c r="X64" s="914">
        <f t="shared" si="4"/>
        <v>0</v>
      </c>
    </row>
    <row r="65" spans="1:24" s="924" customFormat="1" ht="25.5">
      <c r="A65" s="924" t="s">
        <v>1152</v>
      </c>
      <c r="B65" s="908"/>
      <c r="C65" s="925" t="s">
        <v>918</v>
      </c>
      <c r="D65" s="910"/>
      <c r="E65" s="910"/>
      <c r="F65" s="860"/>
      <c r="G65" s="910"/>
      <c r="H65" s="910"/>
      <c r="I65" s="860"/>
      <c r="J65" s="910">
        <v>8000</v>
      </c>
      <c r="K65" s="910">
        <v>8000</v>
      </c>
      <c r="L65" s="860">
        <f t="shared" si="8"/>
        <v>1</v>
      </c>
      <c r="M65" s="911"/>
      <c r="N65" s="910"/>
      <c r="O65" s="860"/>
      <c r="P65" s="911"/>
      <c r="Q65" s="910"/>
      <c r="R65" s="860"/>
      <c r="S65" s="910"/>
      <c r="T65" s="910"/>
      <c r="U65" s="860"/>
      <c r="V65" s="912">
        <f aca="true" t="shared" si="9" ref="V65:W80">D65+G65+J65+M65+P65+S65</f>
        <v>8000</v>
      </c>
      <c r="W65" s="913">
        <f t="shared" si="9"/>
        <v>8000</v>
      </c>
      <c r="X65" s="914">
        <f t="shared" si="4"/>
        <v>1</v>
      </c>
    </row>
    <row r="66" spans="1:24" s="924" customFormat="1" ht="25.5">
      <c r="A66" s="924" t="s">
        <v>1152</v>
      </c>
      <c r="B66" s="908"/>
      <c r="C66" s="925" t="s">
        <v>919</v>
      </c>
      <c r="D66" s="910"/>
      <c r="E66" s="910"/>
      <c r="F66" s="860"/>
      <c r="G66" s="910"/>
      <c r="H66" s="910"/>
      <c r="I66" s="860"/>
      <c r="J66" s="910">
        <v>0</v>
      </c>
      <c r="K66" s="910">
        <v>2794</v>
      </c>
      <c r="L66" s="860">
        <v>0</v>
      </c>
      <c r="M66" s="911"/>
      <c r="N66" s="910"/>
      <c r="O66" s="860"/>
      <c r="P66" s="911"/>
      <c r="Q66" s="910"/>
      <c r="R66" s="860"/>
      <c r="S66" s="910"/>
      <c r="T66" s="910"/>
      <c r="U66" s="860"/>
      <c r="V66" s="912">
        <f t="shared" si="9"/>
        <v>0</v>
      </c>
      <c r="W66" s="913">
        <f t="shared" si="9"/>
        <v>2794</v>
      </c>
      <c r="X66" s="914">
        <v>0</v>
      </c>
    </row>
    <row r="67" spans="1:24" s="924" customFormat="1" ht="25.5">
      <c r="A67" s="924" t="s">
        <v>1152</v>
      </c>
      <c r="B67" s="908"/>
      <c r="C67" s="925" t="s">
        <v>920</v>
      </c>
      <c r="D67" s="910"/>
      <c r="E67" s="910"/>
      <c r="F67" s="860"/>
      <c r="G67" s="910"/>
      <c r="H67" s="910"/>
      <c r="I67" s="860"/>
      <c r="J67" s="910">
        <v>2831</v>
      </c>
      <c r="K67" s="910">
        <v>2831</v>
      </c>
      <c r="L67" s="860">
        <f t="shared" si="8"/>
        <v>1</v>
      </c>
      <c r="M67" s="911"/>
      <c r="N67" s="910"/>
      <c r="O67" s="860"/>
      <c r="P67" s="911"/>
      <c r="Q67" s="910"/>
      <c r="R67" s="860"/>
      <c r="S67" s="910"/>
      <c r="T67" s="910"/>
      <c r="U67" s="860"/>
      <c r="V67" s="912">
        <f t="shared" si="9"/>
        <v>2831</v>
      </c>
      <c r="W67" s="913">
        <f t="shared" si="9"/>
        <v>2831</v>
      </c>
      <c r="X67" s="914">
        <f t="shared" si="4"/>
        <v>1</v>
      </c>
    </row>
    <row r="68" spans="2:24" s="924" customFormat="1" ht="25.5">
      <c r="B68" s="908"/>
      <c r="C68" s="925" t="s">
        <v>921</v>
      </c>
      <c r="D68" s="910"/>
      <c r="E68" s="910"/>
      <c r="F68" s="860"/>
      <c r="G68" s="910"/>
      <c r="H68" s="910"/>
      <c r="I68" s="860"/>
      <c r="J68" s="910">
        <v>1714</v>
      </c>
      <c r="K68" s="910">
        <v>0</v>
      </c>
      <c r="L68" s="860">
        <f t="shared" si="8"/>
        <v>0</v>
      </c>
      <c r="M68" s="911"/>
      <c r="N68" s="910"/>
      <c r="O68" s="860"/>
      <c r="P68" s="911"/>
      <c r="Q68" s="910"/>
      <c r="R68" s="860"/>
      <c r="S68" s="910"/>
      <c r="T68" s="910"/>
      <c r="U68" s="860"/>
      <c r="V68" s="912">
        <f t="shared" si="9"/>
        <v>1714</v>
      </c>
      <c r="W68" s="913">
        <f t="shared" si="9"/>
        <v>0</v>
      </c>
      <c r="X68" s="914">
        <f t="shared" si="4"/>
        <v>0</v>
      </c>
    </row>
    <row r="69" spans="1:24" s="924" customFormat="1" ht="25.5">
      <c r="A69" s="924" t="s">
        <v>1152</v>
      </c>
      <c r="B69" s="908"/>
      <c r="C69" s="925" t="s">
        <v>922</v>
      </c>
      <c r="D69" s="910"/>
      <c r="E69" s="910"/>
      <c r="F69" s="860"/>
      <c r="G69" s="910"/>
      <c r="H69" s="910"/>
      <c r="I69" s="860"/>
      <c r="J69" s="910">
        <v>3307</v>
      </c>
      <c r="K69" s="910">
        <v>3384</v>
      </c>
      <c r="L69" s="860">
        <f t="shared" si="8"/>
        <v>1.023283943150892</v>
      </c>
      <c r="M69" s="911"/>
      <c r="N69" s="910"/>
      <c r="O69" s="860"/>
      <c r="P69" s="911"/>
      <c r="Q69" s="910"/>
      <c r="R69" s="860"/>
      <c r="S69" s="910"/>
      <c r="T69" s="910"/>
      <c r="U69" s="860"/>
      <c r="V69" s="912">
        <f t="shared" si="9"/>
        <v>3307</v>
      </c>
      <c r="W69" s="913">
        <f t="shared" si="9"/>
        <v>3384</v>
      </c>
      <c r="X69" s="914">
        <f t="shared" si="4"/>
        <v>1.023283943150892</v>
      </c>
    </row>
    <row r="70" spans="1:24" s="924" customFormat="1" ht="25.5">
      <c r="A70" s="924" t="s">
        <v>1152</v>
      </c>
      <c r="B70" s="908"/>
      <c r="C70" s="925" t="s">
        <v>923</v>
      </c>
      <c r="D70" s="910"/>
      <c r="E70" s="910"/>
      <c r="F70" s="860"/>
      <c r="G70" s="910"/>
      <c r="H70" s="910"/>
      <c r="I70" s="860"/>
      <c r="J70" s="910">
        <v>2591</v>
      </c>
      <c r="K70" s="910">
        <v>2643</v>
      </c>
      <c r="L70" s="860">
        <f t="shared" si="8"/>
        <v>1.020069471246623</v>
      </c>
      <c r="M70" s="911"/>
      <c r="N70" s="910"/>
      <c r="O70" s="860"/>
      <c r="P70" s="911"/>
      <c r="Q70" s="910"/>
      <c r="R70" s="860"/>
      <c r="S70" s="910"/>
      <c r="T70" s="910"/>
      <c r="U70" s="860"/>
      <c r="V70" s="912">
        <f t="shared" si="9"/>
        <v>2591</v>
      </c>
      <c r="W70" s="913">
        <f t="shared" si="9"/>
        <v>2643</v>
      </c>
      <c r="X70" s="914">
        <f t="shared" si="4"/>
        <v>1.020069471246623</v>
      </c>
    </row>
    <row r="71" spans="2:24" s="924" customFormat="1" ht="13.5" customHeight="1">
      <c r="B71" s="908"/>
      <c r="C71" s="925" t="s">
        <v>924</v>
      </c>
      <c r="D71" s="910"/>
      <c r="E71" s="910"/>
      <c r="F71" s="860"/>
      <c r="G71" s="910"/>
      <c r="H71" s="910"/>
      <c r="I71" s="860"/>
      <c r="J71" s="910">
        <f>600+1025-400+120+204</f>
        <v>1549</v>
      </c>
      <c r="K71" s="910">
        <v>0</v>
      </c>
      <c r="L71" s="860">
        <f t="shared" si="8"/>
        <v>0</v>
      </c>
      <c r="M71" s="911"/>
      <c r="N71" s="910"/>
      <c r="O71" s="860"/>
      <c r="P71" s="911"/>
      <c r="Q71" s="910"/>
      <c r="R71" s="860"/>
      <c r="S71" s="910"/>
      <c r="T71" s="910"/>
      <c r="U71" s="860"/>
      <c r="V71" s="912">
        <f t="shared" si="9"/>
        <v>1549</v>
      </c>
      <c r="W71" s="913">
        <f t="shared" si="9"/>
        <v>0</v>
      </c>
      <c r="X71" s="914">
        <f t="shared" si="4"/>
        <v>0</v>
      </c>
    </row>
    <row r="72" spans="1:24" s="924" customFormat="1" ht="25.5">
      <c r="A72" s="924" t="s">
        <v>1152</v>
      </c>
      <c r="B72" s="908"/>
      <c r="C72" s="925" t="s">
        <v>925</v>
      </c>
      <c r="D72" s="910"/>
      <c r="E72" s="910"/>
      <c r="F72" s="860"/>
      <c r="G72" s="910"/>
      <c r="H72" s="910"/>
      <c r="I72" s="860"/>
      <c r="J72" s="910"/>
      <c r="K72" s="910"/>
      <c r="L72" s="860"/>
      <c r="M72" s="911"/>
      <c r="N72" s="910"/>
      <c r="O72" s="860"/>
      <c r="P72" s="911">
        <v>11871</v>
      </c>
      <c r="Q72" s="910">
        <v>14809</v>
      </c>
      <c r="R72" s="860">
        <f>Q72/P72</f>
        <v>1.2474938926796395</v>
      </c>
      <c r="S72" s="910"/>
      <c r="T72" s="910"/>
      <c r="U72" s="860"/>
      <c r="V72" s="912">
        <f t="shared" si="9"/>
        <v>11871</v>
      </c>
      <c r="W72" s="913">
        <f t="shared" si="9"/>
        <v>14809</v>
      </c>
      <c r="X72" s="914">
        <f t="shared" si="4"/>
        <v>1.2474938926796395</v>
      </c>
    </row>
    <row r="73" spans="2:24" s="924" customFormat="1" ht="25.5">
      <c r="B73" s="908"/>
      <c r="C73" s="925" t="s">
        <v>926</v>
      </c>
      <c r="D73" s="910"/>
      <c r="E73" s="910"/>
      <c r="F73" s="860"/>
      <c r="G73" s="910"/>
      <c r="H73" s="910"/>
      <c r="I73" s="860"/>
      <c r="J73" s="910"/>
      <c r="K73" s="910"/>
      <c r="L73" s="860"/>
      <c r="M73" s="911"/>
      <c r="N73" s="910"/>
      <c r="O73" s="860"/>
      <c r="P73" s="911"/>
      <c r="Q73" s="910"/>
      <c r="R73" s="860"/>
      <c r="S73" s="910">
        <v>2000</v>
      </c>
      <c r="T73" s="910">
        <v>0</v>
      </c>
      <c r="U73" s="860">
        <f>T73/S73</f>
        <v>0</v>
      </c>
      <c r="V73" s="912">
        <f t="shared" si="9"/>
        <v>2000</v>
      </c>
      <c r="W73" s="913">
        <f t="shared" si="9"/>
        <v>0</v>
      </c>
      <c r="X73" s="914">
        <f t="shared" si="4"/>
        <v>0</v>
      </c>
    </row>
    <row r="74" spans="1:24" s="924" customFormat="1" ht="38.25">
      <c r="A74" s="924" t="s">
        <v>1152</v>
      </c>
      <c r="B74" s="908"/>
      <c r="C74" s="925" t="s">
        <v>927</v>
      </c>
      <c r="D74" s="910"/>
      <c r="E74" s="910"/>
      <c r="F74" s="860"/>
      <c r="G74" s="910"/>
      <c r="H74" s="910"/>
      <c r="I74" s="860"/>
      <c r="J74" s="910">
        <v>10000</v>
      </c>
      <c r="K74" s="910">
        <v>10000</v>
      </c>
      <c r="L74" s="860">
        <f>K74/J74</f>
        <v>1</v>
      </c>
      <c r="M74" s="911"/>
      <c r="N74" s="910"/>
      <c r="O74" s="860"/>
      <c r="P74" s="911"/>
      <c r="Q74" s="910"/>
      <c r="R74" s="860"/>
      <c r="S74" s="910"/>
      <c r="T74" s="910"/>
      <c r="U74" s="860"/>
      <c r="V74" s="912">
        <f t="shared" si="9"/>
        <v>10000</v>
      </c>
      <c r="W74" s="913">
        <f t="shared" si="9"/>
        <v>10000</v>
      </c>
      <c r="X74" s="914">
        <f t="shared" si="4"/>
        <v>1</v>
      </c>
    </row>
    <row r="75" spans="2:24" s="924" customFormat="1" ht="12.75">
      <c r="B75" s="908"/>
      <c r="C75" s="925" t="s">
        <v>928</v>
      </c>
      <c r="D75" s="910"/>
      <c r="E75" s="910"/>
      <c r="F75" s="860"/>
      <c r="G75" s="910"/>
      <c r="H75" s="910"/>
      <c r="I75" s="860"/>
      <c r="J75" s="910">
        <v>3048</v>
      </c>
      <c r="K75" s="910">
        <v>0</v>
      </c>
      <c r="L75" s="860">
        <f>K75/J75</f>
        <v>0</v>
      </c>
      <c r="M75" s="911"/>
      <c r="N75" s="910"/>
      <c r="O75" s="860"/>
      <c r="P75" s="911"/>
      <c r="Q75" s="910"/>
      <c r="R75" s="860"/>
      <c r="S75" s="910"/>
      <c r="T75" s="910"/>
      <c r="U75" s="860"/>
      <c r="V75" s="912">
        <f t="shared" si="9"/>
        <v>3048</v>
      </c>
      <c r="W75" s="913">
        <f t="shared" si="9"/>
        <v>0</v>
      </c>
      <c r="X75" s="914">
        <f t="shared" si="4"/>
        <v>0</v>
      </c>
    </row>
    <row r="76" spans="1:24" s="924" customFormat="1" ht="14.25" customHeight="1">
      <c r="A76" s="924" t="s">
        <v>1153</v>
      </c>
      <c r="B76" s="908"/>
      <c r="C76" s="925" t="s">
        <v>929</v>
      </c>
      <c r="D76" s="910"/>
      <c r="E76" s="910"/>
      <c r="F76" s="860"/>
      <c r="G76" s="910"/>
      <c r="H76" s="910"/>
      <c r="I76" s="860"/>
      <c r="J76" s="910">
        <v>10000</v>
      </c>
      <c r="K76" s="910">
        <v>0</v>
      </c>
      <c r="L76" s="860">
        <f>K76/J76</f>
        <v>0</v>
      </c>
      <c r="M76" s="911">
        <v>0</v>
      </c>
      <c r="N76" s="910">
        <v>2960</v>
      </c>
      <c r="O76" s="860">
        <v>0</v>
      </c>
      <c r="P76" s="911"/>
      <c r="Q76" s="910"/>
      <c r="R76" s="860"/>
      <c r="S76" s="910"/>
      <c r="T76" s="910"/>
      <c r="U76" s="860"/>
      <c r="V76" s="912">
        <f t="shared" si="9"/>
        <v>10000</v>
      </c>
      <c r="W76" s="913">
        <f t="shared" si="9"/>
        <v>2960</v>
      </c>
      <c r="X76" s="914">
        <f t="shared" si="4"/>
        <v>0.296</v>
      </c>
    </row>
    <row r="77" spans="1:24" s="924" customFormat="1" ht="12.75">
      <c r="A77" s="924" t="s">
        <v>1152</v>
      </c>
      <c r="B77" s="908"/>
      <c r="C77" s="925" t="s">
        <v>930</v>
      </c>
      <c r="D77" s="911"/>
      <c r="E77" s="910"/>
      <c r="F77" s="860"/>
      <c r="G77" s="910"/>
      <c r="H77" s="910"/>
      <c r="I77" s="860"/>
      <c r="J77" s="910"/>
      <c r="K77" s="910"/>
      <c r="L77" s="860"/>
      <c r="M77" s="911"/>
      <c r="N77" s="910"/>
      <c r="O77" s="860"/>
      <c r="P77" s="911"/>
      <c r="Q77" s="910"/>
      <c r="R77" s="860"/>
      <c r="S77" s="910">
        <v>0</v>
      </c>
      <c r="T77" s="910">
        <v>100000</v>
      </c>
      <c r="U77" s="860">
        <v>0</v>
      </c>
      <c r="V77" s="912">
        <f t="shared" si="9"/>
        <v>0</v>
      </c>
      <c r="W77" s="913">
        <f t="shared" si="9"/>
        <v>100000</v>
      </c>
      <c r="X77" s="914">
        <v>0</v>
      </c>
    </row>
    <row r="78" spans="1:24" s="924" customFormat="1" ht="12" customHeight="1">
      <c r="A78" s="924" t="s">
        <v>1152</v>
      </c>
      <c r="B78" s="908"/>
      <c r="C78" s="925" t="s">
        <v>931</v>
      </c>
      <c r="D78" s="911"/>
      <c r="E78" s="910"/>
      <c r="F78" s="860"/>
      <c r="G78" s="910"/>
      <c r="H78" s="910"/>
      <c r="I78" s="860"/>
      <c r="J78" s="910">
        <v>0</v>
      </c>
      <c r="K78" s="910">
        <v>7620</v>
      </c>
      <c r="L78" s="860">
        <v>0</v>
      </c>
      <c r="M78" s="911"/>
      <c r="N78" s="910"/>
      <c r="O78" s="860"/>
      <c r="P78" s="911"/>
      <c r="Q78" s="910"/>
      <c r="R78" s="860"/>
      <c r="S78" s="910"/>
      <c r="T78" s="910"/>
      <c r="U78" s="860"/>
      <c r="V78" s="912">
        <f t="shared" si="9"/>
        <v>0</v>
      </c>
      <c r="W78" s="913">
        <f t="shared" si="9"/>
        <v>7620</v>
      </c>
      <c r="X78" s="914">
        <v>0</v>
      </c>
    </row>
    <row r="79" spans="1:24" s="924" customFormat="1" ht="25.5">
      <c r="A79" s="1249" t="s">
        <v>1154</v>
      </c>
      <c r="B79" s="908"/>
      <c r="C79" s="1237" t="s">
        <v>932</v>
      </c>
      <c r="D79" s="911"/>
      <c r="E79" s="910"/>
      <c r="F79" s="860"/>
      <c r="G79" s="910"/>
      <c r="H79" s="910"/>
      <c r="I79" s="860"/>
      <c r="J79" s="910">
        <v>0</v>
      </c>
      <c r="K79" s="910">
        <v>1378</v>
      </c>
      <c r="L79" s="860">
        <v>0</v>
      </c>
      <c r="M79" s="911"/>
      <c r="N79" s="910"/>
      <c r="O79" s="860"/>
      <c r="P79" s="911"/>
      <c r="Q79" s="910"/>
      <c r="R79" s="860"/>
      <c r="S79" s="910"/>
      <c r="T79" s="910"/>
      <c r="U79" s="860"/>
      <c r="V79" s="912">
        <f t="shared" si="9"/>
        <v>0</v>
      </c>
      <c r="W79" s="913">
        <f t="shared" si="9"/>
        <v>1378</v>
      </c>
      <c r="X79" s="914">
        <v>0</v>
      </c>
    </row>
    <row r="80" spans="1:24" s="924" customFormat="1" ht="27" customHeight="1">
      <c r="A80" s="924" t="s">
        <v>1152</v>
      </c>
      <c r="B80" s="908"/>
      <c r="C80" s="925" t="s">
        <v>933</v>
      </c>
      <c r="D80" s="911"/>
      <c r="E80" s="910"/>
      <c r="F80" s="860"/>
      <c r="G80" s="910"/>
      <c r="H80" s="910"/>
      <c r="I80" s="860"/>
      <c r="J80" s="910">
        <v>0</v>
      </c>
      <c r="K80" s="910">
        <v>1000</v>
      </c>
      <c r="L80" s="860">
        <v>0</v>
      </c>
      <c r="M80" s="911"/>
      <c r="N80" s="910"/>
      <c r="O80" s="860"/>
      <c r="P80" s="911"/>
      <c r="Q80" s="910"/>
      <c r="R80" s="860"/>
      <c r="S80" s="910"/>
      <c r="T80" s="910"/>
      <c r="U80" s="860"/>
      <c r="V80" s="912">
        <f t="shared" si="9"/>
        <v>0</v>
      </c>
      <c r="W80" s="913">
        <f t="shared" si="9"/>
        <v>1000</v>
      </c>
      <c r="X80" s="914">
        <v>0</v>
      </c>
    </row>
    <row r="81" spans="1:24" s="924" customFormat="1" ht="25.5">
      <c r="A81" s="924" t="s">
        <v>1152</v>
      </c>
      <c r="B81" s="908"/>
      <c r="C81" s="925" t="s">
        <v>934</v>
      </c>
      <c r="D81" s="911"/>
      <c r="E81" s="910"/>
      <c r="F81" s="860"/>
      <c r="G81" s="910"/>
      <c r="H81" s="910"/>
      <c r="I81" s="860"/>
      <c r="J81" s="910">
        <v>0</v>
      </c>
      <c r="K81" s="910">
        <v>10000</v>
      </c>
      <c r="L81" s="860">
        <v>0</v>
      </c>
      <c r="M81" s="911"/>
      <c r="N81" s="910"/>
      <c r="O81" s="860"/>
      <c r="P81" s="911"/>
      <c r="Q81" s="910"/>
      <c r="R81" s="860"/>
      <c r="S81" s="910"/>
      <c r="T81" s="910"/>
      <c r="U81" s="860"/>
      <c r="V81" s="912">
        <f aca="true" t="shared" si="10" ref="V81:W86">D81+G81+J81+M81+P81+S81</f>
        <v>0</v>
      </c>
      <c r="W81" s="913">
        <f t="shared" si="10"/>
        <v>10000</v>
      </c>
      <c r="X81" s="914">
        <v>0</v>
      </c>
    </row>
    <row r="82" spans="1:24" s="924" customFormat="1" ht="25.5">
      <c r="A82" s="924" t="s">
        <v>1153</v>
      </c>
      <c r="B82" s="908"/>
      <c r="C82" s="1229" t="s">
        <v>935</v>
      </c>
      <c r="D82" s="911"/>
      <c r="E82" s="910"/>
      <c r="F82" s="860"/>
      <c r="G82" s="910"/>
      <c r="H82" s="910"/>
      <c r="I82" s="860"/>
      <c r="J82" s="910">
        <v>0</v>
      </c>
      <c r="K82" s="910">
        <v>30400</v>
      </c>
      <c r="L82" s="860">
        <v>0</v>
      </c>
      <c r="M82" s="911"/>
      <c r="N82" s="910"/>
      <c r="O82" s="860"/>
      <c r="P82" s="911"/>
      <c r="Q82" s="910"/>
      <c r="R82" s="860"/>
      <c r="S82" s="910"/>
      <c r="T82" s="910"/>
      <c r="U82" s="860"/>
      <c r="V82" s="912">
        <f t="shared" si="10"/>
        <v>0</v>
      </c>
      <c r="W82" s="913">
        <f t="shared" si="10"/>
        <v>30400</v>
      </c>
      <c r="X82" s="914">
        <v>0</v>
      </c>
    </row>
    <row r="83" spans="1:24" s="924" customFormat="1" ht="25.5">
      <c r="A83" s="924" t="s">
        <v>1152</v>
      </c>
      <c r="B83" s="908"/>
      <c r="C83" s="925" t="s">
        <v>936</v>
      </c>
      <c r="D83" s="911"/>
      <c r="E83" s="910"/>
      <c r="F83" s="860"/>
      <c r="G83" s="910"/>
      <c r="H83" s="910"/>
      <c r="I83" s="860"/>
      <c r="J83" s="910"/>
      <c r="K83" s="910"/>
      <c r="L83" s="860"/>
      <c r="M83" s="911"/>
      <c r="N83" s="910"/>
      <c r="O83" s="860"/>
      <c r="P83" s="911">
        <v>0</v>
      </c>
      <c r="Q83" s="910">
        <v>3492</v>
      </c>
      <c r="R83" s="860">
        <v>0</v>
      </c>
      <c r="S83" s="910"/>
      <c r="T83" s="910"/>
      <c r="U83" s="860"/>
      <c r="V83" s="912">
        <f t="shared" si="10"/>
        <v>0</v>
      </c>
      <c r="W83" s="913">
        <f t="shared" si="10"/>
        <v>3492</v>
      </c>
      <c r="X83" s="914">
        <v>0</v>
      </c>
    </row>
    <row r="84" spans="1:24" s="924" customFormat="1" ht="25.5">
      <c r="A84" s="924" t="s">
        <v>1152</v>
      </c>
      <c r="B84" s="908"/>
      <c r="C84" s="925" t="s">
        <v>937</v>
      </c>
      <c r="D84" s="911"/>
      <c r="E84" s="910"/>
      <c r="F84" s="860"/>
      <c r="G84" s="910"/>
      <c r="H84" s="910"/>
      <c r="I84" s="860"/>
      <c r="J84" s="910">
        <v>0</v>
      </c>
      <c r="K84" s="910">
        <v>3000</v>
      </c>
      <c r="L84" s="860">
        <v>0</v>
      </c>
      <c r="M84" s="911"/>
      <c r="N84" s="910"/>
      <c r="O84" s="860"/>
      <c r="P84" s="911"/>
      <c r="Q84" s="910"/>
      <c r="R84" s="860"/>
      <c r="S84" s="910"/>
      <c r="T84" s="910"/>
      <c r="U84" s="860"/>
      <c r="V84" s="912">
        <f t="shared" si="10"/>
        <v>0</v>
      </c>
      <c r="W84" s="913">
        <f t="shared" si="10"/>
        <v>3000</v>
      </c>
      <c r="X84" s="914">
        <v>0</v>
      </c>
    </row>
    <row r="85" spans="1:24" s="924" customFormat="1" ht="25.5">
      <c r="A85" s="924" t="s">
        <v>1152</v>
      </c>
      <c r="B85" s="908"/>
      <c r="C85" s="925" t="s">
        <v>938</v>
      </c>
      <c r="D85" s="911">
        <v>0</v>
      </c>
      <c r="E85" s="910">
        <v>839</v>
      </c>
      <c r="F85" s="860">
        <v>0</v>
      </c>
      <c r="G85" s="910">
        <v>0</v>
      </c>
      <c r="H85" s="910">
        <v>213</v>
      </c>
      <c r="I85" s="860">
        <v>0</v>
      </c>
      <c r="J85" s="910"/>
      <c r="K85" s="910"/>
      <c r="L85" s="860"/>
      <c r="M85" s="911"/>
      <c r="N85" s="910"/>
      <c r="O85" s="860"/>
      <c r="P85" s="911"/>
      <c r="Q85" s="910"/>
      <c r="R85" s="860"/>
      <c r="S85" s="910"/>
      <c r="T85" s="910"/>
      <c r="U85" s="860"/>
      <c r="V85" s="912">
        <f t="shared" si="10"/>
        <v>0</v>
      </c>
      <c r="W85" s="913">
        <f t="shared" si="10"/>
        <v>1052</v>
      </c>
      <c r="X85" s="914">
        <v>0</v>
      </c>
    </row>
    <row r="86" spans="1:24" s="924" customFormat="1" ht="12.75">
      <c r="A86" s="924" t="s">
        <v>1152</v>
      </c>
      <c r="B86" s="908"/>
      <c r="C86" s="925" t="s">
        <v>939</v>
      </c>
      <c r="D86" s="911"/>
      <c r="E86" s="910"/>
      <c r="F86" s="860"/>
      <c r="G86" s="910"/>
      <c r="H86" s="910"/>
      <c r="I86" s="860"/>
      <c r="J86" s="910">
        <v>0</v>
      </c>
      <c r="K86" s="910">
        <v>2165</v>
      </c>
      <c r="L86" s="860">
        <v>0</v>
      </c>
      <c r="M86" s="911"/>
      <c r="N86" s="910"/>
      <c r="O86" s="860"/>
      <c r="P86" s="911"/>
      <c r="Q86" s="910"/>
      <c r="R86" s="860"/>
      <c r="S86" s="910"/>
      <c r="T86" s="910"/>
      <c r="U86" s="860"/>
      <c r="V86" s="912">
        <f t="shared" si="10"/>
        <v>0</v>
      </c>
      <c r="W86" s="913">
        <f t="shared" si="10"/>
        <v>2165</v>
      </c>
      <c r="X86" s="914">
        <v>0</v>
      </c>
    </row>
    <row r="87" spans="1:24" s="924" customFormat="1" ht="25.5">
      <c r="A87" s="924" t="s">
        <v>1152</v>
      </c>
      <c r="B87" s="908"/>
      <c r="C87" s="925" t="s">
        <v>1187</v>
      </c>
      <c r="D87" s="911"/>
      <c r="E87" s="910"/>
      <c r="F87" s="860"/>
      <c r="G87" s="910"/>
      <c r="H87" s="910"/>
      <c r="I87" s="860"/>
      <c r="J87" s="910"/>
      <c r="K87" s="910"/>
      <c r="L87" s="860"/>
      <c r="M87" s="911"/>
      <c r="N87" s="910"/>
      <c r="O87" s="860"/>
      <c r="P87" s="911">
        <v>0</v>
      </c>
      <c r="Q87" s="910">
        <v>130</v>
      </c>
      <c r="R87" s="860"/>
      <c r="S87" s="910"/>
      <c r="T87" s="910"/>
      <c r="U87" s="860"/>
      <c r="V87" s="912">
        <f aca="true" t="shared" si="11" ref="V87:W97">D87+G87+J87+M87+P87+S87</f>
        <v>0</v>
      </c>
      <c r="W87" s="913">
        <f t="shared" si="11"/>
        <v>130</v>
      </c>
      <c r="X87" s="914"/>
    </row>
    <row r="88" spans="1:24" s="924" customFormat="1" ht="25.5">
      <c r="A88" s="924" t="s">
        <v>1152</v>
      </c>
      <c r="B88" s="908"/>
      <c r="C88" s="925" t="s">
        <v>1188</v>
      </c>
      <c r="D88" s="911"/>
      <c r="E88" s="910"/>
      <c r="F88" s="860"/>
      <c r="G88" s="910"/>
      <c r="H88" s="910"/>
      <c r="I88" s="860"/>
      <c r="J88" s="910"/>
      <c r="K88" s="910"/>
      <c r="L88" s="860"/>
      <c r="M88" s="911"/>
      <c r="N88" s="910"/>
      <c r="O88" s="860"/>
      <c r="P88" s="911">
        <v>0</v>
      </c>
      <c r="Q88" s="910">
        <v>260</v>
      </c>
      <c r="R88" s="860"/>
      <c r="S88" s="910"/>
      <c r="T88" s="910"/>
      <c r="U88" s="860"/>
      <c r="V88" s="912">
        <f t="shared" si="11"/>
        <v>0</v>
      </c>
      <c r="W88" s="913">
        <f t="shared" si="11"/>
        <v>260</v>
      </c>
      <c r="X88" s="914"/>
    </row>
    <row r="89" spans="2:24" s="924" customFormat="1" ht="25.5">
      <c r="B89" s="908"/>
      <c r="C89" s="925" t="s">
        <v>1189</v>
      </c>
      <c r="D89" s="911"/>
      <c r="E89" s="910"/>
      <c r="F89" s="860"/>
      <c r="G89" s="910"/>
      <c r="H89" s="910"/>
      <c r="I89" s="860"/>
      <c r="J89" s="910"/>
      <c r="K89" s="910"/>
      <c r="L89" s="860"/>
      <c r="M89" s="911"/>
      <c r="N89" s="910"/>
      <c r="O89" s="860"/>
      <c r="P89" s="911"/>
      <c r="Q89" s="910"/>
      <c r="R89" s="860"/>
      <c r="S89" s="910">
        <v>0</v>
      </c>
      <c r="T89" s="910">
        <v>5000</v>
      </c>
      <c r="U89" s="860"/>
      <c r="V89" s="912">
        <f t="shared" si="11"/>
        <v>0</v>
      </c>
      <c r="W89" s="913">
        <f t="shared" si="11"/>
        <v>5000</v>
      </c>
      <c r="X89" s="914"/>
    </row>
    <row r="90" spans="2:24" s="924" customFormat="1" ht="38.25">
      <c r="B90" s="908"/>
      <c r="C90" s="925" t="s">
        <v>673</v>
      </c>
      <c r="D90" s="911"/>
      <c r="E90" s="910"/>
      <c r="F90" s="860"/>
      <c r="G90" s="910"/>
      <c r="H90" s="910"/>
      <c r="I90" s="860"/>
      <c r="J90" s="910"/>
      <c r="K90" s="910"/>
      <c r="L90" s="860"/>
      <c r="M90" s="911"/>
      <c r="N90" s="910"/>
      <c r="O90" s="860"/>
      <c r="P90" s="911"/>
      <c r="Q90" s="910"/>
      <c r="R90" s="860"/>
      <c r="S90" s="910">
        <v>0</v>
      </c>
      <c r="T90" s="910">
        <v>550</v>
      </c>
      <c r="U90" s="860"/>
      <c r="V90" s="912">
        <f t="shared" si="11"/>
        <v>0</v>
      </c>
      <c r="W90" s="913">
        <f t="shared" si="11"/>
        <v>550</v>
      </c>
      <c r="X90" s="914"/>
    </row>
    <row r="91" spans="2:24" s="924" customFormat="1" ht="25.5">
      <c r="B91" s="908"/>
      <c r="C91" s="925" t="s">
        <v>1190</v>
      </c>
      <c r="D91" s="911"/>
      <c r="E91" s="910"/>
      <c r="F91" s="860"/>
      <c r="G91" s="910"/>
      <c r="H91" s="910"/>
      <c r="I91" s="860"/>
      <c r="J91" s="910">
        <v>0</v>
      </c>
      <c r="K91" s="910">
        <v>1426</v>
      </c>
      <c r="L91" s="860"/>
      <c r="M91" s="911"/>
      <c r="N91" s="910"/>
      <c r="O91" s="860"/>
      <c r="P91" s="911">
        <v>0</v>
      </c>
      <c r="Q91" s="910">
        <f>21009+50</f>
        <v>21059</v>
      </c>
      <c r="R91" s="860"/>
      <c r="S91" s="910"/>
      <c r="T91" s="910"/>
      <c r="U91" s="860"/>
      <c r="V91" s="912">
        <f t="shared" si="11"/>
        <v>0</v>
      </c>
      <c r="W91" s="913">
        <f t="shared" si="11"/>
        <v>22485</v>
      </c>
      <c r="X91" s="914"/>
    </row>
    <row r="92" spans="2:24" s="924" customFormat="1" ht="25.5">
      <c r="B92" s="908"/>
      <c r="C92" s="925" t="s">
        <v>1191</v>
      </c>
      <c r="D92" s="911"/>
      <c r="E92" s="910"/>
      <c r="F92" s="860"/>
      <c r="G92" s="910"/>
      <c r="H92" s="910"/>
      <c r="I92" s="860"/>
      <c r="J92" s="910">
        <v>0</v>
      </c>
      <c r="K92" s="910">
        <v>17500</v>
      </c>
      <c r="L92" s="860"/>
      <c r="M92" s="911"/>
      <c r="N92" s="910"/>
      <c r="O92" s="860"/>
      <c r="P92" s="911"/>
      <c r="Q92" s="910"/>
      <c r="R92" s="860"/>
      <c r="S92" s="910"/>
      <c r="T92" s="910"/>
      <c r="U92" s="860"/>
      <c r="V92" s="912">
        <f t="shared" si="11"/>
        <v>0</v>
      </c>
      <c r="W92" s="913">
        <f t="shared" si="11"/>
        <v>17500</v>
      </c>
      <c r="X92" s="914"/>
    </row>
    <row r="93" spans="2:24" s="924" customFormat="1" ht="25.5">
      <c r="B93" s="908"/>
      <c r="C93" s="925" t="s">
        <v>1042</v>
      </c>
      <c r="D93" s="911"/>
      <c r="E93" s="910"/>
      <c r="F93" s="860"/>
      <c r="G93" s="910"/>
      <c r="H93" s="910"/>
      <c r="I93" s="860"/>
      <c r="J93" s="910">
        <v>0</v>
      </c>
      <c r="K93" s="910">
        <v>6500</v>
      </c>
      <c r="L93" s="860"/>
      <c r="M93" s="911"/>
      <c r="N93" s="910"/>
      <c r="O93" s="860"/>
      <c r="P93" s="911"/>
      <c r="Q93" s="910"/>
      <c r="R93" s="860"/>
      <c r="S93" s="910"/>
      <c r="T93" s="910"/>
      <c r="U93" s="860"/>
      <c r="V93" s="912">
        <f t="shared" si="11"/>
        <v>0</v>
      </c>
      <c r="W93" s="913">
        <f t="shared" si="11"/>
        <v>6500</v>
      </c>
      <c r="X93" s="914"/>
    </row>
    <row r="94" spans="2:24" s="924" customFormat="1" ht="25.5">
      <c r="B94" s="908"/>
      <c r="C94" s="925" t="s">
        <v>1043</v>
      </c>
      <c r="D94" s="911"/>
      <c r="E94" s="910"/>
      <c r="F94" s="860"/>
      <c r="G94" s="910"/>
      <c r="H94" s="910"/>
      <c r="I94" s="860"/>
      <c r="J94" s="910">
        <v>0</v>
      </c>
      <c r="K94" s="910">
        <v>6500</v>
      </c>
      <c r="L94" s="860"/>
      <c r="M94" s="911"/>
      <c r="N94" s="910"/>
      <c r="O94" s="860"/>
      <c r="P94" s="911"/>
      <c r="Q94" s="910"/>
      <c r="R94" s="860"/>
      <c r="S94" s="910"/>
      <c r="T94" s="910"/>
      <c r="U94" s="860"/>
      <c r="V94" s="912">
        <f t="shared" si="11"/>
        <v>0</v>
      </c>
      <c r="W94" s="913">
        <f t="shared" si="11"/>
        <v>6500</v>
      </c>
      <c r="X94" s="914"/>
    </row>
    <row r="95" spans="2:24" s="924" customFormat="1" ht="25.5">
      <c r="B95" s="908"/>
      <c r="C95" s="925" t="s">
        <v>1045</v>
      </c>
      <c r="D95" s="911"/>
      <c r="E95" s="910"/>
      <c r="F95" s="860"/>
      <c r="G95" s="910"/>
      <c r="H95" s="910"/>
      <c r="I95" s="860"/>
      <c r="J95" s="910">
        <v>0</v>
      </c>
      <c r="K95" s="910">
        <v>13000</v>
      </c>
      <c r="L95" s="860"/>
      <c r="M95" s="911"/>
      <c r="N95" s="910"/>
      <c r="O95" s="860"/>
      <c r="P95" s="911"/>
      <c r="Q95" s="910"/>
      <c r="R95" s="860"/>
      <c r="S95" s="910"/>
      <c r="T95" s="910"/>
      <c r="U95" s="860"/>
      <c r="V95" s="912">
        <f t="shared" si="11"/>
        <v>0</v>
      </c>
      <c r="W95" s="913">
        <f t="shared" si="11"/>
        <v>13000</v>
      </c>
      <c r="X95" s="914"/>
    </row>
    <row r="96" spans="2:24" s="924" customFormat="1" ht="12.75">
      <c r="B96" s="908"/>
      <c r="C96" s="925" t="s">
        <v>1056</v>
      </c>
      <c r="D96" s="911"/>
      <c r="E96" s="910"/>
      <c r="F96" s="860"/>
      <c r="G96" s="910"/>
      <c r="H96" s="910"/>
      <c r="I96" s="860"/>
      <c r="J96" s="910">
        <v>0</v>
      </c>
      <c r="K96" s="910">
        <v>5000</v>
      </c>
      <c r="L96" s="860"/>
      <c r="M96" s="911"/>
      <c r="N96" s="910"/>
      <c r="O96" s="860"/>
      <c r="P96" s="911"/>
      <c r="Q96" s="910"/>
      <c r="R96" s="860"/>
      <c r="S96" s="910"/>
      <c r="T96" s="910"/>
      <c r="U96" s="860"/>
      <c r="V96" s="912">
        <f t="shared" si="11"/>
        <v>0</v>
      </c>
      <c r="W96" s="913">
        <f t="shared" si="11"/>
        <v>5000</v>
      </c>
      <c r="X96" s="914"/>
    </row>
    <row r="97" spans="2:24" s="924" customFormat="1" ht="25.5">
      <c r="B97" s="908"/>
      <c r="C97" s="925" t="s">
        <v>1192</v>
      </c>
      <c r="D97" s="911"/>
      <c r="E97" s="910"/>
      <c r="F97" s="860"/>
      <c r="G97" s="910"/>
      <c r="H97" s="910"/>
      <c r="I97" s="860"/>
      <c r="J97" s="910">
        <v>0</v>
      </c>
      <c r="K97" s="910">
        <v>4988</v>
      </c>
      <c r="L97" s="860"/>
      <c r="M97" s="911"/>
      <c r="N97" s="910"/>
      <c r="O97" s="860"/>
      <c r="P97" s="911"/>
      <c r="Q97" s="910"/>
      <c r="R97" s="860"/>
      <c r="S97" s="910"/>
      <c r="T97" s="910"/>
      <c r="U97" s="860"/>
      <c r="V97" s="912">
        <f t="shared" si="11"/>
        <v>0</v>
      </c>
      <c r="W97" s="913">
        <f t="shared" si="11"/>
        <v>4988</v>
      </c>
      <c r="X97" s="914">
        <v>0</v>
      </c>
    </row>
    <row r="98" spans="2:24" s="924" customFormat="1" ht="12.75">
      <c r="B98" s="908"/>
      <c r="C98" s="925" t="s">
        <v>1217</v>
      </c>
      <c r="D98" s="911"/>
      <c r="E98" s="910"/>
      <c r="F98" s="860"/>
      <c r="G98" s="910"/>
      <c r="H98" s="910"/>
      <c r="I98" s="860"/>
      <c r="J98" s="910"/>
      <c r="K98" s="910"/>
      <c r="L98" s="860"/>
      <c r="M98" s="911"/>
      <c r="N98" s="910"/>
      <c r="O98" s="860"/>
      <c r="P98" s="911"/>
      <c r="Q98" s="910"/>
      <c r="R98" s="860"/>
      <c r="S98" s="910">
        <v>0</v>
      </c>
      <c r="T98" s="910">
        <v>14849</v>
      </c>
      <c r="U98" s="860"/>
      <c r="V98" s="912">
        <f aca="true" t="shared" si="12" ref="V98:W104">D98+G98+J98+M98+P98+S98</f>
        <v>0</v>
      </c>
      <c r="W98" s="913">
        <f t="shared" si="12"/>
        <v>14849</v>
      </c>
      <c r="X98" s="914"/>
    </row>
    <row r="99" spans="2:24" s="924" customFormat="1" ht="25.5">
      <c r="B99" s="908"/>
      <c r="C99" s="925" t="s">
        <v>1218</v>
      </c>
      <c r="D99" s="911">
        <v>0</v>
      </c>
      <c r="E99" s="910">
        <v>805</v>
      </c>
      <c r="F99" s="860">
        <v>0</v>
      </c>
      <c r="G99" s="910">
        <v>0</v>
      </c>
      <c r="H99" s="910">
        <v>218</v>
      </c>
      <c r="I99" s="860"/>
      <c r="J99" s="910">
        <v>0</v>
      </c>
      <c r="K99" s="910">
        <v>6033</v>
      </c>
      <c r="L99" s="860"/>
      <c r="M99" s="911"/>
      <c r="N99" s="910"/>
      <c r="O99" s="860"/>
      <c r="P99" s="911"/>
      <c r="Q99" s="910"/>
      <c r="R99" s="860"/>
      <c r="S99" s="910"/>
      <c r="T99" s="910"/>
      <c r="U99" s="860"/>
      <c r="V99" s="912">
        <f t="shared" si="12"/>
        <v>0</v>
      </c>
      <c r="W99" s="913">
        <f t="shared" si="12"/>
        <v>7056</v>
      </c>
      <c r="X99" s="914"/>
    </row>
    <row r="100" spans="1:24" s="924" customFormat="1" ht="12.75">
      <c r="A100" s="1402" t="s">
        <v>1153</v>
      </c>
      <c r="B100" s="908"/>
      <c r="C100" s="925" t="s">
        <v>1237</v>
      </c>
      <c r="D100" s="911"/>
      <c r="E100" s="910"/>
      <c r="F100" s="860"/>
      <c r="G100" s="910"/>
      <c r="H100" s="910"/>
      <c r="I100" s="860"/>
      <c r="J100" s="910"/>
      <c r="K100" s="910"/>
      <c r="L100" s="860"/>
      <c r="M100" s="911"/>
      <c r="N100" s="910"/>
      <c r="O100" s="860"/>
      <c r="P100" s="911">
        <v>0</v>
      </c>
      <c r="Q100" s="910">
        <v>3440</v>
      </c>
      <c r="R100" s="860"/>
      <c r="S100" s="910"/>
      <c r="T100" s="910"/>
      <c r="U100" s="860"/>
      <c r="V100" s="912">
        <f t="shared" si="12"/>
        <v>0</v>
      </c>
      <c r="W100" s="913">
        <f t="shared" si="12"/>
        <v>3440</v>
      </c>
      <c r="X100" s="914"/>
    </row>
    <row r="101" spans="1:24" s="924" customFormat="1" ht="12.75">
      <c r="A101" s="1402" t="s">
        <v>1153</v>
      </c>
      <c r="B101" s="908"/>
      <c r="C101" s="925" t="s">
        <v>1238</v>
      </c>
      <c r="D101" s="911"/>
      <c r="E101" s="910"/>
      <c r="F101" s="860"/>
      <c r="G101" s="910"/>
      <c r="H101" s="910"/>
      <c r="I101" s="860"/>
      <c r="J101" s="910"/>
      <c r="K101" s="910"/>
      <c r="L101" s="860"/>
      <c r="M101" s="911"/>
      <c r="N101" s="910"/>
      <c r="O101" s="860"/>
      <c r="P101" s="911"/>
      <c r="Q101" s="910"/>
      <c r="R101" s="860"/>
      <c r="S101" s="910">
        <v>0</v>
      </c>
      <c r="T101" s="910">
        <v>1000</v>
      </c>
      <c r="U101" s="860"/>
      <c r="V101" s="912">
        <f t="shared" si="12"/>
        <v>0</v>
      </c>
      <c r="W101" s="913">
        <f t="shared" si="12"/>
        <v>1000</v>
      </c>
      <c r="X101" s="914"/>
    </row>
    <row r="102" spans="1:24" s="924" customFormat="1" ht="12.75">
      <c r="A102" s="1402" t="s">
        <v>1152</v>
      </c>
      <c r="B102" s="908"/>
      <c r="C102" s="925" t="s">
        <v>1239</v>
      </c>
      <c r="D102" s="911"/>
      <c r="E102" s="910"/>
      <c r="F102" s="860"/>
      <c r="G102" s="910"/>
      <c r="H102" s="910"/>
      <c r="I102" s="860"/>
      <c r="J102" s="910">
        <v>0</v>
      </c>
      <c r="K102" s="910">
        <v>500</v>
      </c>
      <c r="L102" s="860"/>
      <c r="M102" s="911"/>
      <c r="N102" s="910"/>
      <c r="O102" s="860"/>
      <c r="P102" s="911"/>
      <c r="Q102" s="910"/>
      <c r="R102" s="860"/>
      <c r="S102" s="910"/>
      <c r="T102" s="910"/>
      <c r="U102" s="860"/>
      <c r="V102" s="912">
        <f t="shared" si="12"/>
        <v>0</v>
      </c>
      <c r="W102" s="913">
        <f t="shared" si="12"/>
        <v>500</v>
      </c>
      <c r="X102" s="914"/>
    </row>
    <row r="103" spans="1:24" s="924" customFormat="1" ht="12.75" customHeight="1">
      <c r="A103" s="1402" t="s">
        <v>1152</v>
      </c>
      <c r="B103" s="908"/>
      <c r="C103" s="925" t="s">
        <v>1240</v>
      </c>
      <c r="D103" s="911"/>
      <c r="E103" s="910"/>
      <c r="F103" s="860"/>
      <c r="G103" s="910"/>
      <c r="H103" s="910"/>
      <c r="I103" s="860"/>
      <c r="J103" s="910"/>
      <c r="K103" s="910"/>
      <c r="L103" s="860"/>
      <c r="M103" s="911"/>
      <c r="N103" s="910"/>
      <c r="O103" s="860"/>
      <c r="P103" s="911">
        <v>0</v>
      </c>
      <c r="Q103" s="910">
        <v>122</v>
      </c>
      <c r="R103" s="860"/>
      <c r="S103" s="910"/>
      <c r="T103" s="910"/>
      <c r="U103" s="860"/>
      <c r="V103" s="912">
        <f t="shared" si="12"/>
        <v>0</v>
      </c>
      <c r="W103" s="913">
        <f t="shared" si="12"/>
        <v>122</v>
      </c>
      <c r="X103" s="914"/>
    </row>
    <row r="104" spans="1:24" s="924" customFormat="1" ht="25.5">
      <c r="A104" s="1402" t="s">
        <v>1152</v>
      </c>
      <c r="B104" s="908"/>
      <c r="C104" s="925" t="s">
        <v>1241</v>
      </c>
      <c r="D104" s="911"/>
      <c r="E104" s="910"/>
      <c r="F104" s="860"/>
      <c r="G104" s="910"/>
      <c r="H104" s="910"/>
      <c r="I104" s="860"/>
      <c r="J104" s="910"/>
      <c r="K104" s="910"/>
      <c r="L104" s="860"/>
      <c r="M104" s="911"/>
      <c r="N104" s="910"/>
      <c r="O104" s="860"/>
      <c r="P104" s="911"/>
      <c r="Q104" s="910"/>
      <c r="R104" s="860"/>
      <c r="S104" s="910">
        <v>0</v>
      </c>
      <c r="T104" s="910">
        <v>34102</v>
      </c>
      <c r="U104" s="860"/>
      <c r="V104" s="912">
        <f t="shared" si="12"/>
        <v>0</v>
      </c>
      <c r="W104" s="913">
        <f t="shared" si="12"/>
        <v>34102</v>
      </c>
      <c r="X104" s="914"/>
    </row>
    <row r="105" spans="1:24" s="924" customFormat="1" ht="23.25" customHeight="1">
      <c r="A105" s="1402" t="s">
        <v>1152</v>
      </c>
      <c r="B105" s="908"/>
      <c r="C105" s="925" t="s">
        <v>1242</v>
      </c>
      <c r="D105" s="911"/>
      <c r="E105" s="910"/>
      <c r="F105" s="860"/>
      <c r="G105" s="910"/>
      <c r="H105" s="910"/>
      <c r="I105" s="860"/>
      <c r="J105" s="910"/>
      <c r="K105" s="910"/>
      <c r="L105" s="860"/>
      <c r="M105" s="911"/>
      <c r="N105" s="910"/>
      <c r="O105" s="860"/>
      <c r="P105" s="911">
        <v>0</v>
      </c>
      <c r="Q105" s="910">
        <v>2000</v>
      </c>
      <c r="R105" s="860"/>
      <c r="S105" s="910"/>
      <c r="T105" s="910"/>
      <c r="U105" s="860"/>
      <c r="V105" s="912">
        <f aca="true" t="shared" si="13" ref="V105:W111">D105+G105+J105+M105+P105+S105</f>
        <v>0</v>
      </c>
      <c r="W105" s="913">
        <f t="shared" si="13"/>
        <v>2000</v>
      </c>
      <c r="X105" s="914">
        <v>0</v>
      </c>
    </row>
    <row r="106" spans="1:24" s="924" customFormat="1" ht="25.5">
      <c r="A106" s="1402" t="s">
        <v>1152</v>
      </c>
      <c r="B106" s="908"/>
      <c r="C106" s="925" t="s">
        <v>1314</v>
      </c>
      <c r="D106" s="911"/>
      <c r="E106" s="910"/>
      <c r="F106" s="860"/>
      <c r="G106" s="910"/>
      <c r="H106" s="910"/>
      <c r="I106" s="860"/>
      <c r="J106" s="910"/>
      <c r="K106" s="910"/>
      <c r="L106" s="860"/>
      <c r="M106" s="911"/>
      <c r="N106" s="910"/>
      <c r="O106" s="860"/>
      <c r="P106" s="911"/>
      <c r="Q106" s="910"/>
      <c r="R106" s="860"/>
      <c r="S106" s="910">
        <v>0</v>
      </c>
      <c r="T106" s="910">
        <v>146000</v>
      </c>
      <c r="U106" s="860"/>
      <c r="V106" s="912">
        <f>D106+G106+J106+M106+P106+S106</f>
        <v>0</v>
      </c>
      <c r="W106" s="913">
        <f>E106+H106+K106+N106+Q106+T106</f>
        <v>146000</v>
      </c>
      <c r="X106" s="914"/>
    </row>
    <row r="107" spans="2:24" s="924" customFormat="1" ht="12" customHeight="1" thickBot="1">
      <c r="B107" s="908"/>
      <c r="C107" s="925"/>
      <c r="D107" s="911"/>
      <c r="E107" s="910"/>
      <c r="F107" s="860"/>
      <c r="G107" s="910"/>
      <c r="H107" s="910"/>
      <c r="I107" s="860"/>
      <c r="J107" s="910"/>
      <c r="K107" s="910"/>
      <c r="L107" s="860"/>
      <c r="M107" s="911"/>
      <c r="N107" s="910"/>
      <c r="O107" s="860"/>
      <c r="P107" s="911"/>
      <c r="Q107" s="910"/>
      <c r="R107" s="860"/>
      <c r="S107" s="910"/>
      <c r="T107" s="910"/>
      <c r="U107" s="860"/>
      <c r="V107" s="912">
        <f t="shared" si="13"/>
        <v>0</v>
      </c>
      <c r="W107" s="913">
        <f t="shared" si="13"/>
        <v>0</v>
      </c>
      <c r="X107" s="914">
        <v>0</v>
      </c>
    </row>
    <row r="108" spans="2:24" s="932" customFormat="1" ht="13.5" thickBot="1">
      <c r="B108" s="933"/>
      <c r="C108" s="934" t="s">
        <v>940</v>
      </c>
      <c r="D108" s="935">
        <f>SUM(D10:D107)</f>
        <v>79819</v>
      </c>
      <c r="E108" s="936">
        <f>SUM(E10:E107)</f>
        <v>125441</v>
      </c>
      <c r="F108" s="937">
        <f>E108/D108</f>
        <v>1.571568172991393</v>
      </c>
      <c r="G108" s="935">
        <f>SUM(G10:G107)</f>
        <v>20775</v>
      </c>
      <c r="H108" s="936">
        <f>SUM(H10:H107)</f>
        <v>26382</v>
      </c>
      <c r="I108" s="937">
        <f>H108/G108</f>
        <v>1.2698916967509026</v>
      </c>
      <c r="J108" s="935">
        <f>SUM(J10:J107)</f>
        <v>1714100</v>
      </c>
      <c r="K108" s="936">
        <f>SUM(K10:K107)</f>
        <v>2204390</v>
      </c>
      <c r="L108" s="937">
        <f aca="true" t="shared" si="14" ref="L108:L115">K108/J108</f>
        <v>1.2860334869610874</v>
      </c>
      <c r="M108" s="935">
        <f>SUM(M10:M107)</f>
        <v>215750</v>
      </c>
      <c r="N108" s="936">
        <f>SUM(N10:N107)</f>
        <v>54775</v>
      </c>
      <c r="O108" s="937">
        <f>N108/M108</f>
        <v>0.25388180764774043</v>
      </c>
      <c r="P108" s="935">
        <f>SUM(P10:P107)</f>
        <v>218171</v>
      </c>
      <c r="Q108" s="936">
        <f>SUM(Q10:Q107)</f>
        <v>54418</v>
      </c>
      <c r="R108" s="937">
        <f>Q108/P108</f>
        <v>0.24942820081495706</v>
      </c>
      <c r="S108" s="935">
        <f>SUM(S10:S107)</f>
        <v>395687</v>
      </c>
      <c r="T108" s="936">
        <f>SUM(T10:T107)</f>
        <v>398050</v>
      </c>
      <c r="U108" s="937">
        <f>T108/S108</f>
        <v>1.0059718919246778</v>
      </c>
      <c r="V108" s="935">
        <f t="shared" si="13"/>
        <v>2644302</v>
      </c>
      <c r="W108" s="936">
        <f t="shared" si="13"/>
        <v>2863456</v>
      </c>
      <c r="X108" s="937">
        <f>W108/V108</f>
        <v>1.0828778256038833</v>
      </c>
    </row>
    <row r="109" spans="1:24" s="924" customFormat="1" ht="12.75">
      <c r="A109" s="924" t="s">
        <v>1152</v>
      </c>
      <c r="B109" s="908"/>
      <c r="C109" s="925" t="s">
        <v>941</v>
      </c>
      <c r="D109" s="911"/>
      <c r="E109" s="910"/>
      <c r="F109" s="860"/>
      <c r="G109" s="910"/>
      <c r="H109" s="910"/>
      <c r="I109" s="860"/>
      <c r="J109" s="910">
        <f>6007+136649-12000</f>
        <v>130656</v>
      </c>
      <c r="K109" s="910">
        <v>100000</v>
      </c>
      <c r="L109" s="860">
        <f t="shared" si="14"/>
        <v>0.7653686015184913</v>
      </c>
      <c r="M109" s="911"/>
      <c r="N109" s="910"/>
      <c r="O109" s="860"/>
      <c r="P109" s="911"/>
      <c r="Q109" s="910"/>
      <c r="R109" s="860"/>
      <c r="S109" s="910"/>
      <c r="T109" s="910"/>
      <c r="U109" s="860"/>
      <c r="V109" s="912">
        <f t="shared" si="13"/>
        <v>130656</v>
      </c>
      <c r="W109" s="913">
        <f t="shared" si="13"/>
        <v>100000</v>
      </c>
      <c r="X109" s="914">
        <f aca="true" t="shared" si="15" ref="X109:X114">W109/V109</f>
        <v>0.7653686015184913</v>
      </c>
    </row>
    <row r="110" spans="1:24" s="924" customFormat="1" ht="25.5">
      <c r="A110" s="924" t="s">
        <v>1152</v>
      </c>
      <c r="B110" s="908"/>
      <c r="C110" s="925" t="s">
        <v>942</v>
      </c>
      <c r="D110" s="911"/>
      <c r="E110" s="910"/>
      <c r="F110" s="860"/>
      <c r="G110" s="910"/>
      <c r="H110" s="910"/>
      <c r="I110" s="860"/>
      <c r="J110" s="910">
        <f>151925-11000</f>
        <v>140925</v>
      </c>
      <c r="K110" s="910">
        <v>108000</v>
      </c>
      <c r="L110" s="860">
        <f t="shared" si="14"/>
        <v>0.7663650878126663</v>
      </c>
      <c r="M110" s="911"/>
      <c r="N110" s="910"/>
      <c r="O110" s="860"/>
      <c r="P110" s="911"/>
      <c r="Q110" s="910"/>
      <c r="R110" s="860"/>
      <c r="S110" s="910"/>
      <c r="T110" s="910"/>
      <c r="U110" s="860"/>
      <c r="V110" s="912">
        <f t="shared" si="13"/>
        <v>140925</v>
      </c>
      <c r="W110" s="913">
        <f t="shared" si="13"/>
        <v>108000</v>
      </c>
      <c r="X110" s="914">
        <f t="shared" si="15"/>
        <v>0.7663650878126663</v>
      </c>
    </row>
    <row r="111" spans="1:24" s="924" customFormat="1" ht="13.5" customHeight="1" thickBot="1">
      <c r="A111" s="924" t="s">
        <v>1152</v>
      </c>
      <c r="B111" s="908"/>
      <c r="C111" s="925" t="s">
        <v>943</v>
      </c>
      <c r="D111" s="911"/>
      <c r="E111" s="910"/>
      <c r="F111" s="860"/>
      <c r="G111" s="910"/>
      <c r="H111" s="910"/>
      <c r="I111" s="860"/>
      <c r="J111" s="910">
        <f>94968+65104-20000</f>
        <v>140072</v>
      </c>
      <c r="K111" s="910">
        <v>110000</v>
      </c>
      <c r="L111" s="860">
        <f t="shared" si="14"/>
        <v>0.7853104117882233</v>
      </c>
      <c r="M111" s="911"/>
      <c r="N111" s="910"/>
      <c r="O111" s="860"/>
      <c r="P111" s="911"/>
      <c r="Q111" s="910"/>
      <c r="R111" s="860"/>
      <c r="S111" s="910"/>
      <c r="T111" s="910"/>
      <c r="U111" s="860"/>
      <c r="V111" s="912">
        <f t="shared" si="13"/>
        <v>140072</v>
      </c>
      <c r="W111" s="913">
        <f t="shared" si="13"/>
        <v>110000</v>
      </c>
      <c r="X111" s="914">
        <f t="shared" si="15"/>
        <v>0.7853104117882233</v>
      </c>
    </row>
    <row r="112" spans="2:24" s="932" customFormat="1" ht="12" customHeight="1" thickBot="1">
      <c r="B112" s="933"/>
      <c r="C112" s="938" t="s">
        <v>944</v>
      </c>
      <c r="D112" s="939">
        <f>SUM(D109:D111)</f>
        <v>0</v>
      </c>
      <c r="E112" s="940">
        <f>SUM(E109:E111)</f>
        <v>0</v>
      </c>
      <c r="F112" s="941">
        <v>0</v>
      </c>
      <c r="G112" s="939">
        <f>SUM(G109:G111)</f>
        <v>0</v>
      </c>
      <c r="H112" s="940">
        <f>SUM(H109:H111)</f>
        <v>0</v>
      </c>
      <c r="I112" s="941">
        <v>0</v>
      </c>
      <c r="J112" s="942">
        <f>SUM(J109:J111)</f>
        <v>411653</v>
      </c>
      <c r="K112" s="943">
        <f>SUM(K109:K111)</f>
        <v>318000</v>
      </c>
      <c r="L112" s="941">
        <f t="shared" si="14"/>
        <v>0.7724952812198623</v>
      </c>
      <c r="M112" s="939">
        <f>SUM(M109:M111)</f>
        <v>0</v>
      </c>
      <c r="N112" s="940">
        <f>SUM(N109:N111)</f>
        <v>0</v>
      </c>
      <c r="O112" s="941">
        <v>0</v>
      </c>
      <c r="P112" s="939">
        <f>SUM(P109:P111)</f>
        <v>0</v>
      </c>
      <c r="Q112" s="940">
        <f>SUM(Q109:Q111)</f>
        <v>0</v>
      </c>
      <c r="R112" s="941">
        <v>0</v>
      </c>
      <c r="S112" s="939">
        <f>SUM(S109:S111)</f>
        <v>0</v>
      </c>
      <c r="T112" s="940">
        <f>SUM(T109:T111)</f>
        <v>0</v>
      </c>
      <c r="U112" s="941">
        <v>0</v>
      </c>
      <c r="V112" s="939">
        <f>SUM(V109:V111)</f>
        <v>411653</v>
      </c>
      <c r="W112" s="940">
        <f>SUM(W109:W111)</f>
        <v>318000</v>
      </c>
      <c r="X112" s="941">
        <f>W112/V112</f>
        <v>0.7724952812198623</v>
      </c>
    </row>
    <row r="113" spans="1:24" s="924" customFormat="1" ht="12" customHeight="1">
      <c r="A113" s="924" t="s">
        <v>1152</v>
      </c>
      <c r="B113" s="908"/>
      <c r="C113" s="925" t="s">
        <v>816</v>
      </c>
      <c r="D113" s="911"/>
      <c r="E113" s="910"/>
      <c r="F113" s="860"/>
      <c r="G113" s="910"/>
      <c r="H113" s="910"/>
      <c r="I113" s="860"/>
      <c r="J113" s="910">
        <f>70313-10000</f>
        <v>60313</v>
      </c>
      <c r="K113" s="910">
        <v>48000</v>
      </c>
      <c r="L113" s="860">
        <f>K113/J113</f>
        <v>0.795848324573475</v>
      </c>
      <c r="M113" s="911"/>
      <c r="N113" s="910"/>
      <c r="O113" s="860"/>
      <c r="P113" s="911"/>
      <c r="Q113" s="910"/>
      <c r="R113" s="860"/>
      <c r="S113" s="910"/>
      <c r="T113" s="910"/>
      <c r="U113" s="860"/>
      <c r="V113" s="912">
        <f>D113+G113+J113+M113+P113+S113</f>
        <v>60313</v>
      </c>
      <c r="W113" s="913">
        <f>E113+H113+K113+N113+Q113+T113</f>
        <v>48000</v>
      </c>
      <c r="X113" s="914">
        <f t="shared" si="15"/>
        <v>0.795848324573475</v>
      </c>
    </row>
    <row r="114" spans="1:24" s="924" customFormat="1" ht="26.25" thickBot="1">
      <c r="A114" s="924" t="s">
        <v>1152</v>
      </c>
      <c r="B114" s="908"/>
      <c r="C114" s="925" t="s">
        <v>945</v>
      </c>
      <c r="D114" s="911"/>
      <c r="E114" s="910"/>
      <c r="F114" s="860"/>
      <c r="G114" s="910"/>
      <c r="H114" s="910"/>
      <c r="I114" s="860"/>
      <c r="J114" s="910">
        <f>25608+13645+7327-5000-21580</f>
        <v>20000</v>
      </c>
      <c r="K114" s="910">
        <v>16000</v>
      </c>
      <c r="L114" s="860">
        <f>K114/J114</f>
        <v>0.8</v>
      </c>
      <c r="M114" s="911"/>
      <c r="N114" s="910"/>
      <c r="O114" s="860"/>
      <c r="P114" s="911"/>
      <c r="Q114" s="910"/>
      <c r="R114" s="860"/>
      <c r="S114" s="910"/>
      <c r="T114" s="910"/>
      <c r="U114" s="860"/>
      <c r="V114" s="912">
        <f>D114+G114+J114+M114+P114+S114</f>
        <v>20000</v>
      </c>
      <c r="W114" s="913">
        <f>E114+H114+K114+N114+Q114+T114</f>
        <v>16000</v>
      </c>
      <c r="X114" s="914">
        <f t="shared" si="15"/>
        <v>0.8</v>
      </c>
    </row>
    <row r="115" spans="2:26" s="944" customFormat="1" ht="14.25" customHeight="1" thickBot="1">
      <c r="B115" s="945"/>
      <c r="C115" s="934" t="s">
        <v>946</v>
      </c>
      <c r="D115" s="935">
        <f>D112+D113+D114</f>
        <v>0</v>
      </c>
      <c r="E115" s="936">
        <f>E112+E113+E114</f>
        <v>0</v>
      </c>
      <c r="F115" s="937">
        <v>0</v>
      </c>
      <c r="G115" s="946">
        <f>G112+G113+G114</f>
        <v>0</v>
      </c>
      <c r="H115" s="947">
        <f>H112+H113+H114</f>
        <v>0</v>
      </c>
      <c r="I115" s="937">
        <v>0</v>
      </c>
      <c r="J115" s="935">
        <f>J112+J113+J114</f>
        <v>491966</v>
      </c>
      <c r="K115" s="936">
        <f>K112+K113+K114</f>
        <v>382000</v>
      </c>
      <c r="L115" s="937">
        <f t="shared" si="14"/>
        <v>0.7764764231674547</v>
      </c>
      <c r="M115" s="935">
        <f>M112+M113+M114</f>
        <v>0</v>
      </c>
      <c r="N115" s="947">
        <f>N112+N113+N114</f>
        <v>0</v>
      </c>
      <c r="O115" s="937">
        <v>0</v>
      </c>
      <c r="P115" s="935">
        <f>P112+P113+P114</f>
        <v>0</v>
      </c>
      <c r="Q115" s="947">
        <f>Q112+Q113+Q114</f>
        <v>0</v>
      </c>
      <c r="R115" s="937">
        <v>0</v>
      </c>
      <c r="S115" s="935">
        <f>S112+S113+S114</f>
        <v>0</v>
      </c>
      <c r="T115" s="947">
        <f>T112+T113+T114</f>
        <v>0</v>
      </c>
      <c r="U115" s="937">
        <v>0</v>
      </c>
      <c r="V115" s="946">
        <f>V112+V113+V114</f>
        <v>491966</v>
      </c>
      <c r="W115" s="947">
        <f>W112+W113+W114</f>
        <v>382000</v>
      </c>
      <c r="X115" s="937">
        <f>W115/V115</f>
        <v>0.7764764231674547</v>
      </c>
      <c r="Z115" s="948"/>
    </row>
    <row r="116" spans="1:26" s="951" customFormat="1" ht="10.5" customHeight="1" thickBot="1">
      <c r="A116" s="949"/>
      <c r="B116" s="950"/>
      <c r="C116" s="882"/>
      <c r="F116" s="952"/>
      <c r="G116" s="953"/>
      <c r="H116" s="953"/>
      <c r="I116" s="952"/>
      <c r="J116" s="953"/>
      <c r="K116" s="953"/>
      <c r="L116" s="952"/>
      <c r="M116" s="953"/>
      <c r="N116" s="953"/>
      <c r="O116" s="952"/>
      <c r="P116" s="954"/>
      <c r="Q116" s="954"/>
      <c r="R116" s="955"/>
      <c r="S116" s="953"/>
      <c r="T116" s="953"/>
      <c r="U116" s="952"/>
      <c r="V116" s="956"/>
      <c r="W116" s="956"/>
      <c r="X116" s="955"/>
      <c r="Z116" s="957"/>
    </row>
    <row r="117" spans="1:24" s="932" customFormat="1" ht="26.25" thickBot="1">
      <c r="A117" s="958"/>
      <c r="B117" s="959"/>
      <c r="C117" s="960" t="s">
        <v>947</v>
      </c>
      <c r="D117" s="961">
        <f>D108+D115</f>
        <v>79819</v>
      </c>
      <c r="E117" s="962">
        <f>E108+E115</f>
        <v>125441</v>
      </c>
      <c r="F117" s="963">
        <f>E117/D117</f>
        <v>1.571568172991393</v>
      </c>
      <c r="G117" s="961">
        <f>G108+G115</f>
        <v>20775</v>
      </c>
      <c r="H117" s="962">
        <f>H108+H115</f>
        <v>26382</v>
      </c>
      <c r="I117" s="963">
        <f>H117/G117</f>
        <v>1.2698916967509026</v>
      </c>
      <c r="J117" s="961">
        <f>J108+J115</f>
        <v>2206066</v>
      </c>
      <c r="K117" s="962">
        <f>K108+K115</f>
        <v>2586390</v>
      </c>
      <c r="L117" s="963">
        <f>K117/J117</f>
        <v>1.1723991938591138</v>
      </c>
      <c r="M117" s="961">
        <f>M108+M115</f>
        <v>215750</v>
      </c>
      <c r="N117" s="962">
        <f>N108+N115</f>
        <v>54775</v>
      </c>
      <c r="O117" s="963">
        <f>N117/M117</f>
        <v>0.25388180764774043</v>
      </c>
      <c r="P117" s="961">
        <f>P108+P115</f>
        <v>218171</v>
      </c>
      <c r="Q117" s="962">
        <f>Q108+Q115</f>
        <v>54418</v>
      </c>
      <c r="R117" s="963">
        <f>Q117/P117</f>
        <v>0.24942820081495706</v>
      </c>
      <c r="S117" s="961">
        <f>S108+S115</f>
        <v>395687</v>
      </c>
      <c r="T117" s="962">
        <f>T108+T115</f>
        <v>398050</v>
      </c>
      <c r="U117" s="963">
        <f>T117/S117</f>
        <v>1.0059718919246778</v>
      </c>
      <c r="V117" s="961">
        <f>V108+V115</f>
        <v>3136268</v>
      </c>
      <c r="W117" s="962">
        <f>W108+W115</f>
        <v>3245456</v>
      </c>
      <c r="X117" s="963">
        <f>W117/V117</f>
        <v>1.034814626811229</v>
      </c>
    </row>
    <row r="118" spans="1:2" ht="15.75" thickBot="1">
      <c r="A118" s="964"/>
      <c r="B118" s="965"/>
    </row>
    <row r="119" spans="1:24" ht="30.75" customHeight="1">
      <c r="A119" s="964" t="s">
        <v>1152</v>
      </c>
      <c r="C119" s="968" t="s">
        <v>948</v>
      </c>
      <c r="D119" s="969"/>
      <c r="E119" s="970"/>
      <c r="F119" s="971"/>
      <c r="G119" s="969"/>
      <c r="H119" s="970"/>
      <c r="I119" s="971"/>
      <c r="J119" s="970"/>
      <c r="K119" s="970"/>
      <c r="L119" s="971"/>
      <c r="M119" s="969"/>
      <c r="N119" s="970"/>
      <c r="O119" s="971"/>
      <c r="P119" s="972">
        <v>788940</v>
      </c>
      <c r="Q119" s="972">
        <f>835994+9779+1217+3222</f>
        <v>850212</v>
      </c>
      <c r="R119" s="973">
        <f aca="true" t="shared" si="16" ref="R119:R124">Q119/P119</f>
        <v>1.0776637006616472</v>
      </c>
      <c r="S119" s="974"/>
      <c r="T119" s="975"/>
      <c r="U119" s="971"/>
      <c r="V119" s="976">
        <f aca="true" t="shared" si="17" ref="V119:W123">P119</f>
        <v>788940</v>
      </c>
      <c r="W119" s="976">
        <f t="shared" si="17"/>
        <v>850212</v>
      </c>
      <c r="X119" s="977">
        <f aca="true" t="shared" si="18" ref="X119:X124">W119/V119</f>
        <v>1.0776637006616472</v>
      </c>
    </row>
    <row r="120" spans="1:24" ht="15.75" customHeight="1">
      <c r="A120" s="964" t="s">
        <v>1152</v>
      </c>
      <c r="C120" s="909" t="s">
        <v>949</v>
      </c>
      <c r="D120" s="929"/>
      <c r="E120" s="928"/>
      <c r="F120" s="860"/>
      <c r="G120" s="929"/>
      <c r="H120" s="928"/>
      <c r="I120" s="860"/>
      <c r="J120" s="978"/>
      <c r="K120" s="928"/>
      <c r="L120" s="860"/>
      <c r="M120" s="929"/>
      <c r="N120" s="928"/>
      <c r="O120" s="860"/>
      <c r="P120" s="913">
        <v>153283</v>
      </c>
      <c r="Q120" s="913">
        <f>138900+688</f>
        <v>139588</v>
      </c>
      <c r="R120" s="914">
        <f t="shared" si="16"/>
        <v>0.9106554542904302</v>
      </c>
      <c r="S120" s="929"/>
      <c r="T120" s="928"/>
      <c r="U120" s="860"/>
      <c r="V120" s="913">
        <f t="shared" si="17"/>
        <v>153283</v>
      </c>
      <c r="W120" s="913">
        <f t="shared" si="17"/>
        <v>139588</v>
      </c>
      <c r="X120" s="914">
        <f t="shared" si="18"/>
        <v>0.9106554542904302</v>
      </c>
    </row>
    <row r="121" spans="1:24" ht="15.75" customHeight="1">
      <c r="A121" s="964" t="s">
        <v>1152</v>
      </c>
      <c r="C121" s="909" t="s">
        <v>950</v>
      </c>
      <c r="D121" s="929"/>
      <c r="E121" s="928"/>
      <c r="F121" s="860"/>
      <c r="G121" s="929"/>
      <c r="H121" s="928"/>
      <c r="I121" s="860"/>
      <c r="J121" s="978"/>
      <c r="K121" s="928"/>
      <c r="L121" s="860"/>
      <c r="M121" s="929"/>
      <c r="N121" s="928"/>
      <c r="O121" s="860"/>
      <c r="P121" s="913">
        <v>87708</v>
      </c>
      <c r="Q121" s="913">
        <f>83701+3410+417</f>
        <v>87528</v>
      </c>
      <c r="R121" s="914">
        <f t="shared" si="16"/>
        <v>0.997947735668354</v>
      </c>
      <c r="S121" s="929"/>
      <c r="T121" s="928"/>
      <c r="U121" s="860"/>
      <c r="V121" s="913">
        <f t="shared" si="17"/>
        <v>87708</v>
      </c>
      <c r="W121" s="913">
        <f t="shared" si="17"/>
        <v>87528</v>
      </c>
      <c r="X121" s="914">
        <f t="shared" si="18"/>
        <v>0.997947735668354</v>
      </c>
    </row>
    <row r="122" spans="1:24" ht="15.75" customHeight="1">
      <c r="A122" s="964" t="s">
        <v>1152</v>
      </c>
      <c r="C122" s="909" t="s">
        <v>951</v>
      </c>
      <c r="D122" s="929"/>
      <c r="E122" s="928"/>
      <c r="F122" s="860"/>
      <c r="G122" s="929"/>
      <c r="H122" s="928"/>
      <c r="I122" s="860"/>
      <c r="J122" s="978"/>
      <c r="K122" s="928"/>
      <c r="L122" s="860"/>
      <c r="M122" s="929"/>
      <c r="N122" s="928"/>
      <c r="O122" s="860"/>
      <c r="P122" s="913">
        <v>283104</v>
      </c>
      <c r="Q122" s="913">
        <f>310067+1795+1722+4808</f>
        <v>318392</v>
      </c>
      <c r="R122" s="914">
        <f t="shared" si="16"/>
        <v>1.124646772917373</v>
      </c>
      <c r="S122" s="929"/>
      <c r="T122" s="928"/>
      <c r="U122" s="860"/>
      <c r="V122" s="913">
        <f t="shared" si="17"/>
        <v>283104</v>
      </c>
      <c r="W122" s="913">
        <f t="shared" si="17"/>
        <v>318392</v>
      </c>
      <c r="X122" s="914">
        <f t="shared" si="18"/>
        <v>1.124646772917373</v>
      </c>
    </row>
    <row r="123" spans="1:24" ht="30.75" customHeight="1" thickBot="1">
      <c r="A123" s="964" t="s">
        <v>1152</v>
      </c>
      <c r="C123" s="979" t="s">
        <v>952</v>
      </c>
      <c r="D123" s="980"/>
      <c r="E123" s="981"/>
      <c r="F123" s="982"/>
      <c r="G123" s="980"/>
      <c r="H123" s="981"/>
      <c r="I123" s="982"/>
      <c r="J123" s="981"/>
      <c r="K123" s="981"/>
      <c r="L123" s="982"/>
      <c r="M123" s="980"/>
      <c r="N123" s="981"/>
      <c r="O123" s="982"/>
      <c r="P123" s="983">
        <f>'[3]1'!$D$32</f>
        <v>719276</v>
      </c>
      <c r="Q123" s="983">
        <f>777892+1588+3403</f>
        <v>782883</v>
      </c>
      <c r="R123" s="914">
        <f t="shared" si="16"/>
        <v>1.08843197882315</v>
      </c>
      <c r="S123" s="984"/>
      <c r="T123" s="985"/>
      <c r="U123" s="982"/>
      <c r="V123" s="986">
        <f t="shared" si="17"/>
        <v>719276</v>
      </c>
      <c r="W123" s="986">
        <f t="shared" si="17"/>
        <v>782883</v>
      </c>
      <c r="X123" s="914">
        <f t="shared" si="18"/>
        <v>1.08843197882315</v>
      </c>
    </row>
    <row r="124" spans="2:26" s="944" customFormat="1" ht="26.25" thickBot="1">
      <c r="B124" s="945"/>
      <c r="C124" s="934" t="s">
        <v>953</v>
      </c>
      <c r="D124" s="935">
        <f>SUM(D119:D123)</f>
        <v>0</v>
      </c>
      <c r="E124" s="936">
        <f>SUM(E119:E123)</f>
        <v>0</v>
      </c>
      <c r="F124" s="937">
        <v>0</v>
      </c>
      <c r="G124" s="946">
        <f>SUM(G119:G123)</f>
        <v>0</v>
      </c>
      <c r="H124" s="947">
        <f>SUM(H119:H123)</f>
        <v>0</v>
      </c>
      <c r="I124" s="937">
        <v>0</v>
      </c>
      <c r="J124" s="935">
        <f>SUM(J119:J123)</f>
        <v>0</v>
      </c>
      <c r="K124" s="936">
        <f>SUM(K119:K123)</f>
        <v>0</v>
      </c>
      <c r="L124" s="937">
        <v>0</v>
      </c>
      <c r="M124" s="935">
        <f>SUM(M119:M123)</f>
        <v>0</v>
      </c>
      <c r="N124" s="947">
        <f>SUM(N119:N123)</f>
        <v>0</v>
      </c>
      <c r="O124" s="937">
        <v>0</v>
      </c>
      <c r="P124" s="935">
        <f>SUM(P119:P123)</f>
        <v>2032311</v>
      </c>
      <c r="Q124" s="947">
        <f>SUM(Q119:Q123)</f>
        <v>2178603</v>
      </c>
      <c r="R124" s="937">
        <f t="shared" si="16"/>
        <v>1.0719830773931747</v>
      </c>
      <c r="S124" s="935">
        <f>SUM(S119:S123)</f>
        <v>0</v>
      </c>
      <c r="T124" s="947">
        <f>SUM(T119:T123)</f>
        <v>0</v>
      </c>
      <c r="U124" s="937">
        <v>0</v>
      </c>
      <c r="V124" s="946">
        <f>SUM(V119:V123)</f>
        <v>2032311</v>
      </c>
      <c r="W124" s="947">
        <f>SUM(W119:W123)</f>
        <v>2178603</v>
      </c>
      <c r="X124" s="937">
        <f t="shared" si="18"/>
        <v>1.0719830773931747</v>
      </c>
      <c r="Z124" s="948"/>
    </row>
    <row r="125" spans="2:26" s="944" customFormat="1" ht="12.75">
      <c r="B125" s="945"/>
      <c r="C125" s="1367"/>
      <c r="D125" s="1368"/>
      <c r="E125" s="1368"/>
      <c r="F125" s="955"/>
      <c r="G125" s="1368"/>
      <c r="H125" s="1368"/>
      <c r="I125" s="955"/>
      <c r="J125" s="1368"/>
      <c r="K125" s="1368"/>
      <c r="L125" s="955"/>
      <c r="M125" s="1368"/>
      <c r="N125" s="1368"/>
      <c r="O125" s="955"/>
      <c r="P125" s="1368"/>
      <c r="Q125" s="1368"/>
      <c r="R125" s="955"/>
      <c r="S125" s="1368"/>
      <c r="T125" s="1368"/>
      <c r="U125" s="955"/>
      <c r="V125" s="1368"/>
      <c r="W125" s="1368"/>
      <c r="X125" s="1366"/>
      <c r="Z125" s="948"/>
    </row>
    <row r="126" spans="2:26" s="944" customFormat="1" ht="25.5">
      <c r="B126" s="945"/>
      <c r="C126" s="1387" t="s">
        <v>1193</v>
      </c>
      <c r="D126" s="913"/>
      <c r="E126" s="913"/>
      <c r="F126" s="1388"/>
      <c r="G126" s="913"/>
      <c r="H126" s="913"/>
      <c r="I126" s="1388"/>
      <c r="J126" s="913"/>
      <c r="K126" s="913"/>
      <c r="L126" s="1388"/>
      <c r="M126" s="913"/>
      <c r="N126" s="913"/>
      <c r="O126" s="1388">
        <v>0</v>
      </c>
      <c r="P126" s="913">
        <v>0</v>
      </c>
      <c r="Q126" s="913">
        <v>750000</v>
      </c>
      <c r="R126" s="1388"/>
      <c r="S126" s="913">
        <v>0</v>
      </c>
      <c r="T126" s="913">
        <v>0</v>
      </c>
      <c r="U126" s="1388">
        <v>0</v>
      </c>
      <c r="V126" s="913">
        <f>P126</f>
        <v>0</v>
      </c>
      <c r="W126" s="913">
        <f>Q126</f>
        <v>750000</v>
      </c>
      <c r="X126" s="1366"/>
      <c r="Z126" s="948"/>
    </row>
    <row r="127" spans="2:26" s="944" customFormat="1" ht="13.5" thickBot="1">
      <c r="B127" s="945"/>
      <c r="C127" s="1389" t="s">
        <v>1215</v>
      </c>
      <c r="D127" s="1390"/>
      <c r="E127" s="1390"/>
      <c r="F127" s="1391"/>
      <c r="G127" s="1390"/>
      <c r="H127" s="1390"/>
      <c r="I127" s="1391"/>
      <c r="J127" s="1390"/>
      <c r="K127" s="1390"/>
      <c r="L127" s="1391"/>
      <c r="M127" s="1390"/>
      <c r="N127" s="1390"/>
      <c r="O127" s="1391"/>
      <c r="P127" s="1390">
        <v>0</v>
      </c>
      <c r="Q127" s="1390">
        <v>53557</v>
      </c>
      <c r="R127" s="1391"/>
      <c r="S127" s="1390"/>
      <c r="T127" s="1390"/>
      <c r="U127" s="1391"/>
      <c r="V127" s="1390">
        <v>0</v>
      </c>
      <c r="W127" s="913">
        <f>Q127</f>
        <v>53557</v>
      </c>
      <c r="X127" s="1366"/>
      <c r="Z127" s="948"/>
    </row>
    <row r="128" spans="2:26" s="944" customFormat="1" ht="13.5" thickBot="1">
      <c r="B128" s="945"/>
      <c r="C128" s="1392" t="s">
        <v>1216</v>
      </c>
      <c r="D128" s="947">
        <v>0</v>
      </c>
      <c r="E128" s="947">
        <v>0</v>
      </c>
      <c r="F128" s="1369">
        <v>0</v>
      </c>
      <c r="G128" s="947">
        <v>0</v>
      </c>
      <c r="H128" s="947">
        <v>0</v>
      </c>
      <c r="I128" s="1369"/>
      <c r="J128" s="947">
        <v>0</v>
      </c>
      <c r="K128" s="947">
        <v>0</v>
      </c>
      <c r="L128" s="1369"/>
      <c r="M128" s="947">
        <v>0</v>
      </c>
      <c r="N128" s="947">
        <v>0</v>
      </c>
      <c r="O128" s="1369"/>
      <c r="P128" s="947">
        <f>SUM(P126:P127)</f>
        <v>0</v>
      </c>
      <c r="Q128" s="947">
        <f>SUM(Q126:Q127)</f>
        <v>803557</v>
      </c>
      <c r="R128" s="1369"/>
      <c r="S128" s="947">
        <v>0</v>
      </c>
      <c r="T128" s="947">
        <v>0</v>
      </c>
      <c r="U128" s="1369">
        <v>0</v>
      </c>
      <c r="V128" s="947">
        <f>SUM(V126:V127)</f>
        <v>0</v>
      </c>
      <c r="W128" s="947">
        <f>SUM(W126:W127)</f>
        <v>803557</v>
      </c>
      <c r="X128" s="1366"/>
      <c r="Z128" s="948"/>
    </row>
    <row r="129" spans="1:2" ht="15.75" thickBot="1">
      <c r="A129" s="964"/>
      <c r="B129" s="945"/>
    </row>
    <row r="130" spans="1:24" ht="15.75" thickBot="1">
      <c r="A130" s="964"/>
      <c r="C130" s="960" t="s">
        <v>954</v>
      </c>
      <c r="D130" s="961">
        <f>D117+D124</f>
        <v>79819</v>
      </c>
      <c r="E130" s="987">
        <f>E117+E124</f>
        <v>125441</v>
      </c>
      <c r="F130" s="988">
        <f>E130/D130</f>
        <v>1.571568172991393</v>
      </c>
      <c r="G130" s="961">
        <f>G117+G124</f>
        <v>20775</v>
      </c>
      <c r="H130" s="987">
        <f>H117+H124</f>
        <v>26382</v>
      </c>
      <c r="I130" s="988">
        <f>H130/G130</f>
        <v>1.2698916967509026</v>
      </c>
      <c r="J130" s="961">
        <f>J117+J124</f>
        <v>2206066</v>
      </c>
      <c r="K130" s="987">
        <f>K117+K124</f>
        <v>2586390</v>
      </c>
      <c r="L130" s="988">
        <f>K130/J130</f>
        <v>1.1723991938591138</v>
      </c>
      <c r="M130" s="961">
        <f>M117+M124</f>
        <v>215750</v>
      </c>
      <c r="N130" s="987">
        <f>N117+N124</f>
        <v>54775</v>
      </c>
      <c r="O130" s="988">
        <f>N130/M130</f>
        <v>0.25388180764774043</v>
      </c>
      <c r="P130" s="961">
        <f>P117+P124</f>
        <v>2250482</v>
      </c>
      <c r="Q130" s="987">
        <f>Q117+Q124+Q128</f>
        <v>3036578</v>
      </c>
      <c r="R130" s="988">
        <f>Q130/P130</f>
        <v>1.349301171926725</v>
      </c>
      <c r="S130" s="961">
        <f>S117+S124</f>
        <v>395687</v>
      </c>
      <c r="T130" s="987">
        <f>T117+T124</f>
        <v>398050</v>
      </c>
      <c r="U130" s="988">
        <f>T130/S130</f>
        <v>1.0059718919246778</v>
      </c>
      <c r="V130" s="961">
        <f>V117+V124</f>
        <v>5168579</v>
      </c>
      <c r="W130" s="987">
        <f>W117+W124+W128</f>
        <v>6227616</v>
      </c>
      <c r="X130" s="988">
        <f>W130/V130</f>
        <v>1.2048990641334882</v>
      </c>
    </row>
    <row r="131" ht="15">
      <c r="B131" s="989"/>
    </row>
    <row r="132" ht="15.75" thickBot="1"/>
    <row r="133" spans="3:24" ht="15">
      <c r="C133" s="1203" t="s">
        <v>1152</v>
      </c>
      <c r="D133" s="1204"/>
      <c r="E133" s="1205">
        <f>E108-E76-E44-E36-E35-E33-E16-E15-E12-E82-E79</f>
        <v>118093</v>
      </c>
      <c r="F133" s="1205"/>
      <c r="G133" s="1205"/>
      <c r="H133" s="1205">
        <f>H108-H76-H44-H36-H35-H33-H16-H15-H12-H82-H79</f>
        <v>24064</v>
      </c>
      <c r="I133" s="1205"/>
      <c r="J133" s="1205"/>
      <c r="K133" s="1205">
        <f>K108-K76-K44-K36-K35-K33-K17-K16-K15-K12-K82-K79</f>
        <v>2114518</v>
      </c>
      <c r="L133" s="1205"/>
      <c r="M133" s="1205"/>
      <c r="N133" s="1205">
        <f>N108-N76-N44-N36-N35-N33-N16-N15-N12-N82-N79</f>
        <v>49075</v>
      </c>
      <c r="O133" s="1205"/>
      <c r="P133" s="1205"/>
      <c r="Q133" s="1205">
        <f>Q108-Q76-Q44-Q36-Q35-Q33-Q16-Q15-Q12-Q82-Q79-Q100</f>
        <v>50978</v>
      </c>
      <c r="R133" s="1205"/>
      <c r="S133" s="1205"/>
      <c r="T133" s="1205">
        <f>T108-T76-T44-T36-T35-T33-T16-T15-T12-T82-T79-T101</f>
        <v>349050</v>
      </c>
      <c r="U133" s="1205"/>
      <c r="V133" s="1205"/>
      <c r="W133" s="1205">
        <f>W108-W76-W44-W36-W35-W33-W16-W15-W12-W82-W79</f>
        <v>2737718</v>
      </c>
      <c r="X133" s="1206"/>
    </row>
    <row r="134" spans="3:24" ht="15">
      <c r="C134" s="1207" t="s">
        <v>1153</v>
      </c>
      <c r="D134" s="1208"/>
      <c r="E134" s="1209">
        <f>E12+E15+E16+E33+E35+E36+E44+E76+E82</f>
        <v>7348</v>
      </c>
      <c r="F134" s="1209"/>
      <c r="G134" s="1209"/>
      <c r="H134" s="1209">
        <f>H12+H15+H16+H33+H35+H36+H44+H76+H82</f>
        <v>2318</v>
      </c>
      <c r="I134" s="1209"/>
      <c r="J134" s="1209"/>
      <c r="K134" s="1209">
        <f>K12+K15+K16+K17+K33+K35+K36+K44+K76+K82</f>
        <v>88494</v>
      </c>
      <c r="L134" s="1209"/>
      <c r="M134" s="1209"/>
      <c r="N134" s="1209">
        <f>N12+N15+N16+N33+N35+N36+N44+N76+N82</f>
        <v>5700</v>
      </c>
      <c r="O134" s="1209"/>
      <c r="P134" s="1209"/>
      <c r="Q134" s="1209">
        <f>Q12+Q15+Q16+Q33+Q35+Q36+Q44+Q76+Q82+Q100</f>
        <v>3440</v>
      </c>
      <c r="R134" s="1209"/>
      <c r="S134" s="1209"/>
      <c r="T134" s="1209">
        <f>T12+T15+T16+T33+T35+T36+T44+T76+T82+T101</f>
        <v>49000</v>
      </c>
      <c r="U134" s="1209"/>
      <c r="V134" s="1209"/>
      <c r="W134" s="1209">
        <f>W12+W15+W16+W33+W35+W36+W44+W76+W82</f>
        <v>124360</v>
      </c>
      <c r="X134" s="1210"/>
    </row>
    <row r="135" spans="3:24" ht="15">
      <c r="C135" s="1207" t="s">
        <v>1154</v>
      </c>
      <c r="D135" s="1208"/>
      <c r="E135" s="1209">
        <f>E79</f>
        <v>0</v>
      </c>
      <c r="F135" s="1209"/>
      <c r="G135" s="1209"/>
      <c r="H135" s="1209">
        <f>H79</f>
        <v>0</v>
      </c>
      <c r="I135" s="1209"/>
      <c r="J135" s="1209"/>
      <c r="K135" s="1209">
        <f>K79</f>
        <v>1378</v>
      </c>
      <c r="L135" s="1209"/>
      <c r="M135" s="1209"/>
      <c r="N135" s="1209">
        <f>N79</f>
        <v>0</v>
      </c>
      <c r="O135" s="1209"/>
      <c r="P135" s="1209"/>
      <c r="Q135" s="1209">
        <f>Q79</f>
        <v>0</v>
      </c>
      <c r="R135" s="1209"/>
      <c r="S135" s="1209"/>
      <c r="T135" s="1209">
        <f>T79</f>
        <v>0</v>
      </c>
      <c r="U135" s="1209"/>
      <c r="V135" s="1209"/>
      <c r="W135" s="1209">
        <f>W79</f>
        <v>1378</v>
      </c>
      <c r="X135" s="1211"/>
    </row>
    <row r="136" spans="2:24" s="1212" customFormat="1" ht="15" thickBot="1">
      <c r="B136" s="1213"/>
      <c r="C136" s="1214"/>
      <c r="D136" s="1215"/>
      <c r="E136" s="1216">
        <f>SUM(E133:E135)</f>
        <v>125441</v>
      </c>
      <c r="F136" s="1215"/>
      <c r="G136" s="1215"/>
      <c r="H136" s="1216">
        <f>SUM(H133:H135)</f>
        <v>26382</v>
      </c>
      <c r="I136" s="1215"/>
      <c r="J136" s="1215"/>
      <c r="K136" s="1216">
        <f>SUM(K133:K135)</f>
        <v>2204390</v>
      </c>
      <c r="L136" s="1215"/>
      <c r="M136" s="1215"/>
      <c r="N136" s="1216">
        <f>SUM(N133:N135)</f>
        <v>54775</v>
      </c>
      <c r="O136" s="1215"/>
      <c r="P136" s="1215"/>
      <c r="Q136" s="1216">
        <f>SUM(Q133:Q135)</f>
        <v>54418</v>
      </c>
      <c r="R136" s="1215"/>
      <c r="S136" s="1215"/>
      <c r="T136" s="1216">
        <f>SUM(T133:T135)</f>
        <v>398050</v>
      </c>
      <c r="U136" s="1215"/>
      <c r="V136" s="1215"/>
      <c r="W136" s="1216">
        <f>SUM(W133:W135)</f>
        <v>2863456</v>
      </c>
      <c r="X136" s="1217"/>
    </row>
    <row r="137" spans="3:24" ht="15">
      <c r="C137" s="1203" t="s">
        <v>1152</v>
      </c>
      <c r="D137" s="1204"/>
      <c r="E137" s="1205">
        <f>E115</f>
        <v>0</v>
      </c>
      <c r="F137" s="1205"/>
      <c r="G137" s="1205"/>
      <c r="H137" s="1205">
        <f>H115</f>
        <v>0</v>
      </c>
      <c r="I137" s="1205"/>
      <c r="J137" s="1205"/>
      <c r="K137" s="1205">
        <f>K115</f>
        <v>382000</v>
      </c>
      <c r="L137" s="1205"/>
      <c r="M137" s="1205"/>
      <c r="N137" s="1205">
        <f>N115</f>
        <v>0</v>
      </c>
      <c r="O137" s="1205"/>
      <c r="P137" s="1205"/>
      <c r="Q137" s="1205">
        <f>Q115+Q119+Q120+Q121+Q122+Q123</f>
        <v>2178603</v>
      </c>
      <c r="R137" s="1205"/>
      <c r="S137" s="1205"/>
      <c r="T137" s="1205">
        <f>T115+T119+T120+T121+T122+T123</f>
        <v>0</v>
      </c>
      <c r="U137" s="1205"/>
      <c r="V137" s="1205"/>
      <c r="W137" s="1205">
        <f>W115+W119+W120+W121+W122+W123</f>
        <v>2560603</v>
      </c>
      <c r="X137" s="1206"/>
    </row>
    <row r="138" spans="3:24" ht="15">
      <c r="C138" s="1207" t="s">
        <v>1153</v>
      </c>
      <c r="D138" s="1208"/>
      <c r="E138" s="1208"/>
      <c r="F138" s="1208"/>
      <c r="G138" s="1208"/>
      <c r="H138" s="1208"/>
      <c r="I138" s="1208"/>
      <c r="J138" s="1208"/>
      <c r="K138" s="1208"/>
      <c r="L138" s="1208"/>
      <c r="M138" s="1208"/>
      <c r="N138" s="1208"/>
      <c r="O138" s="1208"/>
      <c r="P138" s="1208"/>
      <c r="Q138" s="1208"/>
      <c r="R138" s="1208"/>
      <c r="S138" s="1208"/>
      <c r="T138" s="1208"/>
      <c r="U138" s="1208"/>
      <c r="V138" s="1208"/>
      <c r="W138" s="1208"/>
      <c r="X138" s="1211"/>
    </row>
    <row r="139" spans="3:24" ht="15">
      <c r="C139" s="1207" t="s">
        <v>1154</v>
      </c>
      <c r="D139" s="1208"/>
      <c r="E139" s="1208"/>
      <c r="F139" s="1208"/>
      <c r="G139" s="1208"/>
      <c r="H139" s="1208"/>
      <c r="I139" s="1208"/>
      <c r="J139" s="1208"/>
      <c r="K139" s="1208"/>
      <c r="L139" s="1208"/>
      <c r="M139" s="1208"/>
      <c r="N139" s="1208"/>
      <c r="O139" s="1208"/>
      <c r="P139" s="1208"/>
      <c r="Q139" s="1208"/>
      <c r="R139" s="1208"/>
      <c r="S139" s="1208"/>
      <c r="T139" s="1208"/>
      <c r="U139" s="1208"/>
      <c r="V139" s="1208"/>
      <c r="W139" s="1208"/>
      <c r="X139" s="1211"/>
    </row>
    <row r="140" spans="2:24" s="1212" customFormat="1" ht="14.25">
      <c r="B140" s="1213"/>
      <c r="C140" s="1218"/>
      <c r="D140" s="1219"/>
      <c r="E140" s="1220">
        <f>SUM(E137:E139)</f>
        <v>0</v>
      </c>
      <c r="F140" s="1221"/>
      <c r="G140" s="1219"/>
      <c r="H140" s="1220">
        <f>SUM(H137:H139)</f>
        <v>0</v>
      </c>
      <c r="I140" s="1219"/>
      <c r="J140" s="1219"/>
      <c r="K140" s="1220">
        <f>SUM(K137:K139)</f>
        <v>382000</v>
      </c>
      <c r="L140" s="1219"/>
      <c r="M140" s="1219"/>
      <c r="N140" s="1220">
        <f>SUM(N137:N139)</f>
        <v>0</v>
      </c>
      <c r="O140" s="1219"/>
      <c r="P140" s="1219"/>
      <c r="Q140" s="1220">
        <f>SUM(Q137:Q139)</f>
        <v>2178603</v>
      </c>
      <c r="R140" s="1219"/>
      <c r="S140" s="1219"/>
      <c r="T140" s="1220">
        <f>SUM(T137:T139)</f>
        <v>0</v>
      </c>
      <c r="U140" s="1219"/>
      <c r="V140" s="1219"/>
      <c r="W140" s="1220">
        <f>SUM(W137:W139)</f>
        <v>2560603</v>
      </c>
      <c r="X140" s="1222"/>
    </row>
    <row r="141" spans="3:24" ht="15.75" thickBot="1">
      <c r="C141" s="1223"/>
      <c r="D141" s="1224"/>
      <c r="E141" s="1226">
        <f>E136+E140</f>
        <v>125441</v>
      </c>
      <c r="F141" s="1225"/>
      <c r="G141" s="1224"/>
      <c r="H141" s="1226">
        <f>H136+H140</f>
        <v>26382</v>
      </c>
      <c r="I141" s="1224"/>
      <c r="J141" s="1224"/>
      <c r="K141" s="1226">
        <f>K136+K140</f>
        <v>2586390</v>
      </c>
      <c r="L141" s="1224"/>
      <c r="M141" s="1224"/>
      <c r="N141" s="1226">
        <f>N136+N140</f>
        <v>54775</v>
      </c>
      <c r="O141" s="1224"/>
      <c r="P141" s="1224"/>
      <c r="Q141" s="1226">
        <f>Q136+Q140</f>
        <v>2233021</v>
      </c>
      <c r="R141" s="1224"/>
      <c r="S141" s="1224"/>
      <c r="T141" s="1226">
        <f>T136+T140</f>
        <v>398050</v>
      </c>
      <c r="U141" s="1224"/>
      <c r="V141" s="1224"/>
      <c r="W141" s="1226">
        <f>W136+W140</f>
        <v>5424059</v>
      </c>
      <c r="X141" s="1227"/>
    </row>
    <row r="142" spans="5:23" ht="15">
      <c r="E142" s="1230">
        <f>E130-E141</f>
        <v>0</v>
      </c>
      <c r="F142" s="1230"/>
      <c r="G142" s="1230"/>
      <c r="H142" s="1230">
        <f>H130-H141</f>
        <v>0</v>
      </c>
      <c r="I142" s="1230"/>
      <c r="J142" s="1230"/>
      <c r="K142" s="1230">
        <f>K130-K141</f>
        <v>0</v>
      </c>
      <c r="L142" s="1230"/>
      <c r="M142" s="1230"/>
      <c r="N142" s="1230">
        <f>N130-N141</f>
        <v>0</v>
      </c>
      <c r="O142" s="1230"/>
      <c r="P142" s="1230"/>
      <c r="Q142" s="1230">
        <f>Q130-Q141</f>
        <v>803557</v>
      </c>
      <c r="R142" s="1230"/>
      <c r="S142" s="1230"/>
      <c r="T142" s="1230">
        <f>T130-T141</f>
        <v>0</v>
      </c>
      <c r="U142" s="1230"/>
      <c r="V142" s="1230"/>
      <c r="W142" s="1230">
        <f>W130-W141</f>
        <v>803557</v>
      </c>
    </row>
  </sheetData>
  <sheetProtection/>
  <mergeCells count="19">
    <mergeCell ref="B1:X1"/>
    <mergeCell ref="B2:X2"/>
    <mergeCell ref="B3:X3"/>
    <mergeCell ref="B4:X4"/>
    <mergeCell ref="D5:F6"/>
    <mergeCell ref="G5:I6"/>
    <mergeCell ref="J5:L6"/>
    <mergeCell ref="M5:O6"/>
    <mergeCell ref="P5:U5"/>
    <mergeCell ref="V5:X6"/>
    <mergeCell ref="X7:X8"/>
    <mergeCell ref="P6:R6"/>
    <mergeCell ref="S6:U6"/>
    <mergeCell ref="F7:F8"/>
    <mergeCell ref="I7:I8"/>
    <mergeCell ref="L7:L8"/>
    <mergeCell ref="O7:O8"/>
    <mergeCell ref="R7:R8"/>
    <mergeCell ref="U7:U8"/>
  </mergeCells>
  <printOptions/>
  <pageMargins left="0.7" right="0.7" top="0.75" bottom="0.75" header="0.3" footer="0.3"/>
  <pageSetup horizontalDpi="600" verticalDpi="600" orientation="landscape" paperSize="9" scale="60" r:id="rId1"/>
  <rowBreaks count="2" manualBreakCount="2">
    <brk id="54" max="23" man="1"/>
    <brk id="10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337"/>
  <sheetViews>
    <sheetView zoomScalePageLayoutView="0" workbookViewId="0" topLeftCell="A305">
      <selection activeCell="B112" sqref="B112:B113"/>
    </sheetView>
  </sheetViews>
  <sheetFormatPr defaultColWidth="9.375" defaultRowHeight="12" customHeight="1"/>
  <cols>
    <col min="1" max="1" width="4.50390625" style="990" customWidth="1"/>
    <col min="2" max="2" width="120.125" style="1101" customWidth="1"/>
    <col min="3" max="3" width="12.625" style="1039" customWidth="1"/>
    <col min="4" max="5" width="12.50390625" style="998" customWidth="1"/>
    <col min="6" max="6" width="11.125" style="1102" customWidth="1"/>
    <col min="7" max="7" width="11.625" style="990" hidden="1" customWidth="1"/>
    <col min="8" max="8" width="11.875" style="990" hidden="1" customWidth="1"/>
    <col min="9" max="10" width="10.625" style="990" hidden="1" customWidth="1"/>
    <col min="11" max="11" width="0" style="991" hidden="1" customWidth="1"/>
    <col min="12" max="12" width="0" style="990" hidden="1" customWidth="1"/>
    <col min="13" max="16384" width="9.375" style="990" customWidth="1"/>
  </cols>
  <sheetData>
    <row r="1" spans="1:6" ht="12" customHeight="1">
      <c r="A1" s="1498" t="s">
        <v>955</v>
      </c>
      <c r="B1" s="1498"/>
      <c r="C1" s="1498"/>
      <c r="D1" s="1498"/>
      <c r="E1" s="1498"/>
      <c r="F1" s="1499"/>
    </row>
    <row r="2" spans="1:6" ht="14.25" customHeight="1">
      <c r="A2" s="1500" t="s">
        <v>956</v>
      </c>
      <c r="B2" s="1500"/>
      <c r="C2" s="1500"/>
      <c r="D2" s="1500"/>
      <c r="E2" s="1500"/>
      <c r="F2" s="1426"/>
    </row>
    <row r="3" spans="1:8" ht="15.75" customHeight="1">
      <c r="A3" s="1500" t="str">
        <f>'[2]1'!A3:K3</f>
        <v>2015. év</v>
      </c>
      <c r="B3" s="1500"/>
      <c r="C3" s="1500"/>
      <c r="D3" s="1500"/>
      <c r="E3" s="1500"/>
      <c r="F3" s="1426"/>
      <c r="H3" s="992"/>
    </row>
    <row r="4" spans="1:11" s="993" customFormat="1" ht="12" customHeight="1">
      <c r="A4" s="1501" t="s">
        <v>869</v>
      </c>
      <c r="B4" s="1501"/>
      <c r="C4" s="1501"/>
      <c r="D4" s="1501"/>
      <c r="E4" s="1501"/>
      <c r="F4" s="1426"/>
      <c r="H4" s="992"/>
      <c r="K4" s="994"/>
    </row>
    <row r="5" spans="1:11" s="1000" customFormat="1" ht="17.25" customHeight="1">
      <c r="A5" s="995" t="s">
        <v>957</v>
      </c>
      <c r="B5" s="996"/>
      <c r="C5" s="997"/>
      <c r="D5" s="998"/>
      <c r="E5" s="998"/>
      <c r="F5" s="999"/>
      <c r="K5" s="992"/>
    </row>
    <row r="6" spans="2:11" s="553" customFormat="1" ht="48" customHeight="1">
      <c r="B6" s="1001"/>
      <c r="C6" s="1002" t="s">
        <v>958</v>
      </c>
      <c r="D6" s="1002" t="s">
        <v>1261</v>
      </c>
      <c r="E6" s="1002" t="s">
        <v>1243</v>
      </c>
      <c r="F6" s="1003" t="s">
        <v>693</v>
      </c>
      <c r="K6" s="1004"/>
    </row>
    <row r="7" spans="2:11" s="1000" customFormat="1" ht="14.25" customHeight="1">
      <c r="B7" s="1005" t="s">
        <v>959</v>
      </c>
      <c r="C7" s="1006"/>
      <c r="D7" s="1007"/>
      <c r="E7" s="1007"/>
      <c r="F7" s="1008"/>
      <c r="K7" s="992"/>
    </row>
    <row r="8" spans="1:11" s="1012" customFormat="1" ht="14.25" customHeight="1">
      <c r="A8" s="734" t="s">
        <v>17</v>
      </c>
      <c r="B8" s="1009" t="s">
        <v>960</v>
      </c>
      <c r="C8" s="1010">
        <v>50000</v>
      </c>
      <c r="D8" s="1010">
        <v>15000</v>
      </c>
      <c r="E8" s="1010">
        <v>0</v>
      </c>
      <c r="F8" s="1011">
        <f>D8/C8</f>
        <v>0.3</v>
      </c>
      <c r="K8" s="868"/>
    </row>
    <row r="9" spans="1:13" s="1012" customFormat="1" ht="14.25" customHeight="1">
      <c r="A9" s="734" t="s">
        <v>18</v>
      </c>
      <c r="B9" s="1009" t="s">
        <v>961</v>
      </c>
      <c r="C9" s="1010">
        <v>5000</v>
      </c>
      <c r="D9" s="1010">
        <v>5000</v>
      </c>
      <c r="E9" s="1010">
        <v>0</v>
      </c>
      <c r="F9" s="1011">
        <f>D9/C9</f>
        <v>1</v>
      </c>
      <c r="K9" s="868"/>
      <c r="M9" s="1012" t="s">
        <v>1152</v>
      </c>
    </row>
    <row r="10" spans="1:13" s="1012" customFormat="1" ht="31.5">
      <c r="A10" s="734" t="s">
        <v>19</v>
      </c>
      <c r="B10" s="1013" t="s">
        <v>962</v>
      </c>
      <c r="C10" s="859">
        <v>65000</v>
      </c>
      <c r="D10" s="1014">
        <f>61358-83</f>
        <v>61275</v>
      </c>
      <c r="E10" s="1014">
        <v>83</v>
      </c>
      <c r="F10" s="1015">
        <f>D10/C10</f>
        <v>0.9426923076923077</v>
      </c>
      <c r="K10" s="868"/>
      <c r="M10" s="1012" t="s">
        <v>1152</v>
      </c>
    </row>
    <row r="11" spans="1:13" s="1012" customFormat="1" ht="14.25" customHeight="1">
      <c r="A11" s="734" t="s">
        <v>20</v>
      </c>
      <c r="B11" s="1016" t="s">
        <v>963</v>
      </c>
      <c r="C11" s="835">
        <v>0</v>
      </c>
      <c r="D11" s="1014">
        <f>21116-82</f>
        <v>21034</v>
      </c>
      <c r="E11" s="1014">
        <v>82</v>
      </c>
      <c r="F11" s="1011">
        <v>0</v>
      </c>
      <c r="G11" s="1012">
        <v>36199</v>
      </c>
      <c r="K11" s="868"/>
      <c r="M11" s="1012" t="s">
        <v>1152</v>
      </c>
    </row>
    <row r="12" spans="1:13" s="1012" customFormat="1" ht="14.25" customHeight="1">
      <c r="A12" s="734" t="s">
        <v>21</v>
      </c>
      <c r="B12" s="1016" t="s">
        <v>964</v>
      </c>
      <c r="C12" s="835">
        <v>0</v>
      </c>
      <c r="D12" s="1017">
        <f>3572-118</f>
        <v>3454</v>
      </c>
      <c r="E12" s="1017">
        <v>118</v>
      </c>
      <c r="F12" s="1011">
        <v>0</v>
      </c>
      <c r="K12" s="868"/>
      <c r="M12" s="1012" t="s">
        <v>1152</v>
      </c>
    </row>
    <row r="13" spans="1:13" s="1012" customFormat="1" ht="15.75">
      <c r="A13" s="734" t="s">
        <v>22</v>
      </c>
      <c r="B13" s="1013" t="s">
        <v>965</v>
      </c>
      <c r="C13" s="835">
        <v>0</v>
      </c>
      <c r="D13" s="1017">
        <f>31561-82</f>
        <v>31479</v>
      </c>
      <c r="E13" s="1017">
        <v>82</v>
      </c>
      <c r="F13" s="1011">
        <v>0</v>
      </c>
      <c r="K13" s="868"/>
      <c r="M13" s="1012" t="s">
        <v>1152</v>
      </c>
    </row>
    <row r="14" spans="1:13" s="1012" customFormat="1" ht="14.25" customHeight="1">
      <c r="A14" s="734" t="s">
        <v>23</v>
      </c>
      <c r="B14" s="1016" t="s">
        <v>966</v>
      </c>
      <c r="C14" s="835">
        <v>0</v>
      </c>
      <c r="D14" s="1017">
        <v>26433</v>
      </c>
      <c r="E14" s="1017">
        <v>0</v>
      </c>
      <c r="F14" s="1011">
        <v>0</v>
      </c>
      <c r="K14" s="868"/>
      <c r="M14" s="1012" t="s">
        <v>1152</v>
      </c>
    </row>
    <row r="15" spans="1:13" s="1012" customFormat="1" ht="31.5">
      <c r="A15" s="734" t="s">
        <v>24</v>
      </c>
      <c r="B15" s="1013" t="s">
        <v>967</v>
      </c>
      <c r="C15" s="859">
        <v>0</v>
      </c>
      <c r="D15" s="1017">
        <f>20500-12</f>
        <v>20488</v>
      </c>
      <c r="E15" s="1017">
        <v>12</v>
      </c>
      <c r="F15" s="1015">
        <v>0</v>
      </c>
      <c r="K15" s="868"/>
      <c r="M15" s="1012" t="s">
        <v>1152</v>
      </c>
    </row>
    <row r="16" spans="1:13" s="1012" customFormat="1" ht="14.25" customHeight="1">
      <c r="A16" s="734" t="s">
        <v>25</v>
      </c>
      <c r="B16" s="1016" t="s">
        <v>968</v>
      </c>
      <c r="C16" s="859">
        <v>2900</v>
      </c>
      <c r="D16" s="1017">
        <f>1789+483</f>
        <v>2272</v>
      </c>
      <c r="E16" s="1017">
        <v>0</v>
      </c>
      <c r="F16" s="1015">
        <f>D16/C16</f>
        <v>0.783448275862069</v>
      </c>
      <c r="K16" s="868"/>
      <c r="M16" s="1012" t="s">
        <v>1152</v>
      </c>
    </row>
    <row r="17" spans="1:13" s="1012" customFormat="1" ht="15.75">
      <c r="A17" s="734" t="s">
        <v>26</v>
      </c>
      <c r="B17" s="1013" t="s">
        <v>969</v>
      </c>
      <c r="C17" s="859">
        <v>0</v>
      </c>
      <c r="D17" s="1017">
        <f>19059-214</f>
        <v>18845</v>
      </c>
      <c r="E17" s="1017">
        <v>214</v>
      </c>
      <c r="F17" s="1015">
        <v>0</v>
      </c>
      <c r="K17" s="868"/>
      <c r="M17" s="1012" t="s">
        <v>1152</v>
      </c>
    </row>
    <row r="18" spans="1:13" s="1012" customFormat="1" ht="31.5">
      <c r="A18" s="734" t="s">
        <v>27</v>
      </c>
      <c r="B18" s="1013" t="s">
        <v>970</v>
      </c>
      <c r="C18" s="859">
        <v>0</v>
      </c>
      <c r="D18" s="1017">
        <f>28850-282</f>
        <v>28568</v>
      </c>
      <c r="E18" s="1017">
        <v>282</v>
      </c>
      <c r="F18" s="1015">
        <v>0</v>
      </c>
      <c r="K18" s="868"/>
      <c r="M18" s="1012" t="s">
        <v>1152</v>
      </c>
    </row>
    <row r="19" spans="1:13" s="1012" customFormat="1" ht="14.25" customHeight="1">
      <c r="A19" s="734" t="s">
        <v>28</v>
      </c>
      <c r="B19" s="1016" t="s">
        <v>971</v>
      </c>
      <c r="C19" s="835">
        <v>0</v>
      </c>
      <c r="D19" s="1017">
        <f>3284-63</f>
        <v>3221</v>
      </c>
      <c r="E19" s="1017">
        <v>63</v>
      </c>
      <c r="F19" s="1011">
        <v>0</v>
      </c>
      <c r="K19" s="868"/>
      <c r="M19" s="1012" t="s">
        <v>1152</v>
      </c>
    </row>
    <row r="20" spans="1:13" s="1012" customFormat="1" ht="14.25" customHeight="1">
      <c r="A20" s="734" t="s">
        <v>29</v>
      </c>
      <c r="B20" s="1016" t="s">
        <v>972</v>
      </c>
      <c r="C20" s="835">
        <v>0</v>
      </c>
      <c r="D20" s="1017">
        <f>5000-1000</f>
        <v>4000</v>
      </c>
      <c r="E20" s="1017">
        <v>0</v>
      </c>
      <c r="F20" s="1011">
        <v>0</v>
      </c>
      <c r="K20" s="868"/>
      <c r="M20" s="1012" t="s">
        <v>1152</v>
      </c>
    </row>
    <row r="21" spans="1:13" s="1012" customFormat="1" ht="14.25" customHeight="1">
      <c r="A21" s="734" t="s">
        <v>30</v>
      </c>
      <c r="B21" s="1016" t="s">
        <v>973</v>
      </c>
      <c r="C21" s="835">
        <v>0</v>
      </c>
      <c r="D21" s="1017">
        <v>6600</v>
      </c>
      <c r="E21" s="1017">
        <v>0</v>
      </c>
      <c r="F21" s="1011">
        <v>0</v>
      </c>
      <c r="K21" s="868"/>
      <c r="M21" s="1012" t="s">
        <v>1152</v>
      </c>
    </row>
    <row r="22" spans="1:13" s="1012" customFormat="1" ht="14.25" customHeight="1">
      <c r="A22" s="734" t="s">
        <v>31</v>
      </c>
      <c r="B22" s="1016" t="s">
        <v>974</v>
      </c>
      <c r="C22" s="835">
        <v>0</v>
      </c>
      <c r="D22" s="1017">
        <v>717</v>
      </c>
      <c r="E22" s="1017">
        <v>0</v>
      </c>
      <c r="F22" s="1011">
        <v>0</v>
      </c>
      <c r="K22" s="868"/>
      <c r="M22" s="1012" t="s">
        <v>1152</v>
      </c>
    </row>
    <row r="23" spans="1:13" s="1012" customFormat="1" ht="14.25" customHeight="1">
      <c r="A23" s="734" t="s">
        <v>32</v>
      </c>
      <c r="B23" s="1016" t="s">
        <v>975</v>
      </c>
      <c r="C23" s="835">
        <v>0</v>
      </c>
      <c r="D23" s="1017">
        <f>62443-140</f>
        <v>62303</v>
      </c>
      <c r="E23" s="1017">
        <v>140</v>
      </c>
      <c r="F23" s="1011">
        <v>0</v>
      </c>
      <c r="K23" s="868"/>
      <c r="M23" s="1012" t="s">
        <v>1152</v>
      </c>
    </row>
    <row r="24" spans="1:13" s="1012" customFormat="1" ht="14.25" customHeight="1">
      <c r="A24" s="734" t="s">
        <v>33</v>
      </c>
      <c r="B24" s="1016" t="s">
        <v>976</v>
      </c>
      <c r="C24" s="835">
        <v>0</v>
      </c>
      <c r="D24" s="1017">
        <f>8570-8</f>
        <v>8562</v>
      </c>
      <c r="E24" s="1017">
        <v>8</v>
      </c>
      <c r="F24" s="1011">
        <v>0</v>
      </c>
      <c r="K24" s="868"/>
      <c r="M24" s="1012" t="s">
        <v>1152</v>
      </c>
    </row>
    <row r="25" spans="1:13" s="1012" customFormat="1" ht="14.25" customHeight="1">
      <c r="A25" s="734" t="s">
        <v>34</v>
      </c>
      <c r="B25" s="1016" t="s">
        <v>977</v>
      </c>
      <c r="C25" s="835">
        <v>0</v>
      </c>
      <c r="D25" s="1017">
        <f>14000-15</f>
        <v>13985</v>
      </c>
      <c r="E25" s="1017">
        <v>15</v>
      </c>
      <c r="F25" s="1011">
        <v>0</v>
      </c>
      <c r="K25" s="868"/>
      <c r="M25" s="1012" t="s">
        <v>1152</v>
      </c>
    </row>
    <row r="26" spans="1:13" s="1012" customFormat="1" ht="14.25" customHeight="1">
      <c r="A26" s="734" t="s">
        <v>35</v>
      </c>
      <c r="B26" s="1016" t="s">
        <v>978</v>
      </c>
      <c r="C26" s="835">
        <v>0</v>
      </c>
      <c r="D26" s="1017">
        <f>27763-25</f>
        <v>27738</v>
      </c>
      <c r="E26" s="1017">
        <v>25</v>
      </c>
      <c r="F26" s="1011">
        <v>0</v>
      </c>
      <c r="K26" s="868"/>
      <c r="M26" s="1012" t="s">
        <v>1152</v>
      </c>
    </row>
    <row r="27" spans="1:13" s="1012" customFormat="1" ht="14.25" customHeight="1">
      <c r="A27" s="734" t="s">
        <v>36</v>
      </c>
      <c r="B27" s="1009" t="s">
        <v>979</v>
      </c>
      <c r="C27" s="1010">
        <v>7400</v>
      </c>
      <c r="D27" s="1010">
        <f>2985-1270</f>
        <v>1715</v>
      </c>
      <c r="E27" s="1010">
        <v>1270</v>
      </c>
      <c r="F27" s="1011">
        <f aca="true" t="shared" si="0" ref="F27:F38">D27/C27</f>
        <v>0.23175675675675675</v>
      </c>
      <c r="K27" s="868"/>
      <c r="M27" s="1012" t="s">
        <v>1152</v>
      </c>
    </row>
    <row r="28" spans="1:11" s="1012" customFormat="1" ht="14.25" customHeight="1" thickBot="1">
      <c r="A28" s="734" t="s">
        <v>37</v>
      </c>
      <c r="B28" s="1009" t="s">
        <v>1220</v>
      </c>
      <c r="C28" s="1010">
        <v>0</v>
      </c>
      <c r="D28" s="1010">
        <v>3952</v>
      </c>
      <c r="E28" s="1010">
        <v>0</v>
      </c>
      <c r="F28" s="1011" t="e">
        <f t="shared" si="0"/>
        <v>#DIV/0!</v>
      </c>
      <c r="K28" s="868"/>
    </row>
    <row r="29" spans="1:11" s="1012" customFormat="1" ht="14.25" customHeight="1" hidden="1">
      <c r="A29" s="734" t="s">
        <v>38</v>
      </c>
      <c r="B29" s="1009"/>
      <c r="C29" s="1010"/>
      <c r="D29" s="1010"/>
      <c r="E29" s="1010"/>
      <c r="F29" s="1011" t="e">
        <f t="shared" si="0"/>
        <v>#DIV/0!</v>
      </c>
      <c r="K29" s="868"/>
    </row>
    <row r="30" spans="1:11" s="1012" customFormat="1" ht="14.25" customHeight="1" hidden="1">
      <c r="A30" s="734" t="s">
        <v>39</v>
      </c>
      <c r="B30" s="1009"/>
      <c r="C30" s="1007"/>
      <c r="D30" s="1007"/>
      <c r="E30" s="1007"/>
      <c r="F30" s="1011" t="e">
        <f t="shared" si="0"/>
        <v>#DIV/0!</v>
      </c>
      <c r="K30" s="868"/>
    </row>
    <row r="31" spans="1:11" s="1012" customFormat="1" ht="14.25" customHeight="1" hidden="1">
      <c r="A31" s="734" t="s">
        <v>40</v>
      </c>
      <c r="B31" s="1018"/>
      <c r="C31" s="1007"/>
      <c r="D31" s="1007"/>
      <c r="E31" s="1007"/>
      <c r="F31" s="1011" t="e">
        <f t="shared" si="0"/>
        <v>#DIV/0!</v>
      </c>
      <c r="K31" s="868"/>
    </row>
    <row r="32" spans="1:11" s="1012" customFormat="1" ht="14.25" customHeight="1" hidden="1">
      <c r="A32" s="734" t="s">
        <v>41</v>
      </c>
      <c r="B32" s="1018"/>
      <c r="C32" s="1007"/>
      <c r="D32" s="1007"/>
      <c r="E32" s="1007"/>
      <c r="F32" s="1011" t="e">
        <f t="shared" si="0"/>
        <v>#DIV/0!</v>
      </c>
      <c r="K32" s="868"/>
    </row>
    <row r="33" spans="1:11" s="1012" customFormat="1" ht="14.25" customHeight="1" hidden="1">
      <c r="A33" s="734" t="s">
        <v>42</v>
      </c>
      <c r="B33" s="1018"/>
      <c r="C33" s="1007"/>
      <c r="D33" s="1007"/>
      <c r="E33" s="1007"/>
      <c r="F33" s="1011" t="e">
        <f t="shared" si="0"/>
        <v>#DIV/0!</v>
      </c>
      <c r="K33" s="868"/>
    </row>
    <row r="34" spans="1:11" s="1012" customFormat="1" ht="14.25" customHeight="1" hidden="1">
      <c r="A34" s="734" t="s">
        <v>43</v>
      </c>
      <c r="B34" s="1018"/>
      <c r="C34" s="1007"/>
      <c r="D34" s="1007"/>
      <c r="E34" s="1007"/>
      <c r="F34" s="1011" t="e">
        <f t="shared" si="0"/>
        <v>#DIV/0!</v>
      </c>
      <c r="K34" s="868"/>
    </row>
    <row r="35" spans="1:11" s="1012" customFormat="1" ht="14.25" customHeight="1" hidden="1">
      <c r="A35" s="734" t="s">
        <v>44</v>
      </c>
      <c r="B35" s="1018"/>
      <c r="C35" s="1007"/>
      <c r="D35" s="1007"/>
      <c r="E35" s="1007"/>
      <c r="F35" s="1011" t="e">
        <f t="shared" si="0"/>
        <v>#DIV/0!</v>
      </c>
      <c r="K35" s="868"/>
    </row>
    <row r="36" spans="1:11" s="1012" customFormat="1" ht="14.25" customHeight="1" hidden="1">
      <c r="A36" s="734" t="s">
        <v>45</v>
      </c>
      <c r="B36" s="1018"/>
      <c r="C36" s="1007"/>
      <c r="D36" s="1007"/>
      <c r="E36" s="1007"/>
      <c r="F36" s="1011" t="e">
        <f t="shared" si="0"/>
        <v>#DIV/0!</v>
      </c>
      <c r="K36" s="868"/>
    </row>
    <row r="37" spans="1:11" s="1012" customFormat="1" ht="14.25" customHeight="1" hidden="1" thickBot="1">
      <c r="A37" s="734" t="s">
        <v>123</v>
      </c>
      <c r="B37" s="1009"/>
      <c r="C37" s="1010"/>
      <c r="D37" s="1010"/>
      <c r="E37" s="1010"/>
      <c r="F37" s="1011" t="e">
        <f t="shared" si="0"/>
        <v>#DIV/0!</v>
      </c>
      <c r="K37" s="868"/>
    </row>
    <row r="38" spans="1:11" s="1012" customFormat="1" ht="14.25" customHeight="1">
      <c r="A38" s="1019" t="s">
        <v>50</v>
      </c>
      <c r="B38" s="1020"/>
      <c r="C38" s="1021">
        <f>SUM(C8:C37)</f>
        <v>130300</v>
      </c>
      <c r="D38" s="1021">
        <f>SUM(D8:D37)</f>
        <v>366641</v>
      </c>
      <c r="E38" s="1021">
        <f>SUM(E8:E37)</f>
        <v>2394</v>
      </c>
      <c r="F38" s="1022">
        <f t="shared" si="0"/>
        <v>2.813821949347659</v>
      </c>
      <c r="K38" s="868"/>
    </row>
    <row r="39" spans="2:11" s="1012" customFormat="1" ht="14.25" customHeight="1">
      <c r="B39" s="1023"/>
      <c r="C39" s="1024"/>
      <c r="D39" s="1024"/>
      <c r="E39" s="1024"/>
      <c r="F39" s="1025"/>
      <c r="K39" s="868"/>
    </row>
    <row r="40" spans="2:11" s="1012" customFormat="1" ht="14.25" customHeight="1">
      <c r="B40" s="1023"/>
      <c r="C40" s="1024"/>
      <c r="D40" s="1024"/>
      <c r="E40" s="1024"/>
      <c r="F40" s="1025"/>
      <c r="K40" s="868"/>
    </row>
    <row r="41" spans="2:11" s="1012" customFormat="1" ht="14.25" customHeight="1">
      <c r="B41" s="1026" t="s">
        <v>980</v>
      </c>
      <c r="C41" s="1024"/>
      <c r="D41" s="1024"/>
      <c r="E41" s="1024"/>
      <c r="F41" s="1025"/>
      <c r="K41" s="868"/>
    </row>
    <row r="42" spans="1:13" s="1012" customFormat="1" ht="14.25" customHeight="1">
      <c r="A42" s="734" t="s">
        <v>17</v>
      </c>
      <c r="B42" s="1009" t="s">
        <v>757</v>
      </c>
      <c r="C42" s="841">
        <v>30000</v>
      </c>
      <c r="D42" s="1333">
        <f>30000-1000</f>
        <v>29000</v>
      </c>
      <c r="E42" s="1333">
        <v>1000</v>
      </c>
      <c r="F42" s="1011">
        <f>D42/C42</f>
        <v>0.9666666666666667</v>
      </c>
      <c r="K42" s="868"/>
      <c r="M42" s="1012" t="s">
        <v>1152</v>
      </c>
    </row>
    <row r="43" spans="1:13" s="1012" customFormat="1" ht="14.25" customHeight="1">
      <c r="A43" s="734" t="s">
        <v>18</v>
      </c>
      <c r="B43" s="1016" t="s">
        <v>981</v>
      </c>
      <c r="C43" s="835">
        <v>0</v>
      </c>
      <c r="D43" s="1017">
        <f>15360-230</f>
        <v>15130</v>
      </c>
      <c r="E43" s="1017">
        <v>230</v>
      </c>
      <c r="F43" s="1011">
        <v>0</v>
      </c>
      <c r="K43" s="868"/>
      <c r="M43" s="1012" t="s">
        <v>1152</v>
      </c>
    </row>
    <row r="44" spans="1:13" s="1012" customFormat="1" ht="14.25" customHeight="1">
      <c r="A44" s="734" t="s">
        <v>19</v>
      </c>
      <c r="B44" s="1009" t="s">
        <v>744</v>
      </c>
      <c r="C44" s="841">
        <f>600000</f>
        <v>600000</v>
      </c>
      <c r="D44" s="841">
        <f>577850-4113</f>
        <v>573737</v>
      </c>
      <c r="E44" s="841">
        <v>4113</v>
      </c>
      <c r="F44" s="1015">
        <f aca="true" t="shared" si="1" ref="F44:F50">D44/C44</f>
        <v>0.9562283333333333</v>
      </c>
      <c r="K44" s="868"/>
      <c r="M44" s="1012" t="s">
        <v>1152</v>
      </c>
    </row>
    <row r="45" spans="1:13" s="1012" customFormat="1" ht="15" customHeight="1">
      <c r="A45" s="734" t="s">
        <v>20</v>
      </c>
      <c r="B45" s="1009" t="s">
        <v>746</v>
      </c>
      <c r="C45" s="1017">
        <v>366200</v>
      </c>
      <c r="D45" s="1334">
        <v>366200</v>
      </c>
      <c r="E45" s="1334">
        <v>0</v>
      </c>
      <c r="F45" s="1015">
        <f t="shared" si="1"/>
        <v>1</v>
      </c>
      <c r="K45" s="868"/>
      <c r="M45" s="1012" t="s">
        <v>1152</v>
      </c>
    </row>
    <row r="46" spans="1:11" s="1012" customFormat="1" ht="14.25" customHeight="1">
      <c r="A46" s="734" t="s">
        <v>21</v>
      </c>
      <c r="B46" s="1009" t="s">
        <v>982</v>
      </c>
      <c r="C46" s="841">
        <v>3500</v>
      </c>
      <c r="D46" s="841">
        <v>0</v>
      </c>
      <c r="E46" s="841">
        <v>0</v>
      </c>
      <c r="F46" s="1011">
        <f t="shared" si="1"/>
        <v>0</v>
      </c>
      <c r="K46" s="868"/>
    </row>
    <row r="47" spans="1:11" s="1012" customFormat="1" ht="14.25" customHeight="1">
      <c r="A47" s="734" t="s">
        <v>22</v>
      </c>
      <c r="B47" s="1009" t="s">
        <v>983</v>
      </c>
      <c r="C47" s="841">
        <v>95000</v>
      </c>
      <c r="D47" s="841">
        <v>0</v>
      </c>
      <c r="E47" s="841">
        <v>0</v>
      </c>
      <c r="F47" s="1011">
        <f t="shared" si="1"/>
        <v>0</v>
      </c>
      <c r="K47" s="868"/>
    </row>
    <row r="48" spans="1:11" s="1012" customFormat="1" ht="14.25" customHeight="1">
      <c r="A48" s="734" t="s">
        <v>23</v>
      </c>
      <c r="B48" s="1009" t="s">
        <v>984</v>
      </c>
      <c r="C48" s="841">
        <v>10000</v>
      </c>
      <c r="D48" s="841">
        <v>0</v>
      </c>
      <c r="E48" s="841">
        <v>0</v>
      </c>
      <c r="F48" s="1011">
        <f t="shared" si="1"/>
        <v>0</v>
      </c>
      <c r="K48" s="868"/>
    </row>
    <row r="49" spans="1:11" s="1012" customFormat="1" ht="30" customHeight="1">
      <c r="A49" s="734" t="s">
        <v>24</v>
      </c>
      <c r="B49" s="1009" t="s">
        <v>656</v>
      </c>
      <c r="C49" s="1017">
        <v>198865</v>
      </c>
      <c r="D49" s="1017">
        <v>0</v>
      </c>
      <c r="E49" s="1017">
        <v>0</v>
      </c>
      <c r="F49" s="1015">
        <f t="shared" si="1"/>
        <v>0</v>
      </c>
      <c r="K49" s="868"/>
    </row>
    <row r="50" spans="1:11" s="1012" customFormat="1" ht="32.25" thickBot="1">
      <c r="A50" s="734" t="s">
        <v>25</v>
      </c>
      <c r="B50" s="1009" t="s">
        <v>985</v>
      </c>
      <c r="C50" s="1017">
        <v>7500</v>
      </c>
      <c r="D50" s="1017">
        <v>0</v>
      </c>
      <c r="E50" s="1017">
        <v>0</v>
      </c>
      <c r="F50" s="1015">
        <f t="shared" si="1"/>
        <v>0</v>
      </c>
      <c r="K50" s="868"/>
    </row>
    <row r="51" spans="1:6" ht="14.25" customHeight="1" hidden="1">
      <c r="A51" s="734" t="s">
        <v>26</v>
      </c>
      <c r="B51" s="1009"/>
      <c r="C51" s="1010"/>
      <c r="D51" s="1010"/>
      <c r="E51" s="1010"/>
      <c r="F51" s="1011"/>
    </row>
    <row r="52" spans="1:6" ht="14.25" customHeight="1" hidden="1">
      <c r="A52" s="734" t="s">
        <v>25</v>
      </c>
      <c r="B52" s="1009"/>
      <c r="C52" s="1010"/>
      <c r="D52" s="1010"/>
      <c r="E52" s="1010"/>
      <c r="F52" s="1011"/>
    </row>
    <row r="53" spans="1:6" ht="28.5" customHeight="1" hidden="1">
      <c r="A53" s="734" t="s">
        <v>26</v>
      </c>
      <c r="B53" s="1009"/>
      <c r="C53" s="1027"/>
      <c r="D53" s="1027"/>
      <c r="E53" s="1027"/>
      <c r="F53" s="1011"/>
    </row>
    <row r="54" spans="1:6" ht="14.25" customHeight="1" hidden="1">
      <c r="A54" s="734" t="s">
        <v>27</v>
      </c>
      <c r="B54" s="1009"/>
      <c r="C54" s="1027"/>
      <c r="D54" s="1027"/>
      <c r="E54" s="1027"/>
      <c r="F54" s="1011"/>
    </row>
    <row r="55" spans="1:11" s="1012" customFormat="1" ht="14.25" customHeight="1" hidden="1">
      <c r="A55" s="734" t="s">
        <v>28</v>
      </c>
      <c r="B55" s="1009"/>
      <c r="C55" s="1010"/>
      <c r="D55" s="1010"/>
      <c r="E55" s="1010"/>
      <c r="F55" s="1011"/>
      <c r="K55" s="868"/>
    </row>
    <row r="56" spans="1:11" s="1012" customFormat="1" ht="14.25" customHeight="1" hidden="1">
      <c r="A56" s="734" t="s">
        <v>29</v>
      </c>
      <c r="B56" s="1009"/>
      <c r="C56" s="1010"/>
      <c r="D56" s="1010"/>
      <c r="E56" s="1010"/>
      <c r="F56" s="1011"/>
      <c r="K56" s="868"/>
    </row>
    <row r="57" spans="1:11" s="1012" customFormat="1" ht="14.25" customHeight="1" hidden="1">
      <c r="A57" s="734" t="s">
        <v>30</v>
      </c>
      <c r="B57" s="1009"/>
      <c r="C57" s="1010"/>
      <c r="D57" s="1010"/>
      <c r="E57" s="1010"/>
      <c r="F57" s="1011"/>
      <c r="K57" s="868"/>
    </row>
    <row r="58" spans="1:11" s="1012" customFormat="1" ht="14.25" customHeight="1" hidden="1">
      <c r="A58" s="734" t="s">
        <v>31</v>
      </c>
      <c r="B58" s="1009"/>
      <c r="C58" s="1010"/>
      <c r="D58" s="1010"/>
      <c r="E58" s="1010"/>
      <c r="F58" s="1011"/>
      <c r="K58" s="868"/>
    </row>
    <row r="59" spans="1:11" s="1012" customFormat="1" ht="14.25" customHeight="1" hidden="1">
      <c r="A59" s="734" t="s">
        <v>32</v>
      </c>
      <c r="B59" s="1009"/>
      <c r="C59" s="1007"/>
      <c r="D59" s="1007"/>
      <c r="E59" s="1007"/>
      <c r="F59" s="1028"/>
      <c r="G59" s="1012">
        <v>18116</v>
      </c>
      <c r="K59" s="868"/>
    </row>
    <row r="60" spans="1:11" s="1012" customFormat="1" ht="14.25" customHeight="1" hidden="1">
      <c r="A60" s="734" t="s">
        <v>33</v>
      </c>
      <c r="B60" s="1009"/>
      <c r="C60" s="1007"/>
      <c r="D60" s="1007"/>
      <c r="E60" s="1007"/>
      <c r="F60" s="1029"/>
      <c r="K60" s="868"/>
    </row>
    <row r="61" spans="1:11" s="1012" customFormat="1" ht="14.25" customHeight="1" hidden="1">
      <c r="A61" s="734" t="s">
        <v>34</v>
      </c>
      <c r="B61" s="1009"/>
      <c r="C61" s="1027"/>
      <c r="D61" s="1027"/>
      <c r="E61" s="1027"/>
      <c r="F61" s="1029"/>
      <c r="K61" s="868"/>
    </row>
    <row r="62" spans="1:11" s="1012" customFormat="1" ht="14.25" customHeight="1" hidden="1">
      <c r="A62" s="734" t="s">
        <v>35</v>
      </c>
      <c r="B62" s="1009"/>
      <c r="C62" s="1007"/>
      <c r="D62" s="1007"/>
      <c r="E62" s="1007"/>
      <c r="F62" s="1028"/>
      <c r="K62" s="868"/>
    </row>
    <row r="63" spans="1:11" s="1012" customFormat="1" ht="14.25" customHeight="1" hidden="1">
      <c r="A63" s="734" t="s">
        <v>36</v>
      </c>
      <c r="B63" s="1009"/>
      <c r="C63" s="1027"/>
      <c r="D63" s="1027"/>
      <c r="E63" s="1027"/>
      <c r="F63" s="1028"/>
      <c r="K63" s="868"/>
    </row>
    <row r="64" spans="1:11" s="1012" customFormat="1" ht="14.25" customHeight="1" hidden="1">
      <c r="A64" s="734" t="s">
        <v>37</v>
      </c>
      <c r="B64" s="1009"/>
      <c r="C64" s="1027"/>
      <c r="D64" s="1027"/>
      <c r="E64" s="1027"/>
      <c r="F64" s="1028"/>
      <c r="K64" s="868"/>
    </row>
    <row r="65" spans="1:11" s="1012" customFormat="1" ht="14.25" customHeight="1" hidden="1">
      <c r="A65" s="734" t="s">
        <v>38</v>
      </c>
      <c r="B65" s="1009"/>
      <c r="C65" s="1027"/>
      <c r="D65" s="1027"/>
      <c r="E65" s="1027"/>
      <c r="F65" s="1028"/>
      <c r="K65" s="868"/>
    </row>
    <row r="66" spans="1:11" s="1000" customFormat="1" ht="14.25" customHeight="1">
      <c r="A66" s="1019" t="s">
        <v>50</v>
      </c>
      <c r="B66" s="1020"/>
      <c r="C66" s="1021">
        <f>SUM(C42:C65)</f>
        <v>1311065</v>
      </c>
      <c r="D66" s="1021">
        <f>SUM(D42:D65)</f>
        <v>984067</v>
      </c>
      <c r="E66" s="1021">
        <f>SUM(E42:E65)</f>
        <v>5343</v>
      </c>
      <c r="F66" s="1022">
        <f>D66/C66</f>
        <v>0.7505859739982381</v>
      </c>
      <c r="K66" s="992"/>
    </row>
    <row r="67" spans="1:11" s="1012" customFormat="1" ht="14.25" customHeight="1">
      <c r="A67" s="870"/>
      <c r="B67" s="1030"/>
      <c r="C67" s="1031"/>
      <c r="D67" s="1031"/>
      <c r="E67" s="1031"/>
      <c r="F67" s="1032"/>
      <c r="K67" s="868"/>
    </row>
    <row r="68" spans="1:11" s="1012" customFormat="1" ht="14.25" customHeight="1">
      <c r="A68" s="870"/>
      <c r="B68" s="1030"/>
      <c r="C68" s="1031"/>
      <c r="D68" s="1031"/>
      <c r="E68" s="1031"/>
      <c r="F68" s="1032"/>
      <c r="K68" s="868"/>
    </row>
    <row r="69" spans="2:11" s="1012" customFormat="1" ht="14.25" customHeight="1">
      <c r="B69" s="1026" t="s">
        <v>986</v>
      </c>
      <c r="C69" s="1024"/>
      <c r="D69" s="1024"/>
      <c r="E69" s="1024"/>
      <c r="F69" s="1025"/>
      <c r="K69" s="868"/>
    </row>
    <row r="70" spans="1:13" s="1012" customFormat="1" ht="31.5">
      <c r="A70" s="734" t="s">
        <v>17</v>
      </c>
      <c r="B70" s="1013" t="s">
        <v>987</v>
      </c>
      <c r="C70" s="835">
        <v>0</v>
      </c>
      <c r="D70" s="1334">
        <v>149568</v>
      </c>
      <c r="E70" s="1334">
        <v>0</v>
      </c>
      <c r="F70" s="1015">
        <v>0</v>
      </c>
      <c r="K70" s="868"/>
      <c r="M70" s="1012" t="s">
        <v>1152</v>
      </c>
    </row>
    <row r="71" spans="1:13" s="1012" customFormat="1" ht="31.5">
      <c r="A71" s="734" t="s">
        <v>18</v>
      </c>
      <c r="B71" s="1013" t="s">
        <v>988</v>
      </c>
      <c r="C71" s="835">
        <v>0</v>
      </c>
      <c r="D71" s="1017">
        <v>10000</v>
      </c>
      <c r="E71" s="1017">
        <v>0</v>
      </c>
      <c r="F71" s="1015">
        <v>0</v>
      </c>
      <c r="K71" s="868"/>
      <c r="M71" s="1012" t="s">
        <v>1152</v>
      </c>
    </row>
    <row r="72" spans="1:13" s="1012" customFormat="1" ht="14.25" customHeight="1">
      <c r="A72" s="734" t="s">
        <v>19</v>
      </c>
      <c r="B72" s="1016" t="s">
        <v>989</v>
      </c>
      <c r="C72" s="835">
        <v>0</v>
      </c>
      <c r="D72" s="1334">
        <f>426005-4953</f>
        <v>421052</v>
      </c>
      <c r="E72" s="1334">
        <v>4953</v>
      </c>
      <c r="F72" s="1015">
        <v>0</v>
      </c>
      <c r="G72" s="1033"/>
      <c r="K72" s="868"/>
      <c r="M72" s="1012" t="s">
        <v>1152</v>
      </c>
    </row>
    <row r="73" spans="1:13" s="1012" customFormat="1" ht="14.25" customHeight="1">
      <c r="A73" s="734" t="s">
        <v>20</v>
      </c>
      <c r="B73" s="1016" t="s">
        <v>990</v>
      </c>
      <c r="C73" s="835">
        <v>0</v>
      </c>
      <c r="D73" s="1017">
        <v>10000</v>
      </c>
      <c r="E73" s="1017">
        <v>0</v>
      </c>
      <c r="F73" s="1015">
        <v>0</v>
      </c>
      <c r="G73" s="1033"/>
      <c r="K73" s="868"/>
      <c r="M73" s="1012" t="s">
        <v>1152</v>
      </c>
    </row>
    <row r="74" spans="1:13" s="1012" customFormat="1" ht="14.25" customHeight="1">
      <c r="A74" s="734" t="s">
        <v>21</v>
      </c>
      <c r="B74" s="1013" t="s">
        <v>991</v>
      </c>
      <c r="C74" s="835">
        <v>0</v>
      </c>
      <c r="D74" s="1334">
        <f>22400-9</f>
        <v>22391</v>
      </c>
      <c r="E74" s="1334">
        <v>9</v>
      </c>
      <c r="F74" s="1015">
        <v>0</v>
      </c>
      <c r="G74" s="1033"/>
      <c r="K74" s="868"/>
      <c r="M74" s="1012" t="s">
        <v>1152</v>
      </c>
    </row>
    <row r="75" spans="1:13" s="1012" customFormat="1" ht="14.25" customHeight="1">
      <c r="A75" s="734" t="s">
        <v>22</v>
      </c>
      <c r="B75" s="1013" t="s">
        <v>992</v>
      </c>
      <c r="C75" s="835">
        <v>0</v>
      </c>
      <c r="D75" s="1017">
        <v>3000</v>
      </c>
      <c r="E75" s="1017">
        <v>0</v>
      </c>
      <c r="F75" s="1015">
        <v>0</v>
      </c>
      <c r="G75" s="1033"/>
      <c r="K75" s="868"/>
      <c r="M75" s="1012" t="s">
        <v>1152</v>
      </c>
    </row>
    <row r="76" spans="1:13" s="1012" customFormat="1" ht="14.25" customHeight="1">
      <c r="A76" s="734" t="s">
        <v>23</v>
      </c>
      <c r="B76" s="1013" t="s">
        <v>993</v>
      </c>
      <c r="C76" s="835">
        <v>0</v>
      </c>
      <c r="D76" s="1334">
        <v>33570</v>
      </c>
      <c r="E76" s="1334">
        <v>0</v>
      </c>
      <c r="F76" s="1015">
        <v>0</v>
      </c>
      <c r="G76" s="1033"/>
      <c r="K76" s="868"/>
      <c r="M76" s="1012" t="s">
        <v>1152</v>
      </c>
    </row>
    <row r="77" spans="1:13" s="1012" customFormat="1" ht="14.25" customHeight="1">
      <c r="A77" s="734" t="s">
        <v>24</v>
      </c>
      <c r="B77" s="1013" t="s">
        <v>994</v>
      </c>
      <c r="C77" s="835">
        <v>0</v>
      </c>
      <c r="D77" s="1017">
        <v>3000</v>
      </c>
      <c r="E77" s="1017">
        <v>0</v>
      </c>
      <c r="F77" s="1015">
        <v>0</v>
      </c>
      <c r="G77" s="1033"/>
      <c r="K77" s="868"/>
      <c r="M77" s="1012" t="s">
        <v>1152</v>
      </c>
    </row>
    <row r="78" spans="1:13" s="1012" customFormat="1" ht="14.25" customHeight="1">
      <c r="A78" s="734" t="s">
        <v>25</v>
      </c>
      <c r="B78" s="1016" t="s">
        <v>995</v>
      </c>
      <c r="C78" s="835">
        <v>0</v>
      </c>
      <c r="D78" s="1334">
        <v>60000</v>
      </c>
      <c r="E78" s="1334">
        <v>0</v>
      </c>
      <c r="F78" s="1015">
        <v>0</v>
      </c>
      <c r="G78" s="1033"/>
      <c r="K78" s="868"/>
      <c r="M78" s="1012" t="s">
        <v>1152</v>
      </c>
    </row>
    <row r="79" spans="1:14" s="1012" customFormat="1" ht="14.25" customHeight="1">
      <c r="A79" s="734" t="s">
        <v>26</v>
      </c>
      <c r="B79" s="1016" t="s">
        <v>996</v>
      </c>
      <c r="C79" s="835">
        <v>0</v>
      </c>
      <c r="D79" s="1014">
        <v>3000</v>
      </c>
      <c r="E79" s="1014">
        <v>0</v>
      </c>
      <c r="F79" s="1015">
        <v>0</v>
      </c>
      <c r="G79" s="1033"/>
      <c r="K79" s="868"/>
      <c r="M79" s="1012" t="s">
        <v>1152</v>
      </c>
      <c r="N79" s="1012" t="s">
        <v>1172</v>
      </c>
    </row>
    <row r="80" spans="1:14" s="1012" customFormat="1" ht="31.5">
      <c r="A80" s="734" t="s">
        <v>27</v>
      </c>
      <c r="B80" s="1013" t="s">
        <v>762</v>
      </c>
      <c r="C80" s="835">
        <v>0</v>
      </c>
      <c r="D80" s="1334">
        <v>21999</v>
      </c>
      <c r="E80" s="1334">
        <v>0</v>
      </c>
      <c r="F80" s="1015">
        <v>0</v>
      </c>
      <c r="G80" s="1033"/>
      <c r="K80" s="868"/>
      <c r="M80" s="1012" t="s">
        <v>1152</v>
      </c>
      <c r="N80" s="1335">
        <f>D42+D45+D70+D72+D74+D76+D78+D80+D82</f>
        <v>1147846</v>
      </c>
    </row>
    <row r="81" spans="1:16" s="1012" customFormat="1" ht="14.25" customHeight="1">
      <c r="A81" s="734" t="s">
        <v>28</v>
      </c>
      <c r="B81" s="1009" t="s">
        <v>1200</v>
      </c>
      <c r="C81" s="1017"/>
      <c r="D81" s="1017">
        <f>38139-153</f>
        <v>37986</v>
      </c>
      <c r="E81" s="1017">
        <v>153</v>
      </c>
      <c r="F81" s="1015"/>
      <c r="G81" s="1033"/>
      <c r="K81" s="868"/>
      <c r="N81" s="1012">
        <v>8</v>
      </c>
      <c r="O81" s="868">
        <f>8!B16+8!B17+8!B39+8!B40+8!B69+8!B92+8!B123+8!B146+8!B175+8!B198</f>
        <v>1103780</v>
      </c>
      <c r="P81" s="868">
        <f>N80-O81</f>
        <v>44066</v>
      </c>
    </row>
    <row r="82" spans="1:11" s="1012" customFormat="1" ht="14.25" customHeight="1">
      <c r="A82" s="734" t="s">
        <v>29</v>
      </c>
      <c r="B82" s="1009" t="s">
        <v>1227</v>
      </c>
      <c r="C82" s="841">
        <v>0</v>
      </c>
      <c r="D82" s="1334">
        <v>44066</v>
      </c>
      <c r="E82" s="1334">
        <v>0</v>
      </c>
      <c r="F82" s="1015" t="e">
        <f>D82/C82</f>
        <v>#DIV/0!</v>
      </c>
      <c r="G82" s="1033"/>
      <c r="K82" s="868"/>
    </row>
    <row r="83" spans="1:11" s="1012" customFormat="1" ht="14.25" customHeight="1" thickBot="1">
      <c r="A83" s="734" t="s">
        <v>30</v>
      </c>
      <c r="B83" s="1009" t="s">
        <v>1244</v>
      </c>
      <c r="C83" s="841">
        <v>0</v>
      </c>
      <c r="D83" s="1017">
        <v>2985</v>
      </c>
      <c r="E83" s="1017">
        <v>215</v>
      </c>
      <c r="F83" s="1015"/>
      <c r="G83" s="1033"/>
      <c r="K83" s="868"/>
    </row>
    <row r="84" spans="1:11" s="1000" customFormat="1" ht="15" customHeight="1" hidden="1" thickBot="1">
      <c r="A84" s="734"/>
      <c r="B84" s="1009"/>
      <c r="C84" s="841"/>
      <c r="D84" s="841"/>
      <c r="E84" s="841"/>
      <c r="F84" s="1015"/>
      <c r="K84" s="992"/>
    </row>
    <row r="85" spans="1:11" s="1000" customFormat="1" ht="14.25" customHeight="1">
      <c r="A85" s="1019" t="s">
        <v>50</v>
      </c>
      <c r="B85" s="1020"/>
      <c r="C85" s="1021">
        <f>SUM(C70:C84)</f>
        <v>0</v>
      </c>
      <c r="D85" s="1021">
        <f>SUM(D70:D84)</f>
        <v>822617</v>
      </c>
      <c r="E85" s="1021">
        <f>SUM(E70:E84)</f>
        <v>5330</v>
      </c>
      <c r="F85" s="1022" t="e">
        <f>D85/C85</f>
        <v>#DIV/0!</v>
      </c>
      <c r="K85" s="992"/>
    </row>
    <row r="86" spans="1:11" s="1000" customFormat="1" ht="14.25" customHeight="1">
      <c r="A86" s="1034"/>
      <c r="B86" s="1035"/>
      <c r="C86" s="1031"/>
      <c r="D86" s="1031"/>
      <c r="E86" s="1031"/>
      <c r="F86" s="1032"/>
      <c r="K86" s="992"/>
    </row>
    <row r="87" spans="1:11" s="1000" customFormat="1" ht="14.25" customHeight="1">
      <c r="A87" s="1012"/>
      <c r="B87" s="1001"/>
      <c r="C87" s="1024"/>
      <c r="D87" s="1024"/>
      <c r="E87" s="1024"/>
      <c r="F87" s="1025"/>
      <c r="K87" s="992"/>
    </row>
    <row r="88" spans="2:11" s="1000" customFormat="1" ht="14.25" customHeight="1">
      <c r="B88" s="1026" t="s">
        <v>997</v>
      </c>
      <c r="C88" s="1024"/>
      <c r="D88" s="1024"/>
      <c r="E88" s="1024"/>
      <c r="F88" s="1025"/>
      <c r="K88" s="992"/>
    </row>
    <row r="89" spans="1:11" s="1000" customFormat="1" ht="14.25" customHeight="1">
      <c r="A89" s="734" t="s">
        <v>17</v>
      </c>
      <c r="B89" s="1018" t="s">
        <v>998</v>
      </c>
      <c r="C89" s="1007">
        <v>5000</v>
      </c>
      <c r="D89" s="1007">
        <v>10000</v>
      </c>
      <c r="E89" s="1007">
        <v>0</v>
      </c>
      <c r="F89" s="1029">
        <f>D89/C89</f>
        <v>2</v>
      </c>
      <c r="K89" s="992"/>
    </row>
    <row r="90" spans="1:11" s="1000" customFormat="1" ht="14.25" customHeight="1">
      <c r="A90" s="734" t="s">
        <v>18</v>
      </c>
      <c r="B90" s="840" t="s">
        <v>999</v>
      </c>
      <c r="C90" s="1007">
        <v>0</v>
      </c>
      <c r="D90" s="1007">
        <v>4000</v>
      </c>
      <c r="E90" s="1007">
        <v>0</v>
      </c>
      <c r="F90" s="1029">
        <v>0</v>
      </c>
      <c r="K90" s="992"/>
    </row>
    <row r="91" spans="1:11" s="1000" customFormat="1" ht="14.25" customHeight="1">
      <c r="A91" s="734" t="s">
        <v>19</v>
      </c>
      <c r="B91" s="840" t="s">
        <v>1000</v>
      </c>
      <c r="C91" s="835">
        <v>0</v>
      </c>
      <c r="D91" s="835">
        <v>3270</v>
      </c>
      <c r="E91" s="835">
        <v>0</v>
      </c>
      <c r="F91" s="1029">
        <v>0</v>
      </c>
      <c r="K91" s="992"/>
    </row>
    <row r="92" spans="1:11" s="1000" customFormat="1" ht="14.25" customHeight="1">
      <c r="A92" s="734" t="s">
        <v>20</v>
      </c>
      <c r="B92" s="1009" t="s">
        <v>1001</v>
      </c>
      <c r="C92" s="835">
        <v>0</v>
      </c>
      <c r="D92" s="835">
        <v>20357</v>
      </c>
      <c r="E92" s="835">
        <v>0</v>
      </c>
      <c r="F92" s="1029">
        <v>0</v>
      </c>
      <c r="K92" s="992"/>
    </row>
    <row r="93" spans="1:13" s="1000" customFormat="1" ht="14.25" customHeight="1">
      <c r="A93" s="734" t="s">
        <v>21</v>
      </c>
      <c r="B93" s="1009" t="s">
        <v>1002</v>
      </c>
      <c r="C93" s="835">
        <v>0</v>
      </c>
      <c r="D93" s="835">
        <f>4000-321</f>
        <v>3679</v>
      </c>
      <c r="E93" s="835">
        <v>321</v>
      </c>
      <c r="F93" s="1029">
        <v>0</v>
      </c>
      <c r="K93" s="992"/>
      <c r="M93" s="1250" t="s">
        <v>1154</v>
      </c>
    </row>
    <row r="94" spans="1:11" s="1000" customFormat="1" ht="14.25" customHeight="1">
      <c r="A94" s="734" t="s">
        <v>22</v>
      </c>
      <c r="B94" s="1009" t="s">
        <v>1003</v>
      </c>
      <c r="C94" s="835">
        <v>0</v>
      </c>
      <c r="D94" s="835">
        <v>19559</v>
      </c>
      <c r="E94" s="835">
        <v>0</v>
      </c>
      <c r="F94" s="1029">
        <v>0</v>
      </c>
      <c r="K94" s="992"/>
    </row>
    <row r="95" spans="1:11" s="1000" customFormat="1" ht="14.25" customHeight="1">
      <c r="A95" s="734" t="s">
        <v>23</v>
      </c>
      <c r="B95" s="1018" t="s">
        <v>1204</v>
      </c>
      <c r="C95" s="835">
        <v>0</v>
      </c>
      <c r="D95" s="835">
        <v>5000</v>
      </c>
      <c r="E95" s="835">
        <v>0</v>
      </c>
      <c r="F95" s="1029">
        <v>0</v>
      </c>
      <c r="K95" s="992"/>
    </row>
    <row r="96" spans="1:11" s="1000" customFormat="1" ht="14.25" customHeight="1">
      <c r="A96" s="734" t="s">
        <v>24</v>
      </c>
      <c r="B96" s="1036" t="s">
        <v>1004</v>
      </c>
      <c r="C96" s="835">
        <v>1000</v>
      </c>
      <c r="D96" s="835">
        <v>3000</v>
      </c>
      <c r="E96" s="835">
        <v>0</v>
      </c>
      <c r="F96" s="1029">
        <f>D96/C96</f>
        <v>3</v>
      </c>
      <c r="K96" s="992"/>
    </row>
    <row r="97" spans="1:11" s="1000" customFormat="1" ht="14.25" customHeight="1">
      <c r="A97" s="734" t="s">
        <v>25</v>
      </c>
      <c r="B97" s="1016" t="s">
        <v>1005</v>
      </c>
      <c r="C97" s="835">
        <v>0</v>
      </c>
      <c r="D97" s="1014">
        <v>25000</v>
      </c>
      <c r="E97" s="1014">
        <v>0</v>
      </c>
      <c r="F97" s="1029">
        <v>0</v>
      </c>
      <c r="K97" s="992"/>
    </row>
    <row r="98" spans="1:11" s="1000" customFormat="1" ht="14.25" customHeight="1">
      <c r="A98" s="734" t="s">
        <v>26</v>
      </c>
      <c r="B98" s="1016" t="s">
        <v>1006</v>
      </c>
      <c r="C98" s="835">
        <v>0</v>
      </c>
      <c r="D98" s="1014">
        <v>10000</v>
      </c>
      <c r="E98" s="1014">
        <v>0</v>
      </c>
      <c r="F98" s="1029">
        <v>0</v>
      </c>
      <c r="K98" s="992"/>
    </row>
    <row r="99" spans="1:11" s="1000" customFormat="1" ht="14.25" customHeight="1">
      <c r="A99" s="734" t="s">
        <v>27</v>
      </c>
      <c r="B99" s="1016" t="s">
        <v>1007</v>
      </c>
      <c r="C99" s="835">
        <v>0</v>
      </c>
      <c r="D99" s="1014">
        <f>16000-150</f>
        <v>15850</v>
      </c>
      <c r="E99" s="1014">
        <v>150</v>
      </c>
      <c r="F99" s="1029">
        <v>0</v>
      </c>
      <c r="K99" s="992"/>
    </row>
    <row r="100" spans="1:11" s="1000" customFormat="1" ht="14.25" customHeight="1">
      <c r="A100" s="734" t="s">
        <v>28</v>
      </c>
      <c r="B100" s="1016" t="s">
        <v>1008</v>
      </c>
      <c r="C100" s="835">
        <v>0</v>
      </c>
      <c r="D100" s="1014">
        <v>2600</v>
      </c>
      <c r="E100" s="1014">
        <v>0</v>
      </c>
      <c r="F100" s="1029">
        <v>0</v>
      </c>
      <c r="K100" s="992"/>
    </row>
    <row r="101" spans="1:11" s="1000" customFormat="1" ht="14.25" customHeight="1">
      <c r="A101" s="734" t="s">
        <v>29</v>
      </c>
      <c r="B101" s="1016" t="s">
        <v>1009</v>
      </c>
      <c r="C101" s="835">
        <v>0</v>
      </c>
      <c r="D101" s="1014">
        <v>2731</v>
      </c>
      <c r="E101" s="1014">
        <v>0</v>
      </c>
      <c r="F101" s="1029">
        <v>0</v>
      </c>
      <c r="K101" s="992"/>
    </row>
    <row r="102" spans="1:11" s="1000" customFormat="1" ht="14.25" customHeight="1">
      <c r="A102" s="734" t="s">
        <v>30</v>
      </c>
      <c r="B102" s="1016" t="s">
        <v>1010</v>
      </c>
      <c r="C102" s="835">
        <v>0</v>
      </c>
      <c r="D102" s="1014">
        <v>2000</v>
      </c>
      <c r="E102" s="1014">
        <v>0</v>
      </c>
      <c r="F102" s="1029">
        <v>0</v>
      </c>
      <c r="K102" s="992"/>
    </row>
    <row r="103" spans="1:11" s="1000" customFormat="1" ht="14.25" customHeight="1">
      <c r="A103" s="734" t="s">
        <v>31</v>
      </c>
      <c r="B103" s="1016" t="s">
        <v>1207</v>
      </c>
      <c r="C103" s="835">
        <v>0</v>
      </c>
      <c r="D103" s="1014">
        <f>250000-34102</f>
        <v>215898</v>
      </c>
      <c r="E103" s="1014">
        <v>0</v>
      </c>
      <c r="F103" s="1029">
        <v>0</v>
      </c>
      <c r="K103" s="992"/>
    </row>
    <row r="104" spans="1:11" s="1000" customFormat="1" ht="14.25" customHeight="1">
      <c r="A104" s="734" t="s">
        <v>32</v>
      </c>
      <c r="B104" s="1009" t="s">
        <v>1201</v>
      </c>
      <c r="C104" s="1007"/>
      <c r="D104" s="1007">
        <v>3000</v>
      </c>
      <c r="E104" s="1007">
        <v>0</v>
      </c>
      <c r="F104" s="1029" t="e">
        <f aca="true" t="shared" si="2" ref="F104:F117">D104/C104</f>
        <v>#DIV/0!</v>
      </c>
      <c r="K104" s="992"/>
    </row>
    <row r="105" spans="1:11" s="1000" customFormat="1" ht="14.25" customHeight="1">
      <c r="A105" s="734" t="s">
        <v>33</v>
      </c>
      <c r="B105" s="1009" t="s">
        <v>1202</v>
      </c>
      <c r="C105" s="1007"/>
      <c r="D105" s="1007">
        <v>793929</v>
      </c>
      <c r="E105" s="1007">
        <v>0</v>
      </c>
      <c r="F105" s="1029" t="e">
        <f t="shared" si="2"/>
        <v>#DIV/0!</v>
      </c>
      <c r="K105" s="992"/>
    </row>
    <row r="106" spans="1:11" s="1000" customFormat="1" ht="14.25" customHeight="1">
      <c r="A106" s="734" t="s">
        <v>34</v>
      </c>
      <c r="B106" s="1009" t="s">
        <v>1219</v>
      </c>
      <c r="C106" s="1007">
        <v>0</v>
      </c>
      <c r="D106" s="1007">
        <v>1629</v>
      </c>
      <c r="E106" s="1007">
        <v>0</v>
      </c>
      <c r="F106" s="1029" t="e">
        <f t="shared" si="2"/>
        <v>#DIV/0!</v>
      </c>
      <c r="K106" s="992"/>
    </row>
    <row r="107" spans="1:11" s="1000" customFormat="1" ht="14.25" customHeight="1">
      <c r="A107" s="734" t="s">
        <v>35</v>
      </c>
      <c r="B107" s="1016" t="s">
        <v>1075</v>
      </c>
      <c r="C107" s="1007">
        <v>0</v>
      </c>
      <c r="D107" s="1007">
        <v>2500</v>
      </c>
      <c r="E107" s="1007">
        <v>0</v>
      </c>
      <c r="F107" s="1029" t="e">
        <f t="shared" si="2"/>
        <v>#DIV/0!</v>
      </c>
      <c r="K107" s="992"/>
    </row>
    <row r="108" spans="1:11" s="1000" customFormat="1" ht="14.25" customHeight="1">
      <c r="A108" s="734" t="s">
        <v>36</v>
      </c>
      <c r="B108" s="1018" t="s">
        <v>1245</v>
      </c>
      <c r="C108" s="1007"/>
      <c r="D108" s="1007">
        <v>400</v>
      </c>
      <c r="E108" s="1007">
        <v>0</v>
      </c>
      <c r="F108" s="1029" t="e">
        <f t="shared" si="2"/>
        <v>#DIV/0!</v>
      </c>
      <c r="K108" s="992"/>
    </row>
    <row r="109" spans="1:11" s="1000" customFormat="1" ht="14.25" customHeight="1">
      <c r="A109" s="734" t="s">
        <v>37</v>
      </c>
      <c r="B109" s="1037" t="s">
        <v>1246</v>
      </c>
      <c r="C109" s="1007"/>
      <c r="D109" s="1007">
        <v>6579</v>
      </c>
      <c r="E109" s="1007">
        <v>0</v>
      </c>
      <c r="F109" s="1029" t="e">
        <f t="shared" si="2"/>
        <v>#DIV/0!</v>
      </c>
      <c r="K109" s="992"/>
    </row>
    <row r="110" spans="1:11" s="1000" customFormat="1" ht="14.25" customHeight="1">
      <c r="A110" s="734" t="s">
        <v>38</v>
      </c>
      <c r="B110" s="1018" t="s">
        <v>1247</v>
      </c>
      <c r="C110" s="1007"/>
      <c r="D110" s="1007">
        <v>1000</v>
      </c>
      <c r="E110" s="1007">
        <v>0</v>
      </c>
      <c r="F110" s="1029" t="e">
        <f t="shared" si="2"/>
        <v>#DIV/0!</v>
      </c>
      <c r="K110" s="992"/>
    </row>
    <row r="111" spans="1:11" s="1000" customFormat="1" ht="14.25" customHeight="1">
      <c r="A111" s="734" t="s">
        <v>39</v>
      </c>
      <c r="B111" s="1018" t="s">
        <v>1248</v>
      </c>
      <c r="C111" s="1007"/>
      <c r="D111" s="1007">
        <v>3860</v>
      </c>
      <c r="E111" s="1007">
        <v>0</v>
      </c>
      <c r="F111" s="1029" t="e">
        <f t="shared" si="2"/>
        <v>#DIV/0!</v>
      </c>
      <c r="K111" s="992"/>
    </row>
    <row r="112" spans="1:11" s="1000" customFormat="1" ht="14.25" customHeight="1">
      <c r="A112" s="734" t="s">
        <v>40</v>
      </c>
      <c r="B112" s="1018" t="s">
        <v>1315</v>
      </c>
      <c r="C112" s="1007"/>
      <c r="D112" s="1007">
        <v>200000</v>
      </c>
      <c r="E112" s="1007">
        <v>0</v>
      </c>
      <c r="F112" s="1029" t="e">
        <f t="shared" si="2"/>
        <v>#DIV/0!</v>
      </c>
      <c r="K112" s="992"/>
    </row>
    <row r="113" spans="1:11" s="1000" customFormat="1" ht="14.25" customHeight="1" thickBot="1">
      <c r="A113" s="734" t="s">
        <v>41</v>
      </c>
      <c r="B113" s="1038" t="s">
        <v>1316</v>
      </c>
      <c r="C113" s="1007"/>
      <c r="D113" s="1007">
        <v>3821</v>
      </c>
      <c r="E113" s="1007">
        <v>0</v>
      </c>
      <c r="F113" s="1029" t="e">
        <f t="shared" si="2"/>
        <v>#DIV/0!</v>
      </c>
      <c r="K113" s="992"/>
    </row>
    <row r="114" spans="1:11" s="1000" customFormat="1" ht="14.25" customHeight="1" hidden="1">
      <c r="A114" s="734" t="s">
        <v>42</v>
      </c>
      <c r="B114" s="1038"/>
      <c r="C114" s="1007"/>
      <c r="D114" s="1007">
        <v>0</v>
      </c>
      <c r="E114" s="1007"/>
      <c r="F114" s="1029" t="e">
        <f t="shared" si="2"/>
        <v>#DIV/0!</v>
      </c>
      <c r="K114" s="992"/>
    </row>
    <row r="115" spans="1:11" s="1000" customFormat="1" ht="14.25" customHeight="1" hidden="1">
      <c r="A115" s="734" t="s">
        <v>43</v>
      </c>
      <c r="B115" s="1038"/>
      <c r="C115" s="1007"/>
      <c r="D115" s="1007">
        <v>0</v>
      </c>
      <c r="E115" s="1007"/>
      <c r="F115" s="1029" t="e">
        <f t="shared" si="2"/>
        <v>#DIV/0!</v>
      </c>
      <c r="K115" s="992"/>
    </row>
    <row r="116" spans="1:11" s="1000" customFormat="1" ht="14.25" customHeight="1" hidden="1">
      <c r="A116" s="734" t="s">
        <v>44</v>
      </c>
      <c r="B116" s="1038"/>
      <c r="C116" s="1007"/>
      <c r="D116" s="1007">
        <v>0</v>
      </c>
      <c r="E116" s="1007"/>
      <c r="F116" s="1029" t="e">
        <f t="shared" si="2"/>
        <v>#DIV/0!</v>
      </c>
      <c r="K116" s="992"/>
    </row>
    <row r="117" spans="1:11" s="1000" customFormat="1" ht="14.25" customHeight="1" hidden="1">
      <c r="A117" s="734" t="s">
        <v>45</v>
      </c>
      <c r="B117" s="1038"/>
      <c r="C117" s="1007"/>
      <c r="D117" s="1007">
        <v>0</v>
      </c>
      <c r="E117" s="1007"/>
      <c r="F117" s="1029" t="e">
        <f t="shared" si="2"/>
        <v>#DIV/0!</v>
      </c>
      <c r="K117" s="992"/>
    </row>
    <row r="118" spans="1:11" s="1000" customFormat="1" ht="14.25" customHeight="1" hidden="1" thickBot="1">
      <c r="A118" s="734" t="s">
        <v>123</v>
      </c>
      <c r="B118" s="1038"/>
      <c r="C118" s="1007"/>
      <c r="D118" s="1007"/>
      <c r="E118" s="1007"/>
      <c r="F118" s="1029"/>
      <c r="K118" s="992"/>
    </row>
    <row r="119" spans="1:11" s="1012" customFormat="1" ht="14.25" customHeight="1">
      <c r="A119" s="1019" t="s">
        <v>50</v>
      </c>
      <c r="B119" s="1020"/>
      <c r="C119" s="1021">
        <f>SUM(C89:C118)</f>
        <v>6000</v>
      </c>
      <c r="D119" s="1021">
        <f>SUM(D89:D118)</f>
        <v>1359662</v>
      </c>
      <c r="E119" s="1021">
        <f>SUM(E89:E118)</f>
        <v>471</v>
      </c>
      <c r="F119" s="1022">
        <f>D119/C119</f>
        <v>226.61033333333333</v>
      </c>
      <c r="K119" s="868"/>
    </row>
    <row r="120" spans="1:11" s="1012" customFormat="1" ht="14.25" customHeight="1">
      <c r="A120" s="1000"/>
      <c r="B120" s="1023"/>
      <c r="C120" s="1039"/>
      <c r="D120" s="998"/>
      <c r="E120" s="998"/>
      <c r="F120" s="1040"/>
      <c r="K120" s="868"/>
    </row>
    <row r="121" spans="2:11" s="553" customFormat="1" ht="14.25" customHeight="1" hidden="1">
      <c r="B121" s="1001"/>
      <c r="C121" s="1041" t="s">
        <v>1011</v>
      </c>
      <c r="D121" s="1002" t="s">
        <v>1012</v>
      </c>
      <c r="E121" s="1002"/>
      <c r="F121" s="1042" t="s">
        <v>693</v>
      </c>
      <c r="K121" s="1004"/>
    </row>
    <row r="122" spans="2:11" s="1012" customFormat="1" ht="14.25" customHeight="1">
      <c r="B122" s="1005" t="s">
        <v>1013</v>
      </c>
      <c r="C122" s="1043"/>
      <c r="D122" s="998"/>
      <c r="E122" s="998"/>
      <c r="F122" s="1040"/>
      <c r="K122" s="868"/>
    </row>
    <row r="123" spans="1:11" s="1000" customFormat="1" ht="14.25" customHeight="1">
      <c r="A123" s="725" t="s">
        <v>17</v>
      </c>
      <c r="B123" s="1016" t="s">
        <v>1014</v>
      </c>
      <c r="C123" s="835">
        <v>0</v>
      </c>
      <c r="D123" s="1014">
        <v>5300</v>
      </c>
      <c r="E123" s="1014"/>
      <c r="F123" s="1029">
        <v>0</v>
      </c>
      <c r="K123" s="992"/>
    </row>
    <row r="124" spans="1:11" s="1000" customFormat="1" ht="14.25" customHeight="1">
      <c r="A124" s="725" t="s">
        <v>18</v>
      </c>
      <c r="B124" s="1016" t="s">
        <v>1015</v>
      </c>
      <c r="C124" s="835">
        <v>0</v>
      </c>
      <c r="D124" s="1014">
        <v>11500</v>
      </c>
      <c r="E124" s="1014"/>
      <c r="F124" s="1029">
        <v>0</v>
      </c>
      <c r="K124" s="992"/>
    </row>
    <row r="125" spans="1:11" s="1000" customFormat="1" ht="14.25" customHeight="1">
      <c r="A125" s="725" t="s">
        <v>19</v>
      </c>
      <c r="B125" s="1016" t="s">
        <v>1016</v>
      </c>
      <c r="C125" s="835">
        <v>0</v>
      </c>
      <c r="D125" s="1014">
        <v>12000</v>
      </c>
      <c r="E125" s="1014"/>
      <c r="F125" s="1029">
        <v>0</v>
      </c>
      <c r="K125" s="992"/>
    </row>
    <row r="126" spans="1:11" s="1000" customFormat="1" ht="14.25" customHeight="1">
      <c r="A126" s="725" t="s">
        <v>20</v>
      </c>
      <c r="B126" s="1016" t="s">
        <v>1017</v>
      </c>
      <c r="C126" s="835">
        <v>0</v>
      </c>
      <c r="D126" s="1014">
        <v>4000</v>
      </c>
      <c r="E126" s="1014"/>
      <c r="F126" s="1029">
        <v>0</v>
      </c>
      <c r="K126" s="992"/>
    </row>
    <row r="127" spans="1:11" s="1000" customFormat="1" ht="14.25" customHeight="1">
      <c r="A127" s="725" t="s">
        <v>21</v>
      </c>
      <c r="B127" s="1016" t="s">
        <v>1018</v>
      </c>
      <c r="C127" s="835">
        <v>0</v>
      </c>
      <c r="D127" s="1014">
        <v>37000</v>
      </c>
      <c r="E127" s="1014"/>
      <c r="F127" s="1029">
        <v>0</v>
      </c>
      <c r="K127" s="992"/>
    </row>
    <row r="128" spans="1:11" s="1000" customFormat="1" ht="14.25" customHeight="1">
      <c r="A128" s="725" t="s">
        <v>22</v>
      </c>
      <c r="B128" s="1016" t="s">
        <v>1019</v>
      </c>
      <c r="C128" s="835">
        <v>0</v>
      </c>
      <c r="D128" s="1014">
        <v>11100</v>
      </c>
      <c r="E128" s="1014"/>
      <c r="F128" s="1029">
        <v>0</v>
      </c>
      <c r="K128" s="992"/>
    </row>
    <row r="129" spans="1:11" s="1000" customFormat="1" ht="14.25" customHeight="1">
      <c r="A129" s="725" t="s">
        <v>23</v>
      </c>
      <c r="B129" s="1016" t="s">
        <v>1020</v>
      </c>
      <c r="C129" s="835">
        <v>0</v>
      </c>
      <c r="D129" s="1014">
        <v>11100</v>
      </c>
      <c r="E129" s="1014"/>
      <c r="F129" s="1029">
        <v>0</v>
      </c>
      <c r="K129" s="992"/>
    </row>
    <row r="130" spans="1:11" s="1000" customFormat="1" ht="14.25" customHeight="1">
      <c r="A130" s="725" t="s">
        <v>24</v>
      </c>
      <c r="B130" s="1016" t="s">
        <v>1021</v>
      </c>
      <c r="C130" s="835">
        <v>0</v>
      </c>
      <c r="D130" s="1014">
        <v>19000</v>
      </c>
      <c r="E130" s="1014"/>
      <c r="F130" s="1029">
        <v>0</v>
      </c>
      <c r="K130" s="992"/>
    </row>
    <row r="131" spans="1:11" s="1000" customFormat="1" ht="14.25" customHeight="1">
      <c r="A131" s="725" t="s">
        <v>25</v>
      </c>
      <c r="B131" s="1016" t="s">
        <v>1022</v>
      </c>
      <c r="C131" s="835">
        <v>0</v>
      </c>
      <c r="D131" s="1014">
        <v>17000</v>
      </c>
      <c r="E131" s="1014"/>
      <c r="F131" s="1029">
        <v>0</v>
      </c>
      <c r="K131" s="992"/>
    </row>
    <row r="132" spans="1:11" s="1000" customFormat="1" ht="14.25" customHeight="1">
      <c r="A132" s="725" t="s">
        <v>26</v>
      </c>
      <c r="B132" s="1016" t="s">
        <v>1023</v>
      </c>
      <c r="C132" s="835">
        <v>0</v>
      </c>
      <c r="D132" s="1014">
        <v>36500</v>
      </c>
      <c r="E132" s="1014"/>
      <c r="F132" s="1029">
        <v>0</v>
      </c>
      <c r="K132" s="992"/>
    </row>
    <row r="133" spans="1:11" s="1000" customFormat="1" ht="14.25" customHeight="1">
      <c r="A133" s="725" t="s">
        <v>27</v>
      </c>
      <c r="B133" s="1016" t="s">
        <v>1024</v>
      </c>
      <c r="C133" s="835">
        <v>0</v>
      </c>
      <c r="D133" s="1014">
        <v>2500</v>
      </c>
      <c r="E133" s="1014"/>
      <c r="F133" s="1029">
        <v>0</v>
      </c>
      <c r="K133" s="992"/>
    </row>
    <row r="134" spans="1:11" s="1000" customFormat="1" ht="14.25" customHeight="1">
      <c r="A134" s="725" t="s">
        <v>28</v>
      </c>
      <c r="B134" s="1016" t="s">
        <v>1025</v>
      </c>
      <c r="C134" s="835">
        <v>0</v>
      </c>
      <c r="D134" s="1014">
        <v>7000</v>
      </c>
      <c r="E134" s="1014"/>
      <c r="F134" s="1029">
        <v>0</v>
      </c>
      <c r="K134" s="992"/>
    </row>
    <row r="135" spans="1:11" s="1000" customFormat="1" ht="14.25" customHeight="1">
      <c r="A135" s="725" t="s">
        <v>29</v>
      </c>
      <c r="B135" s="1016" t="s">
        <v>1026</v>
      </c>
      <c r="C135" s="835">
        <v>0</v>
      </c>
      <c r="D135" s="1014">
        <v>3700</v>
      </c>
      <c r="E135" s="1014"/>
      <c r="F135" s="1029">
        <v>0</v>
      </c>
      <c r="K135" s="992"/>
    </row>
    <row r="136" spans="1:11" s="1000" customFormat="1" ht="14.25" customHeight="1">
      <c r="A136" s="725" t="s">
        <v>30</v>
      </c>
      <c r="B136" s="1016" t="s">
        <v>1027</v>
      </c>
      <c r="C136" s="835">
        <v>0</v>
      </c>
      <c r="D136" s="1014">
        <v>4500</v>
      </c>
      <c r="E136" s="1014"/>
      <c r="F136" s="1029">
        <v>0</v>
      </c>
      <c r="K136" s="992"/>
    </row>
    <row r="137" spans="1:11" s="1000" customFormat="1" ht="14.25" customHeight="1" thickBot="1">
      <c r="A137" s="725" t="s">
        <v>31</v>
      </c>
      <c r="B137" s="1009" t="s">
        <v>1028</v>
      </c>
      <c r="C137" s="1007">
        <v>378100</v>
      </c>
      <c r="D137" s="1007">
        <v>0</v>
      </c>
      <c r="E137" s="1007"/>
      <c r="F137" s="1029">
        <f>D137/C137</f>
        <v>0</v>
      </c>
      <c r="K137" s="992"/>
    </row>
    <row r="138" spans="1:11" s="1000" customFormat="1" ht="14.25" customHeight="1" hidden="1">
      <c r="A138" s="725" t="s">
        <v>123</v>
      </c>
      <c r="B138" s="1018"/>
      <c r="C138" s="1007"/>
      <c r="D138" s="1007"/>
      <c r="E138" s="1007"/>
      <c r="F138" s="1029"/>
      <c r="K138" s="992"/>
    </row>
    <row r="139" spans="1:11" s="1000" customFormat="1" ht="14.25" customHeight="1" hidden="1">
      <c r="A139" s="725" t="s">
        <v>124</v>
      </c>
      <c r="B139" s="1018"/>
      <c r="C139" s="1007"/>
      <c r="D139" s="1007"/>
      <c r="E139" s="1007"/>
      <c r="F139" s="1029"/>
      <c r="K139" s="992"/>
    </row>
    <row r="140" spans="1:11" s="1000" customFormat="1" ht="14.25" customHeight="1" hidden="1">
      <c r="A140" s="725" t="s">
        <v>125</v>
      </c>
      <c r="B140" s="1018"/>
      <c r="C140" s="1007"/>
      <c r="D140" s="1007"/>
      <c r="E140" s="1007"/>
      <c r="F140" s="1029"/>
      <c r="K140" s="992"/>
    </row>
    <row r="141" spans="1:11" s="1000" customFormat="1" ht="14.25" customHeight="1" hidden="1">
      <c r="A141" s="725" t="s">
        <v>126</v>
      </c>
      <c r="B141" s="1018"/>
      <c r="C141" s="1007"/>
      <c r="D141" s="1007"/>
      <c r="E141" s="1007"/>
      <c r="F141" s="1029"/>
      <c r="K141" s="992"/>
    </row>
    <row r="142" spans="1:11" s="1000" customFormat="1" ht="14.25" customHeight="1" hidden="1">
      <c r="A142" s="725" t="s">
        <v>578</v>
      </c>
      <c r="B142" s="1018"/>
      <c r="C142" s="1007"/>
      <c r="D142" s="1007"/>
      <c r="E142" s="1007"/>
      <c r="F142" s="1029"/>
      <c r="K142" s="992"/>
    </row>
    <row r="143" spans="1:11" s="1000" customFormat="1" ht="14.25" customHeight="1" hidden="1">
      <c r="A143" s="725" t="s">
        <v>579</v>
      </c>
      <c r="B143" s="1018"/>
      <c r="C143" s="1007"/>
      <c r="D143" s="1007"/>
      <c r="E143" s="1007"/>
      <c r="F143" s="1029"/>
      <c r="K143" s="992"/>
    </row>
    <row r="144" spans="1:11" s="1000" customFormat="1" ht="14.25" customHeight="1" hidden="1">
      <c r="A144" s="725" t="s">
        <v>580</v>
      </c>
      <c r="B144" s="1018"/>
      <c r="C144" s="1007"/>
      <c r="D144" s="1007"/>
      <c r="E144" s="1007"/>
      <c r="F144" s="1029"/>
      <c r="K144" s="992"/>
    </row>
    <row r="145" spans="1:11" s="1000" customFormat="1" ht="14.25" customHeight="1" hidden="1">
      <c r="A145" s="725" t="s">
        <v>581</v>
      </c>
      <c r="B145" s="1009"/>
      <c r="C145" s="1007"/>
      <c r="D145" s="1007"/>
      <c r="E145" s="1007"/>
      <c r="F145" s="1029"/>
      <c r="K145" s="992"/>
    </row>
    <row r="146" spans="1:11" s="1000" customFormat="1" ht="14.25" customHeight="1" hidden="1">
      <c r="A146" s="725" t="s">
        <v>582</v>
      </c>
      <c r="B146" s="1038"/>
      <c r="C146" s="683"/>
      <c r="D146" s="1007"/>
      <c r="E146" s="1007"/>
      <c r="F146" s="1029"/>
      <c r="K146" s="992"/>
    </row>
    <row r="147" spans="1:11" s="1000" customFormat="1" ht="14.25" customHeight="1" hidden="1">
      <c r="A147" s="725" t="s">
        <v>32</v>
      </c>
      <c r="B147" s="1038"/>
      <c r="C147" s="683"/>
      <c r="D147" s="1007"/>
      <c r="E147" s="1007"/>
      <c r="F147" s="1029"/>
      <c r="K147" s="992"/>
    </row>
    <row r="148" spans="1:11" s="1000" customFormat="1" ht="14.25" customHeight="1">
      <c r="A148" s="1019" t="s">
        <v>50</v>
      </c>
      <c r="B148" s="1020"/>
      <c r="C148" s="1021">
        <f>SUM(C123:C147)</f>
        <v>378100</v>
      </c>
      <c r="D148" s="1021">
        <f>SUM(D123:D147)</f>
        <v>182200</v>
      </c>
      <c r="E148" s="1021">
        <f>SUM(E123:E147)</f>
        <v>0</v>
      </c>
      <c r="F148" s="1022">
        <f>D148/C148</f>
        <v>0.48188309970907167</v>
      </c>
      <c r="K148" s="992"/>
    </row>
    <row r="149" spans="2:11" s="1000" customFormat="1" ht="14.25" customHeight="1">
      <c r="B149" s="1001"/>
      <c r="C149" s="1043"/>
      <c r="D149" s="998"/>
      <c r="E149" s="998"/>
      <c r="F149" s="1040"/>
      <c r="K149" s="992"/>
    </row>
    <row r="150" spans="2:11" s="1000" customFormat="1" ht="14.25" customHeight="1" hidden="1">
      <c r="B150" s="1001"/>
      <c r="C150" s="1002" t="str">
        <f>C6</f>
        <v>2014. évi         terv</v>
      </c>
      <c r="D150" s="1002" t="str">
        <f>D6</f>
        <v>2015. évi         terv Felhalm.</v>
      </c>
      <c r="E150" s="1002"/>
      <c r="F150" s="1042" t="s">
        <v>693</v>
      </c>
      <c r="K150" s="992"/>
    </row>
    <row r="151" spans="2:11" s="1000" customFormat="1" ht="14.25" customHeight="1">
      <c r="B151" s="1005" t="s">
        <v>1029</v>
      </c>
      <c r="C151" s="1043"/>
      <c r="D151" s="998"/>
      <c r="E151" s="998"/>
      <c r="F151" s="1040"/>
      <c r="K151" s="992"/>
    </row>
    <row r="152" spans="1:11" s="1000" customFormat="1" ht="14.25" customHeight="1">
      <c r="A152" s="725" t="s">
        <v>17</v>
      </c>
      <c r="B152" s="1044" t="s">
        <v>1030</v>
      </c>
      <c r="C152" s="1045">
        <v>0</v>
      </c>
      <c r="D152" s="1046">
        <v>60000</v>
      </c>
      <c r="E152" s="1046"/>
      <c r="F152" s="1029">
        <v>0</v>
      </c>
      <c r="K152" s="992"/>
    </row>
    <row r="153" spans="1:11" s="1000" customFormat="1" ht="15.75">
      <c r="A153" s="725" t="s">
        <v>18</v>
      </c>
      <c r="B153" s="1013" t="s">
        <v>1031</v>
      </c>
      <c r="C153" s="859">
        <v>0</v>
      </c>
      <c r="D153" s="1014">
        <v>17200</v>
      </c>
      <c r="E153" s="1014"/>
      <c r="F153" s="1028">
        <v>0</v>
      </c>
      <c r="K153" s="992"/>
    </row>
    <row r="154" spans="1:11" s="1000" customFormat="1" ht="14.25" customHeight="1">
      <c r="A154" s="725" t="s">
        <v>19</v>
      </c>
      <c r="B154" s="1047" t="s">
        <v>1032</v>
      </c>
      <c r="C154" s="1048">
        <v>0</v>
      </c>
      <c r="D154" s="1049">
        <v>2200</v>
      </c>
      <c r="E154" s="1049"/>
      <c r="F154" s="1029">
        <v>0</v>
      </c>
      <c r="K154" s="992"/>
    </row>
    <row r="155" spans="1:11" s="1000" customFormat="1" ht="14.25" customHeight="1" thickBot="1">
      <c r="A155" s="725" t="s">
        <v>20</v>
      </c>
      <c r="B155" s="1050" t="s">
        <v>1033</v>
      </c>
      <c r="C155" s="1051">
        <v>0</v>
      </c>
      <c r="D155" s="1052">
        <v>8300</v>
      </c>
      <c r="E155" s="1046"/>
      <c r="F155" s="1029">
        <v>0</v>
      </c>
      <c r="K155" s="992"/>
    </row>
    <row r="156" spans="1:11" s="1000" customFormat="1" ht="14.25" customHeight="1" hidden="1">
      <c r="A156" s="725" t="s">
        <v>21</v>
      </c>
      <c r="B156" s="1016"/>
      <c r="C156" s="1053"/>
      <c r="D156" s="1007"/>
      <c r="E156" s="1007"/>
      <c r="F156" s="1029"/>
      <c r="K156" s="992"/>
    </row>
    <row r="157" spans="1:11" s="1000" customFormat="1" ht="14.25" customHeight="1" hidden="1">
      <c r="A157" s="725" t="s">
        <v>22</v>
      </c>
      <c r="B157" s="1016"/>
      <c r="C157" s="1053"/>
      <c r="D157" s="1007"/>
      <c r="E157" s="1007"/>
      <c r="F157" s="1029"/>
      <c r="K157" s="992"/>
    </row>
    <row r="158" spans="1:11" s="1000" customFormat="1" ht="14.25" customHeight="1" hidden="1">
      <c r="A158" s="725" t="s">
        <v>23</v>
      </c>
      <c r="B158" s="1016"/>
      <c r="C158" s="1053"/>
      <c r="D158" s="1007"/>
      <c r="E158" s="1007"/>
      <c r="F158" s="1029"/>
      <c r="K158" s="992"/>
    </row>
    <row r="159" spans="1:11" s="1000" customFormat="1" ht="14.25" customHeight="1" hidden="1">
      <c r="A159" s="725" t="s">
        <v>24</v>
      </c>
      <c r="B159" s="1016"/>
      <c r="C159" s="1053"/>
      <c r="D159" s="1007"/>
      <c r="E159" s="1007"/>
      <c r="F159" s="1029"/>
      <c r="K159" s="992"/>
    </row>
    <row r="160" spans="1:11" s="1000" customFormat="1" ht="14.25" customHeight="1" hidden="1">
      <c r="A160" s="725" t="s">
        <v>25</v>
      </c>
      <c r="B160" s="1054"/>
      <c r="C160" s="1053"/>
      <c r="D160" s="1007"/>
      <c r="E160" s="1007"/>
      <c r="F160" s="1029"/>
      <c r="K160" s="992"/>
    </row>
    <row r="161" spans="1:11" s="1000" customFormat="1" ht="14.25" customHeight="1" hidden="1">
      <c r="A161" s="725" t="s">
        <v>26</v>
      </c>
      <c r="B161" s="1054"/>
      <c r="C161" s="1053"/>
      <c r="D161" s="1007"/>
      <c r="E161" s="1007"/>
      <c r="F161" s="1029"/>
      <c r="K161" s="992"/>
    </row>
    <row r="162" spans="1:11" s="1000" customFormat="1" ht="14.25" customHeight="1" hidden="1">
      <c r="A162" s="725" t="s">
        <v>27</v>
      </c>
      <c r="B162" s="1016"/>
      <c r="C162" s="1053"/>
      <c r="D162" s="1007"/>
      <c r="E162" s="1007"/>
      <c r="F162" s="1029"/>
      <c r="K162" s="992"/>
    </row>
    <row r="163" spans="1:11" s="1000" customFormat="1" ht="14.25" customHeight="1" hidden="1">
      <c r="A163" s="725" t="s">
        <v>28</v>
      </c>
      <c r="B163" s="1013"/>
      <c r="C163" s="1053"/>
      <c r="D163" s="1007"/>
      <c r="E163" s="1007"/>
      <c r="F163" s="1029"/>
      <c r="K163" s="992"/>
    </row>
    <row r="164" spans="1:11" s="1000" customFormat="1" ht="14.25" customHeight="1" hidden="1">
      <c r="A164" s="725" t="s">
        <v>29</v>
      </c>
      <c r="B164" s="1018"/>
      <c r="C164" s="1053"/>
      <c r="D164" s="1007"/>
      <c r="E164" s="1007"/>
      <c r="F164" s="1029"/>
      <c r="K164" s="992"/>
    </row>
    <row r="165" spans="1:11" s="1000" customFormat="1" ht="14.25" customHeight="1" hidden="1">
      <c r="A165" s="725" t="s">
        <v>30</v>
      </c>
      <c r="B165" s="1018"/>
      <c r="C165" s="1053"/>
      <c r="D165" s="1007"/>
      <c r="E165" s="1007"/>
      <c r="F165" s="1029"/>
      <c r="K165" s="992"/>
    </row>
    <row r="166" spans="1:11" s="1000" customFormat="1" ht="14.25" customHeight="1" hidden="1">
      <c r="A166" s="725" t="s">
        <v>31</v>
      </c>
      <c r="B166" s="1018"/>
      <c r="C166" s="1053"/>
      <c r="D166" s="1007"/>
      <c r="E166" s="1007"/>
      <c r="F166" s="1029"/>
      <c r="K166" s="992"/>
    </row>
    <row r="167" spans="1:11" s="1000" customFormat="1" ht="14.25" customHeight="1" hidden="1">
      <c r="A167" s="725" t="s">
        <v>32</v>
      </c>
      <c r="B167" s="1055"/>
      <c r="C167" s="1053"/>
      <c r="D167" s="1007"/>
      <c r="E167" s="1007"/>
      <c r="F167" s="1029"/>
      <c r="K167" s="992"/>
    </row>
    <row r="168" spans="1:6" s="1000" customFormat="1" ht="14.25" customHeight="1">
      <c r="A168" s="1019" t="s">
        <v>50</v>
      </c>
      <c r="B168" s="1020"/>
      <c r="C168" s="1021">
        <f>SUM(C152:C167)</f>
        <v>0</v>
      </c>
      <c r="D168" s="1021">
        <f>SUM(D152:D167)</f>
        <v>87700</v>
      </c>
      <c r="E168" s="1021">
        <f>SUM(E152:E167)</f>
        <v>0</v>
      </c>
      <c r="F168" s="1022">
        <v>0</v>
      </c>
    </row>
    <row r="169" spans="1:11" s="1012" customFormat="1" ht="14.25" customHeight="1">
      <c r="A169" s="870"/>
      <c r="B169" s="1030"/>
      <c r="C169" s="991"/>
      <c r="D169" s="991"/>
      <c r="E169" s="991"/>
      <c r="F169" s="999"/>
      <c r="K169" s="868"/>
    </row>
    <row r="170" spans="2:11" s="1000" customFormat="1" ht="14.25" customHeight="1">
      <c r="B170" s="1001"/>
      <c r="C170" s="1043"/>
      <c r="D170" s="998"/>
      <c r="E170" s="998"/>
      <c r="F170" s="1040"/>
      <c r="K170" s="992"/>
    </row>
    <row r="171" spans="2:11" s="1000" customFormat="1" ht="14.25" customHeight="1">
      <c r="B171" s="1005" t="s">
        <v>1034</v>
      </c>
      <c r="C171" s="1043"/>
      <c r="D171" s="998"/>
      <c r="E171" s="998"/>
      <c r="F171" s="1040"/>
      <c r="K171" s="992"/>
    </row>
    <row r="172" spans="1:11" s="1000" customFormat="1" ht="14.25" customHeight="1">
      <c r="A172" s="725" t="s">
        <v>17</v>
      </c>
      <c r="B172" s="1018" t="s">
        <v>1035</v>
      </c>
      <c r="C172" s="683">
        <v>0</v>
      </c>
      <c r="D172" s="1007">
        <v>6200</v>
      </c>
      <c r="E172" s="1007"/>
      <c r="F172" s="1029">
        <v>0</v>
      </c>
      <c r="G172" s="1012"/>
      <c r="H172" s="1012"/>
      <c r="I172" s="1012"/>
      <c r="J172" s="1012"/>
      <c r="K172" s="992"/>
    </row>
    <row r="173" spans="1:11" s="1000" customFormat="1" ht="14.25" customHeight="1">
      <c r="A173" s="725" t="s">
        <v>18</v>
      </c>
      <c r="B173" s="1047" t="s">
        <v>1036</v>
      </c>
      <c r="C173" s="1056">
        <v>18000</v>
      </c>
      <c r="D173" s="1057">
        <v>0</v>
      </c>
      <c r="E173" s="1057"/>
      <c r="F173" s="1029">
        <v>0</v>
      </c>
      <c r="G173" s="1012"/>
      <c r="H173" s="1012"/>
      <c r="I173" s="1012"/>
      <c r="J173" s="1012"/>
      <c r="K173" s="992"/>
    </row>
    <row r="174" spans="1:11" s="1000" customFormat="1" ht="14.25" customHeight="1" thickBot="1">
      <c r="A174" s="725" t="s">
        <v>19</v>
      </c>
      <c r="B174" s="1058" t="s">
        <v>1037</v>
      </c>
      <c r="C174" s="1053">
        <v>8000</v>
      </c>
      <c r="D174" s="1007">
        <v>0</v>
      </c>
      <c r="E174" s="1007"/>
      <c r="F174" s="1029">
        <v>0</v>
      </c>
      <c r="G174" s="1012"/>
      <c r="H174" s="1012"/>
      <c r="I174" s="1012"/>
      <c r="J174" s="1012"/>
      <c r="K174" s="992"/>
    </row>
    <row r="175" spans="1:11" s="1000" customFormat="1" ht="14.25" customHeight="1" hidden="1">
      <c r="A175" s="725" t="s">
        <v>20</v>
      </c>
      <c r="B175" s="1018"/>
      <c r="C175" s="683"/>
      <c r="D175" s="1007"/>
      <c r="E175" s="1007"/>
      <c r="F175" s="1029"/>
      <c r="G175" s="1012"/>
      <c r="H175" s="1012"/>
      <c r="I175" s="1012"/>
      <c r="J175" s="1012"/>
      <c r="K175" s="992"/>
    </row>
    <row r="176" spans="1:11" s="1000" customFormat="1" ht="14.25" customHeight="1" hidden="1">
      <c r="A176" s="725" t="s">
        <v>21</v>
      </c>
      <c r="B176" s="1018"/>
      <c r="C176" s="683"/>
      <c r="D176" s="1007"/>
      <c r="E176" s="1007"/>
      <c r="F176" s="1029"/>
      <c r="G176" s="1012"/>
      <c r="H176" s="1012"/>
      <c r="I176" s="1012"/>
      <c r="J176" s="1012"/>
      <c r="K176" s="992"/>
    </row>
    <row r="177" spans="1:11" s="1000" customFormat="1" ht="14.25" customHeight="1" hidden="1">
      <c r="A177" s="725" t="s">
        <v>22</v>
      </c>
      <c r="B177" s="1018"/>
      <c r="C177" s="683"/>
      <c r="D177" s="1007"/>
      <c r="E177" s="1007"/>
      <c r="F177" s="1029"/>
      <c r="G177" s="1012"/>
      <c r="H177" s="1012"/>
      <c r="I177" s="1012"/>
      <c r="J177" s="1012"/>
      <c r="K177" s="992"/>
    </row>
    <row r="178" spans="1:11" s="1000" customFormat="1" ht="14.25" customHeight="1" hidden="1">
      <c r="A178" s="725" t="s">
        <v>23</v>
      </c>
      <c r="B178" s="1018"/>
      <c r="C178" s="683"/>
      <c r="D178" s="1007"/>
      <c r="E178" s="1007"/>
      <c r="F178" s="1029"/>
      <c r="G178" s="1012"/>
      <c r="H178" s="1012"/>
      <c r="I178" s="1012"/>
      <c r="J178" s="1012"/>
      <c r="K178" s="992"/>
    </row>
    <row r="179" spans="1:11" s="1000" customFormat="1" ht="14.25" customHeight="1" hidden="1">
      <c r="A179" s="725" t="s">
        <v>24</v>
      </c>
      <c r="B179" s="1018"/>
      <c r="C179" s="683"/>
      <c r="D179" s="1007"/>
      <c r="E179" s="1007"/>
      <c r="F179" s="1029"/>
      <c r="G179" s="1012"/>
      <c r="H179" s="1012"/>
      <c r="I179" s="1012"/>
      <c r="J179" s="1012"/>
      <c r="K179" s="992"/>
    </row>
    <row r="180" spans="1:11" s="1000" customFormat="1" ht="14.25" customHeight="1" hidden="1">
      <c r="A180" s="725" t="s">
        <v>25</v>
      </c>
      <c r="B180" s="1018"/>
      <c r="C180" s="683"/>
      <c r="D180" s="1007"/>
      <c r="E180" s="1007"/>
      <c r="F180" s="1029"/>
      <c r="G180" s="1012"/>
      <c r="H180" s="1012"/>
      <c r="I180" s="1012"/>
      <c r="J180" s="1012"/>
      <c r="K180" s="992"/>
    </row>
    <row r="181" spans="1:11" s="1000" customFormat="1" ht="14.25" customHeight="1" hidden="1">
      <c r="A181" s="725" t="s">
        <v>26</v>
      </c>
      <c r="B181" s="1018"/>
      <c r="C181" s="683"/>
      <c r="D181" s="1007"/>
      <c r="E181" s="1007"/>
      <c r="F181" s="1029"/>
      <c r="G181" s="1012"/>
      <c r="H181" s="1012"/>
      <c r="I181" s="1012"/>
      <c r="J181" s="1012"/>
      <c r="K181" s="992"/>
    </row>
    <row r="182" spans="1:11" s="1000" customFormat="1" ht="14.25" customHeight="1" hidden="1">
      <c r="A182" s="725" t="s">
        <v>27</v>
      </c>
      <c r="B182" s="1018"/>
      <c r="C182" s="683"/>
      <c r="D182" s="1007"/>
      <c r="E182" s="1007"/>
      <c r="F182" s="1029"/>
      <c r="G182" s="1012"/>
      <c r="H182" s="1012"/>
      <c r="I182" s="1012"/>
      <c r="J182" s="1012"/>
      <c r="K182" s="992"/>
    </row>
    <row r="183" spans="1:11" s="1000" customFormat="1" ht="14.25" customHeight="1" hidden="1">
      <c r="A183" s="725" t="s">
        <v>28</v>
      </c>
      <c r="B183" s="1018"/>
      <c r="C183" s="683"/>
      <c r="D183" s="1007"/>
      <c r="E183" s="1007"/>
      <c r="F183" s="1029"/>
      <c r="G183" s="1012"/>
      <c r="H183" s="1012"/>
      <c r="I183" s="1012"/>
      <c r="J183" s="1012"/>
      <c r="K183" s="992"/>
    </row>
    <row r="184" spans="1:11" s="1000" customFormat="1" ht="14.25" customHeight="1">
      <c r="A184" s="1019" t="s">
        <v>50</v>
      </c>
      <c r="B184" s="1020"/>
      <c r="C184" s="1021">
        <f>SUM(C172:C183)</f>
        <v>26000</v>
      </c>
      <c r="D184" s="1021">
        <f>SUM(D172:D183)</f>
        <v>6200</v>
      </c>
      <c r="E184" s="1021">
        <f>SUM(E172:E183)</f>
        <v>0</v>
      </c>
      <c r="F184" s="1022">
        <f>D184/C184</f>
        <v>0.23846153846153847</v>
      </c>
      <c r="K184" s="992"/>
    </row>
    <row r="185" spans="2:11" s="1000" customFormat="1" ht="14.25" customHeight="1">
      <c r="B185" s="1001"/>
      <c r="C185" s="1043"/>
      <c r="D185" s="998"/>
      <c r="E185" s="998"/>
      <c r="F185" s="1040"/>
      <c r="K185" s="992"/>
    </row>
    <row r="186" spans="2:11" s="1000" customFormat="1" ht="14.25" customHeight="1">
      <c r="B186" s="1001"/>
      <c r="C186" s="1043"/>
      <c r="D186" s="998"/>
      <c r="E186" s="998"/>
      <c r="F186" s="1040"/>
      <c r="K186" s="992"/>
    </row>
    <row r="187" spans="2:11" s="1000" customFormat="1" ht="14.25" customHeight="1">
      <c r="B187" s="1005" t="s">
        <v>1038</v>
      </c>
      <c r="C187" s="1043"/>
      <c r="D187" s="998"/>
      <c r="E187" s="998"/>
      <c r="F187" s="1040"/>
      <c r="K187" s="992"/>
    </row>
    <row r="188" spans="1:11" s="1000" customFormat="1" ht="14.25" customHeight="1">
      <c r="A188" s="725" t="s">
        <v>17</v>
      </c>
      <c r="B188" s="1016" t="s">
        <v>1039</v>
      </c>
      <c r="C188" s="835">
        <v>0</v>
      </c>
      <c r="D188" s="1014">
        <f>2000-7</f>
        <v>1993</v>
      </c>
      <c r="E188" s="1014">
        <v>7</v>
      </c>
      <c r="F188" s="1029">
        <v>0</v>
      </c>
      <c r="K188" s="992"/>
    </row>
    <row r="189" spans="1:11" s="1000" customFormat="1" ht="14.25" customHeight="1">
      <c r="A189" s="725" t="s">
        <v>18</v>
      </c>
      <c r="B189" s="1016" t="s">
        <v>1040</v>
      </c>
      <c r="C189" s="835">
        <v>0</v>
      </c>
      <c r="D189" s="1014">
        <f>3000-112</f>
        <v>2888</v>
      </c>
      <c r="E189" s="1014">
        <v>112</v>
      </c>
      <c r="F189" s="1029">
        <v>0</v>
      </c>
      <c r="K189" s="992"/>
    </row>
    <row r="190" spans="1:11" s="1000" customFormat="1" ht="31.5">
      <c r="A190" s="725" t="s">
        <v>19</v>
      </c>
      <c r="B190" s="1059" t="s">
        <v>1041</v>
      </c>
      <c r="C190" s="859">
        <v>0</v>
      </c>
      <c r="D190" s="1017">
        <v>1200</v>
      </c>
      <c r="E190" s="1017">
        <v>0</v>
      </c>
      <c r="F190" s="1028">
        <v>0</v>
      </c>
      <c r="K190" s="992"/>
    </row>
    <row r="191" spans="1:11" s="1000" customFormat="1" ht="14.25" customHeight="1">
      <c r="A191" s="725" t="s">
        <v>20</v>
      </c>
      <c r="B191" s="1016" t="s">
        <v>1042</v>
      </c>
      <c r="C191" s="859">
        <v>0</v>
      </c>
      <c r="D191" s="1014">
        <v>0</v>
      </c>
      <c r="E191" s="1014">
        <v>0</v>
      </c>
      <c r="F191" s="1028">
        <v>0</v>
      </c>
      <c r="K191" s="992"/>
    </row>
    <row r="192" spans="1:11" s="1000" customFormat="1" ht="14.25" customHeight="1">
      <c r="A192" s="725" t="s">
        <v>21</v>
      </c>
      <c r="B192" s="1016" t="s">
        <v>1043</v>
      </c>
      <c r="C192" s="859">
        <v>0</v>
      </c>
      <c r="D192" s="1014">
        <v>0</v>
      </c>
      <c r="E192" s="1014">
        <v>0</v>
      </c>
      <c r="F192" s="1028">
        <v>0</v>
      </c>
      <c r="K192" s="992"/>
    </row>
    <row r="193" spans="1:11" s="1000" customFormat="1" ht="31.5">
      <c r="A193" s="725" t="s">
        <v>22</v>
      </c>
      <c r="B193" s="1060" t="s">
        <v>1044</v>
      </c>
      <c r="C193" s="1061">
        <v>0</v>
      </c>
      <c r="D193" s="1046">
        <v>5000</v>
      </c>
      <c r="E193" s="1046">
        <v>0</v>
      </c>
      <c r="F193" s="1028">
        <v>0</v>
      </c>
      <c r="K193" s="992"/>
    </row>
    <row r="194" spans="1:11" s="1000" customFormat="1" ht="14.25" customHeight="1">
      <c r="A194" s="725" t="s">
        <v>23</v>
      </c>
      <c r="B194" s="1013" t="s">
        <v>1045</v>
      </c>
      <c r="C194" s="835">
        <v>0</v>
      </c>
      <c r="D194" s="1014">
        <v>0</v>
      </c>
      <c r="E194" s="1014">
        <v>0</v>
      </c>
      <c r="F194" s="1029">
        <v>0</v>
      </c>
      <c r="K194" s="992"/>
    </row>
    <row r="195" spans="1:11" s="1000" customFormat="1" ht="14.25" customHeight="1">
      <c r="A195" s="725" t="s">
        <v>24</v>
      </c>
      <c r="B195" s="1009" t="s">
        <v>1203</v>
      </c>
      <c r="C195" s="1007"/>
      <c r="D195" s="1014">
        <f>1000-45</f>
        <v>955</v>
      </c>
      <c r="E195" s="1014">
        <v>45</v>
      </c>
      <c r="F195" s="1029">
        <v>0</v>
      </c>
      <c r="K195" s="992"/>
    </row>
    <row r="196" spans="1:11" s="1000" customFormat="1" ht="14.25" customHeight="1">
      <c r="A196" s="725" t="s">
        <v>25</v>
      </c>
      <c r="B196" s="1009" t="s">
        <v>1249</v>
      </c>
      <c r="C196" s="1007"/>
      <c r="D196" s="1014">
        <v>0</v>
      </c>
      <c r="E196" s="1014">
        <v>10000</v>
      </c>
      <c r="F196" s="1029">
        <v>0</v>
      </c>
      <c r="K196" s="992"/>
    </row>
    <row r="197" spans="1:11" s="1000" customFormat="1" ht="14.25" customHeight="1" thickBot="1">
      <c r="A197" s="725" t="s">
        <v>26</v>
      </c>
      <c r="B197" s="1009" t="s">
        <v>1250</v>
      </c>
      <c r="C197" s="1007"/>
      <c r="D197" s="1014">
        <v>12065</v>
      </c>
      <c r="E197" s="1014">
        <v>0</v>
      </c>
      <c r="F197" s="1029">
        <v>0</v>
      </c>
      <c r="K197" s="992"/>
    </row>
    <row r="198" spans="1:11" s="1000" customFormat="1" ht="14.25" customHeight="1" hidden="1">
      <c r="A198" s="725" t="s">
        <v>27</v>
      </c>
      <c r="B198" s="1009"/>
      <c r="C198" s="1007"/>
      <c r="D198" s="1014"/>
      <c r="E198" s="1014"/>
      <c r="F198" s="1029">
        <v>0</v>
      </c>
      <c r="K198" s="992"/>
    </row>
    <row r="199" spans="1:11" s="1000" customFormat="1" ht="14.25" customHeight="1" hidden="1">
      <c r="A199" s="725" t="s">
        <v>28</v>
      </c>
      <c r="B199" s="1009"/>
      <c r="C199" s="1007"/>
      <c r="D199" s="1014"/>
      <c r="E199" s="1014"/>
      <c r="F199" s="1029">
        <v>0</v>
      </c>
      <c r="K199" s="992"/>
    </row>
    <row r="200" spans="1:11" s="1000" customFormat="1" ht="14.25" customHeight="1" hidden="1">
      <c r="A200" s="725" t="s">
        <v>29</v>
      </c>
      <c r="B200" s="1009"/>
      <c r="C200" s="1007"/>
      <c r="D200" s="1014"/>
      <c r="E200" s="1014"/>
      <c r="F200" s="1029">
        <v>0</v>
      </c>
      <c r="K200" s="992"/>
    </row>
    <row r="201" spans="1:11" s="1000" customFormat="1" ht="14.25" customHeight="1" hidden="1" thickBot="1">
      <c r="A201" s="725" t="s">
        <v>30</v>
      </c>
      <c r="B201" s="1009"/>
      <c r="C201" s="1007"/>
      <c r="D201" s="835"/>
      <c r="E201" s="835"/>
      <c r="F201" s="1029">
        <v>0</v>
      </c>
      <c r="K201" s="992"/>
    </row>
    <row r="202" spans="1:11" s="1000" customFormat="1" ht="14.25" customHeight="1">
      <c r="A202" s="1019" t="s">
        <v>50</v>
      </c>
      <c r="B202" s="1020"/>
      <c r="C202" s="1021">
        <f>SUM(C188:C201)</f>
        <v>0</v>
      </c>
      <c r="D202" s="1021">
        <f>SUM(D188:D201)</f>
        <v>24101</v>
      </c>
      <c r="E202" s="1021">
        <f>SUM(E188:E201)</f>
        <v>10164</v>
      </c>
      <c r="F202" s="1022" t="e">
        <f>D202/C202</f>
        <v>#DIV/0!</v>
      </c>
      <c r="K202" s="992">
        <v>80000</v>
      </c>
    </row>
    <row r="203" spans="2:11" s="1000" customFormat="1" ht="14.25" customHeight="1">
      <c r="B203" s="1001"/>
      <c r="C203" s="1043"/>
      <c r="D203" s="998"/>
      <c r="E203" s="998"/>
      <c r="F203" s="1040"/>
      <c r="K203" s="992"/>
    </row>
    <row r="204" spans="2:11" s="1000" customFormat="1" ht="14.25" customHeight="1">
      <c r="B204" s="1005" t="s">
        <v>1046</v>
      </c>
      <c r="C204" s="1043"/>
      <c r="D204" s="998"/>
      <c r="E204" s="998"/>
      <c r="F204" s="1040"/>
      <c r="K204" s="992"/>
    </row>
    <row r="205" spans="1:11" s="1000" customFormat="1" ht="14.25" customHeight="1">
      <c r="A205" s="734" t="s">
        <v>17</v>
      </c>
      <c r="B205" s="1016" t="s">
        <v>1047</v>
      </c>
      <c r="C205" s="835">
        <v>0</v>
      </c>
      <c r="D205" s="1014">
        <v>5000</v>
      </c>
      <c r="E205" s="1014"/>
      <c r="F205" s="1029">
        <v>0</v>
      </c>
      <c r="K205" s="992"/>
    </row>
    <row r="206" spans="1:11" s="1000" customFormat="1" ht="14.25" customHeight="1">
      <c r="A206" s="734" t="s">
        <v>18</v>
      </c>
      <c r="B206" s="1016" t="s">
        <v>1048</v>
      </c>
      <c r="C206" s="835">
        <v>0</v>
      </c>
      <c r="D206" s="1014">
        <v>420</v>
      </c>
      <c r="E206" s="1014"/>
      <c r="F206" s="1029">
        <v>0</v>
      </c>
      <c r="K206" s="992"/>
    </row>
    <row r="207" spans="1:11" s="1000" customFormat="1" ht="14.25" customHeight="1">
      <c r="A207" s="734" t="s">
        <v>19</v>
      </c>
      <c r="B207" s="1016" t="s">
        <v>1049</v>
      </c>
      <c r="C207" s="835">
        <v>0</v>
      </c>
      <c r="D207" s="1014">
        <v>9000</v>
      </c>
      <c r="E207" s="1014"/>
      <c r="F207" s="1029">
        <v>0</v>
      </c>
      <c r="K207" s="992"/>
    </row>
    <row r="208" spans="1:11" s="1000" customFormat="1" ht="14.25" customHeight="1">
      <c r="A208" s="734" t="s">
        <v>20</v>
      </c>
      <c r="B208" s="1016" t="s">
        <v>1050</v>
      </c>
      <c r="C208" s="835">
        <v>0</v>
      </c>
      <c r="D208" s="1014">
        <v>1680</v>
      </c>
      <c r="E208" s="1014"/>
      <c r="F208" s="1029">
        <v>0</v>
      </c>
      <c r="K208" s="992"/>
    </row>
    <row r="209" spans="1:11" s="1000" customFormat="1" ht="15.75">
      <c r="A209" s="734" t="s">
        <v>21</v>
      </c>
      <c r="B209" s="1016" t="s">
        <v>1051</v>
      </c>
      <c r="C209" s="835">
        <v>0</v>
      </c>
      <c r="D209" s="1014">
        <v>15000</v>
      </c>
      <c r="E209" s="1014"/>
      <c r="F209" s="1029">
        <v>0</v>
      </c>
      <c r="K209" s="992"/>
    </row>
    <row r="210" spans="1:11" s="1000" customFormat="1" ht="14.25" customHeight="1">
      <c r="A210" s="734" t="s">
        <v>22</v>
      </c>
      <c r="B210" s="1016" t="s">
        <v>1052</v>
      </c>
      <c r="C210" s="835">
        <v>0</v>
      </c>
      <c r="D210" s="1014">
        <v>0</v>
      </c>
      <c r="E210" s="1014"/>
      <c r="F210" s="1029">
        <v>0</v>
      </c>
      <c r="K210" s="992"/>
    </row>
    <row r="211" spans="1:11" s="1000" customFormat="1" ht="31.5">
      <c r="A211" s="734" t="s">
        <v>23</v>
      </c>
      <c r="B211" s="1013" t="s">
        <v>1053</v>
      </c>
      <c r="C211" s="859">
        <v>0</v>
      </c>
      <c r="D211" s="1014">
        <v>18000</v>
      </c>
      <c r="E211" s="1014"/>
      <c r="F211" s="1028">
        <v>0</v>
      </c>
      <c r="K211" s="992"/>
    </row>
    <row r="212" spans="1:11" s="1000" customFormat="1" ht="14.25" customHeight="1" thickBot="1">
      <c r="A212" s="734" t="s">
        <v>24</v>
      </c>
      <c r="B212" s="1016" t="s">
        <v>1054</v>
      </c>
      <c r="C212" s="835">
        <v>89000</v>
      </c>
      <c r="D212" s="1014">
        <v>0</v>
      </c>
      <c r="E212" s="1014"/>
      <c r="F212" s="1029">
        <v>0</v>
      </c>
      <c r="K212" s="992"/>
    </row>
    <row r="213" spans="1:11" s="1000" customFormat="1" ht="14.25" customHeight="1" hidden="1">
      <c r="A213" s="734" t="s">
        <v>24</v>
      </c>
      <c r="B213" s="1009"/>
      <c r="C213" s="1007"/>
      <c r="D213" s="1007"/>
      <c r="E213" s="1007"/>
      <c r="F213" s="1029"/>
      <c r="K213" s="992"/>
    </row>
    <row r="214" spans="1:11" s="1000" customFormat="1" ht="14.25" customHeight="1" hidden="1">
      <c r="A214" s="734" t="s">
        <v>25</v>
      </c>
      <c r="B214" s="1009"/>
      <c r="C214" s="1007"/>
      <c r="D214" s="1007"/>
      <c r="E214" s="1007"/>
      <c r="F214" s="1029"/>
      <c r="K214" s="992"/>
    </row>
    <row r="215" spans="1:11" s="1000" customFormat="1" ht="14.25" customHeight="1" hidden="1">
      <c r="A215" s="734" t="s">
        <v>26</v>
      </c>
      <c r="B215" s="1009"/>
      <c r="C215" s="1007"/>
      <c r="D215" s="1007"/>
      <c r="E215" s="1007"/>
      <c r="F215" s="1029"/>
      <c r="K215" s="992"/>
    </row>
    <row r="216" spans="1:11" s="1000" customFormat="1" ht="14.25" customHeight="1" hidden="1">
      <c r="A216" s="734" t="s">
        <v>27</v>
      </c>
      <c r="B216" s="840"/>
      <c r="C216" s="1010"/>
      <c r="D216" s="1007"/>
      <c r="E216" s="1007"/>
      <c r="F216" s="1029"/>
      <c r="K216" s="992"/>
    </row>
    <row r="217" spans="1:11" s="1000" customFormat="1" ht="14.25" customHeight="1">
      <c r="A217" s="1019" t="s">
        <v>50</v>
      </c>
      <c r="B217" s="1020"/>
      <c r="C217" s="1021">
        <f>SUM(C205:C216)</f>
        <v>89000</v>
      </c>
      <c r="D217" s="1021">
        <f>SUM(D205:D216)</f>
        <v>49100</v>
      </c>
      <c r="E217" s="1021">
        <f>SUM(E205:E216)</f>
        <v>0</v>
      </c>
      <c r="F217" s="1022">
        <f>D217/C217</f>
        <v>0.5516853932584269</v>
      </c>
      <c r="K217" s="992"/>
    </row>
    <row r="218" spans="2:11" s="1000" customFormat="1" ht="14.25" customHeight="1">
      <c r="B218" s="1001"/>
      <c r="C218" s="1043"/>
      <c r="D218" s="998"/>
      <c r="E218" s="998"/>
      <c r="F218" s="1040"/>
      <c r="K218" s="992"/>
    </row>
    <row r="219" spans="2:11" s="1000" customFormat="1" ht="14.25" customHeight="1">
      <c r="B219" s="1005" t="s">
        <v>1055</v>
      </c>
      <c r="C219" s="998"/>
      <c r="D219" s="998"/>
      <c r="E219" s="998"/>
      <c r="F219" s="1040"/>
      <c r="K219" s="992"/>
    </row>
    <row r="220" spans="1:11" s="1000" customFormat="1" ht="14.25" customHeight="1" thickBot="1">
      <c r="A220" s="734" t="s">
        <v>17</v>
      </c>
      <c r="B220" s="1016" t="s">
        <v>1056</v>
      </c>
      <c r="C220" s="835">
        <v>0</v>
      </c>
      <c r="D220" s="1014">
        <v>0</v>
      </c>
      <c r="E220" s="1014"/>
      <c r="F220" s="1029">
        <v>0</v>
      </c>
      <c r="K220" s="992"/>
    </row>
    <row r="221" spans="1:11" s="1000" customFormat="1" ht="14.25" customHeight="1" hidden="1">
      <c r="A221" s="725" t="s">
        <v>18</v>
      </c>
      <c r="B221" s="1062"/>
      <c r="C221" s="1057"/>
      <c r="D221" s="1057"/>
      <c r="E221" s="1057"/>
      <c r="F221" s="1063"/>
      <c r="K221" s="992"/>
    </row>
    <row r="222" spans="1:11" s="1000" customFormat="1" ht="14.25" customHeight="1" hidden="1">
      <c r="A222" s="1064" t="s">
        <v>19</v>
      </c>
      <c r="B222" s="1013"/>
      <c r="C222" s="1007"/>
      <c r="D222" s="1065"/>
      <c r="E222" s="1065"/>
      <c r="F222" s="1029"/>
      <c r="K222" s="992"/>
    </row>
    <row r="223" spans="1:11" s="1000" customFormat="1" ht="14.25" customHeight="1" hidden="1">
      <c r="A223" s="725" t="s">
        <v>20</v>
      </c>
      <c r="B223" s="1016"/>
      <c r="C223" s="1007"/>
      <c r="D223" s="1065"/>
      <c r="E223" s="1065"/>
      <c r="F223" s="1029"/>
      <c r="K223" s="992"/>
    </row>
    <row r="224" spans="1:11" s="1000" customFormat="1" ht="14.25" customHeight="1" hidden="1">
      <c r="A224" s="725" t="s">
        <v>21</v>
      </c>
      <c r="B224" s="1016"/>
      <c r="C224" s="1007"/>
      <c r="D224" s="1065"/>
      <c r="E224" s="1065"/>
      <c r="F224" s="1029"/>
      <c r="K224" s="992"/>
    </row>
    <row r="225" spans="1:11" s="1000" customFormat="1" ht="14.25" customHeight="1" hidden="1">
      <c r="A225" s="1064" t="s">
        <v>22</v>
      </c>
      <c r="B225" s="1016"/>
      <c r="C225" s="1007"/>
      <c r="D225" s="1065"/>
      <c r="E225" s="1065"/>
      <c r="F225" s="1029"/>
      <c r="K225" s="992"/>
    </row>
    <row r="226" spans="1:11" s="1000" customFormat="1" ht="14.25" customHeight="1" hidden="1">
      <c r="A226" s="725" t="s">
        <v>23</v>
      </c>
      <c r="B226" s="1016"/>
      <c r="C226" s="1007"/>
      <c r="D226" s="1065"/>
      <c r="E226" s="1065"/>
      <c r="F226" s="1029"/>
      <c r="K226" s="992"/>
    </row>
    <row r="227" spans="1:11" s="1000" customFormat="1" ht="14.25" customHeight="1" hidden="1">
      <c r="A227" s="725" t="s">
        <v>24</v>
      </c>
      <c r="B227" s="1016"/>
      <c r="C227" s="1007"/>
      <c r="D227" s="1065"/>
      <c r="E227" s="1065"/>
      <c r="F227" s="1029"/>
      <c r="K227" s="992"/>
    </row>
    <row r="228" spans="1:11" s="1000" customFormat="1" ht="14.25" customHeight="1" hidden="1">
      <c r="A228" s="1064" t="s">
        <v>25</v>
      </c>
      <c r="B228" s="1016"/>
      <c r="C228" s="1007"/>
      <c r="D228" s="1065"/>
      <c r="E228" s="1065"/>
      <c r="F228" s="1029"/>
      <c r="K228" s="992"/>
    </row>
    <row r="229" spans="1:11" s="1000" customFormat="1" ht="14.25" customHeight="1" hidden="1">
      <c r="A229" s="725" t="s">
        <v>26</v>
      </c>
      <c r="B229" s="1016"/>
      <c r="C229" s="1007"/>
      <c r="D229" s="1065"/>
      <c r="E229" s="1065"/>
      <c r="F229" s="1029"/>
      <c r="K229" s="992"/>
    </row>
    <row r="230" spans="1:11" s="1000" customFormat="1" ht="14.25" customHeight="1" hidden="1">
      <c r="A230" s="725" t="s">
        <v>27</v>
      </c>
      <c r="B230" s="1066"/>
      <c r="C230" s="1007"/>
      <c r="D230" s="1067"/>
      <c r="E230" s="1067"/>
      <c r="F230" s="1029"/>
      <c r="K230" s="992"/>
    </row>
    <row r="231" spans="1:11" s="1000" customFormat="1" ht="14.25" customHeight="1" hidden="1">
      <c r="A231" s="1064" t="s">
        <v>28</v>
      </c>
      <c r="B231" s="1054"/>
      <c r="C231" s="1007"/>
      <c r="D231" s="1007"/>
      <c r="E231" s="1007"/>
      <c r="F231" s="1029"/>
      <c r="K231" s="992"/>
    </row>
    <row r="232" spans="1:11" s="1000" customFormat="1" ht="14.25" customHeight="1" hidden="1">
      <c r="A232" s="725" t="s">
        <v>29</v>
      </c>
      <c r="B232" s="1054"/>
      <c r="C232" s="1007"/>
      <c r="D232" s="1007"/>
      <c r="E232" s="1007"/>
      <c r="F232" s="1029"/>
      <c r="K232" s="992"/>
    </row>
    <row r="233" spans="1:11" s="1000" customFormat="1" ht="14.25" customHeight="1" hidden="1">
      <c r="A233" s="725" t="s">
        <v>30</v>
      </c>
      <c r="B233" s="1038"/>
      <c r="C233" s="1007"/>
      <c r="D233" s="1068"/>
      <c r="E233" s="1068"/>
      <c r="F233" s="1029"/>
      <c r="K233" s="992"/>
    </row>
    <row r="234" spans="1:11" s="1000" customFormat="1" ht="14.25" customHeight="1" hidden="1">
      <c r="A234" s="1064" t="s">
        <v>31</v>
      </c>
      <c r="B234" s="1038"/>
      <c r="C234" s="1007"/>
      <c r="D234" s="1068"/>
      <c r="E234" s="1068"/>
      <c r="F234" s="1029"/>
      <c r="K234" s="992"/>
    </row>
    <row r="235" spans="1:11" s="1000" customFormat="1" ht="14.25" customHeight="1" hidden="1">
      <c r="A235" s="725" t="s">
        <v>32</v>
      </c>
      <c r="B235" s="1038"/>
      <c r="C235" s="1007"/>
      <c r="D235" s="1068"/>
      <c r="E235" s="1068"/>
      <c r="F235" s="1029"/>
      <c r="K235" s="992"/>
    </row>
    <row r="236" spans="1:11" s="1000" customFormat="1" ht="14.25" customHeight="1" hidden="1">
      <c r="A236" s="725" t="s">
        <v>33</v>
      </c>
      <c r="B236" s="1038"/>
      <c r="C236" s="1007"/>
      <c r="D236" s="1069"/>
      <c r="E236" s="1069"/>
      <c r="F236" s="1029"/>
      <c r="K236" s="992"/>
    </row>
    <row r="237" spans="1:11" s="1000" customFormat="1" ht="14.25" customHeight="1" hidden="1">
      <c r="A237" s="1064" t="s">
        <v>34</v>
      </c>
      <c r="B237" s="1038"/>
      <c r="C237" s="1007"/>
      <c r="D237" s="1068"/>
      <c r="E237" s="991"/>
      <c r="F237" s="1040"/>
      <c r="K237" s="992"/>
    </row>
    <row r="238" spans="1:11" s="1000" customFormat="1" ht="14.25" customHeight="1">
      <c r="A238" s="1019" t="s">
        <v>50</v>
      </c>
      <c r="B238" s="1020"/>
      <c r="C238" s="1021">
        <f>SUM(C220:C237)</f>
        <v>0</v>
      </c>
      <c r="D238" s="1021">
        <f>SUM(D220:D237)</f>
        <v>0</v>
      </c>
      <c r="E238" s="1021">
        <f>SUM(E220:E237)</f>
        <v>0</v>
      </c>
      <c r="F238" s="1022">
        <v>0</v>
      </c>
      <c r="K238" s="992"/>
    </row>
    <row r="239" spans="1:11" s="1000" customFormat="1" ht="14.25" customHeight="1">
      <c r="A239" s="1070"/>
      <c r="B239" s="1071"/>
      <c r="C239" s="1072"/>
      <c r="D239" s="998"/>
      <c r="E239" s="998"/>
      <c r="F239" s="1040"/>
      <c r="K239" s="992"/>
    </row>
    <row r="240" spans="1:11" s="1000" customFormat="1" ht="14.25" customHeight="1">
      <c r="A240" s="1073"/>
      <c r="B240" s="1001"/>
      <c r="C240" s="998"/>
      <c r="D240" s="998"/>
      <c r="E240" s="998"/>
      <c r="F240" s="1040"/>
      <c r="K240" s="992"/>
    </row>
    <row r="241" spans="2:11" s="1000" customFormat="1" ht="14.25" customHeight="1">
      <c r="B241" s="1005" t="s">
        <v>1057</v>
      </c>
      <c r="C241" s="998"/>
      <c r="D241" s="998"/>
      <c r="E241" s="998"/>
      <c r="F241" s="1040"/>
      <c r="K241" s="992"/>
    </row>
    <row r="242" spans="1:11" s="1000" customFormat="1" ht="14.25" customHeight="1">
      <c r="A242" s="1064" t="s">
        <v>17</v>
      </c>
      <c r="B242" s="1016" t="s">
        <v>1058</v>
      </c>
      <c r="C242" s="835">
        <v>0</v>
      </c>
      <c r="D242" s="1014">
        <v>1000</v>
      </c>
      <c r="E242" s="1014"/>
      <c r="F242" s="1029">
        <v>0</v>
      </c>
      <c r="K242" s="992"/>
    </row>
    <row r="243" spans="1:11" s="1000" customFormat="1" ht="14.25" customHeight="1" thickBot="1">
      <c r="A243" s="1064" t="s">
        <v>18</v>
      </c>
      <c r="B243" s="1016" t="s">
        <v>1059</v>
      </c>
      <c r="C243" s="835">
        <v>0</v>
      </c>
      <c r="D243" s="1014">
        <v>4000</v>
      </c>
      <c r="E243" s="1014"/>
      <c r="F243" s="1029">
        <v>0</v>
      </c>
      <c r="K243" s="992"/>
    </row>
    <row r="244" spans="1:11" s="1000" customFormat="1" ht="14.25" customHeight="1" hidden="1">
      <c r="A244" s="1064" t="s">
        <v>19</v>
      </c>
      <c r="B244" s="1016"/>
      <c r="C244" s="835"/>
      <c r="D244" s="1014"/>
      <c r="E244" s="1014"/>
      <c r="F244" s="1029"/>
      <c r="K244" s="992"/>
    </row>
    <row r="245" spans="1:11" s="1000" customFormat="1" ht="14.25" customHeight="1" hidden="1">
      <c r="A245" s="1064" t="s">
        <v>20</v>
      </c>
      <c r="B245" s="1016"/>
      <c r="C245" s="835"/>
      <c r="D245" s="1014"/>
      <c r="E245" s="1014"/>
      <c r="F245" s="1029"/>
      <c r="K245" s="992"/>
    </row>
    <row r="246" spans="1:11" s="1000" customFormat="1" ht="14.25" customHeight="1" hidden="1">
      <c r="A246" s="1064" t="s">
        <v>21</v>
      </c>
      <c r="B246" s="1016"/>
      <c r="C246" s="835"/>
      <c r="D246" s="1014"/>
      <c r="E246" s="1014"/>
      <c r="F246" s="1029"/>
      <c r="K246" s="992"/>
    </row>
    <row r="247" spans="1:11" s="1000" customFormat="1" ht="14.25" customHeight="1" hidden="1">
      <c r="A247" s="725" t="s">
        <v>22</v>
      </c>
      <c r="B247" s="1016"/>
      <c r="C247" s="1007"/>
      <c r="D247" s="1065"/>
      <c r="E247" s="1065"/>
      <c r="F247" s="1029"/>
      <c r="K247" s="992"/>
    </row>
    <row r="248" spans="1:11" s="1000" customFormat="1" ht="14.25" customHeight="1" hidden="1">
      <c r="A248" s="725" t="s">
        <v>23</v>
      </c>
      <c r="B248" s="1016"/>
      <c r="C248" s="1007"/>
      <c r="D248" s="1065"/>
      <c r="E248" s="1065"/>
      <c r="F248" s="1029"/>
      <c r="K248" s="992"/>
    </row>
    <row r="249" spans="1:11" s="1000" customFormat="1" ht="14.25" customHeight="1" hidden="1">
      <c r="A249" s="725" t="s">
        <v>24</v>
      </c>
      <c r="B249" s="1016"/>
      <c r="C249" s="1007"/>
      <c r="D249" s="1065"/>
      <c r="E249" s="1065"/>
      <c r="F249" s="1029"/>
      <c r="K249" s="992"/>
    </row>
    <row r="250" spans="1:11" s="1000" customFormat="1" ht="14.25" customHeight="1" hidden="1">
      <c r="A250" s="725" t="s">
        <v>25</v>
      </c>
      <c r="B250" s="1018"/>
      <c r="C250" s="1007"/>
      <c r="D250" s="1007"/>
      <c r="E250" s="1007"/>
      <c r="F250" s="1029"/>
      <c r="K250" s="992"/>
    </row>
    <row r="251" spans="1:11" s="1000" customFormat="1" ht="14.25" customHeight="1" hidden="1">
      <c r="A251" s="725" t="s">
        <v>26</v>
      </c>
      <c r="B251" s="1018"/>
      <c r="C251" s="1007"/>
      <c r="D251" s="1007"/>
      <c r="E251" s="1007"/>
      <c r="F251" s="1029"/>
      <c r="K251" s="992"/>
    </row>
    <row r="252" spans="1:11" s="1000" customFormat="1" ht="14.25" customHeight="1" hidden="1">
      <c r="A252" s="725" t="s">
        <v>27</v>
      </c>
      <c r="B252" s="1018"/>
      <c r="C252" s="1007"/>
      <c r="D252" s="1007"/>
      <c r="E252" s="1007"/>
      <c r="F252" s="1029"/>
      <c r="K252" s="992"/>
    </row>
    <row r="253" spans="1:11" s="1000" customFormat="1" ht="14.25" customHeight="1" hidden="1">
      <c r="A253" s="725" t="s">
        <v>28</v>
      </c>
      <c r="B253" s="1018"/>
      <c r="C253" s="1007"/>
      <c r="D253" s="1007"/>
      <c r="E253" s="1007"/>
      <c r="F253" s="1029"/>
      <c r="K253" s="992"/>
    </row>
    <row r="254" spans="1:11" s="1000" customFormat="1" ht="14.25" customHeight="1" hidden="1">
      <c r="A254" s="725" t="s">
        <v>29</v>
      </c>
      <c r="B254" s="1018"/>
      <c r="C254" s="1007"/>
      <c r="D254" s="1007"/>
      <c r="E254" s="1007"/>
      <c r="F254" s="1029"/>
      <c r="K254" s="992"/>
    </row>
    <row r="255" spans="1:11" s="1000" customFormat="1" ht="14.25" customHeight="1" hidden="1">
      <c r="A255" s="725" t="s">
        <v>30</v>
      </c>
      <c r="B255" s="1018"/>
      <c r="C255" s="1007"/>
      <c r="D255" s="1007"/>
      <c r="E255" s="1007"/>
      <c r="F255" s="1029"/>
      <c r="K255" s="992"/>
    </row>
    <row r="256" spans="1:11" s="1000" customFormat="1" ht="14.25" customHeight="1" hidden="1">
      <c r="A256" s="725" t="s">
        <v>31</v>
      </c>
      <c r="B256" s="1018"/>
      <c r="C256" s="1007"/>
      <c r="D256" s="1007"/>
      <c r="E256" s="1007"/>
      <c r="F256" s="1029"/>
      <c r="K256" s="992"/>
    </row>
    <row r="257" spans="1:11" s="1000" customFormat="1" ht="14.25" customHeight="1">
      <c r="A257" s="1019" t="s">
        <v>50</v>
      </c>
      <c r="B257" s="1020"/>
      <c r="C257" s="1021">
        <f>SUM(C242:C256)</f>
        <v>0</v>
      </c>
      <c r="D257" s="1021">
        <f>SUM(D242:D256)</f>
        <v>5000</v>
      </c>
      <c r="E257" s="1021">
        <f>SUM(E242:E256)</f>
        <v>0</v>
      </c>
      <c r="F257" s="1022">
        <v>0</v>
      </c>
      <c r="K257" s="992">
        <v>15000</v>
      </c>
    </row>
    <row r="258" spans="2:11" s="1000" customFormat="1" ht="14.25" customHeight="1">
      <c r="B258" s="1001"/>
      <c r="C258" s="998"/>
      <c r="D258" s="998"/>
      <c r="E258" s="998"/>
      <c r="F258" s="1040"/>
      <c r="K258" s="992"/>
    </row>
    <row r="259" spans="2:11" s="1074" customFormat="1" ht="14.25" customHeight="1">
      <c r="B259" s="1005" t="s">
        <v>1060</v>
      </c>
      <c r="C259" s="1072"/>
      <c r="D259" s="1072"/>
      <c r="E259" s="1072"/>
      <c r="F259" s="1075"/>
      <c r="K259" s="1076"/>
    </row>
    <row r="260" spans="1:11" s="1000" customFormat="1" ht="14.25" customHeight="1">
      <c r="A260" s="725" t="s">
        <v>17</v>
      </c>
      <c r="B260" s="1036" t="s">
        <v>1061</v>
      </c>
      <c r="C260" s="835">
        <v>0</v>
      </c>
      <c r="D260" s="1017">
        <f>50000-200</f>
        <v>49800</v>
      </c>
      <c r="E260" s="1017">
        <v>200</v>
      </c>
      <c r="F260" s="1029">
        <v>0</v>
      </c>
      <c r="K260" s="992"/>
    </row>
    <row r="261" spans="1:11" s="1000" customFormat="1" ht="14.25" customHeight="1">
      <c r="A261" s="725" t="s">
        <v>18</v>
      </c>
      <c r="B261" s="1036" t="s">
        <v>1062</v>
      </c>
      <c r="C261" s="835">
        <v>0</v>
      </c>
      <c r="D261" s="1017">
        <v>4400</v>
      </c>
      <c r="E261" s="1017">
        <v>0</v>
      </c>
      <c r="F261" s="1029">
        <v>0</v>
      </c>
      <c r="K261" s="992"/>
    </row>
    <row r="262" spans="1:11" s="1000" customFormat="1" ht="14.25" customHeight="1">
      <c r="A262" s="725" t="s">
        <v>19</v>
      </c>
      <c r="B262" s="1036" t="s">
        <v>1063</v>
      </c>
      <c r="C262" s="835">
        <v>0</v>
      </c>
      <c r="D262" s="1017">
        <v>8500</v>
      </c>
      <c r="E262" s="1017">
        <v>0</v>
      </c>
      <c r="F262" s="1029">
        <v>0</v>
      </c>
      <c r="K262" s="992"/>
    </row>
    <row r="263" spans="1:11" s="1000" customFormat="1" ht="14.25" customHeight="1">
      <c r="A263" s="725" t="s">
        <v>20</v>
      </c>
      <c r="B263" s="1036" t="s">
        <v>1064</v>
      </c>
      <c r="C263" s="835">
        <v>0</v>
      </c>
      <c r="D263" s="1017">
        <v>10000</v>
      </c>
      <c r="E263" s="1017">
        <v>0</v>
      </c>
      <c r="F263" s="1029">
        <v>0</v>
      </c>
      <c r="K263" s="992"/>
    </row>
    <row r="264" spans="1:11" s="1000" customFormat="1" ht="16.5" thickBot="1">
      <c r="A264" s="725" t="s">
        <v>21</v>
      </c>
      <c r="B264" s="1077" t="s">
        <v>1065</v>
      </c>
      <c r="C264" s="1078">
        <v>0</v>
      </c>
      <c r="D264" s="1079">
        <f>1250-504</f>
        <v>746</v>
      </c>
      <c r="E264" s="1403">
        <v>504</v>
      </c>
      <c r="F264" s="1028">
        <v>0</v>
      </c>
      <c r="K264" s="992"/>
    </row>
    <row r="265" spans="1:11" s="1000" customFormat="1" ht="14.25" customHeight="1" hidden="1">
      <c r="A265" s="725" t="s">
        <v>24</v>
      </c>
      <c r="B265" s="1016"/>
      <c r="C265" s="1007"/>
      <c r="D265" s="1065"/>
      <c r="E265" s="1065"/>
      <c r="F265" s="1029"/>
      <c r="K265" s="992"/>
    </row>
    <row r="266" spans="1:11" s="1000" customFormat="1" ht="14.25" customHeight="1" hidden="1">
      <c r="A266" s="725" t="s">
        <v>25</v>
      </c>
      <c r="B266" s="1016"/>
      <c r="C266" s="1007"/>
      <c r="D266" s="1065"/>
      <c r="E266" s="1065"/>
      <c r="F266" s="1029"/>
      <c r="K266" s="992"/>
    </row>
    <row r="267" spans="1:11" s="1000" customFormat="1" ht="14.25" customHeight="1" hidden="1">
      <c r="A267" s="725" t="s">
        <v>26</v>
      </c>
      <c r="B267" s="1016"/>
      <c r="C267" s="1007"/>
      <c r="D267" s="1065"/>
      <c r="E267" s="1065"/>
      <c r="F267" s="1029"/>
      <c r="K267" s="992"/>
    </row>
    <row r="268" spans="1:11" s="1000" customFormat="1" ht="14.25" customHeight="1" hidden="1">
      <c r="A268" s="725" t="s">
        <v>27</v>
      </c>
      <c r="B268" s="1016"/>
      <c r="C268" s="1007"/>
      <c r="D268" s="1065"/>
      <c r="E268" s="1065"/>
      <c r="F268" s="1029"/>
      <c r="K268" s="992"/>
    </row>
    <row r="269" spans="1:11" s="1000" customFormat="1" ht="14.25" customHeight="1" hidden="1">
      <c r="A269" s="725" t="s">
        <v>28</v>
      </c>
      <c r="B269" s="1016"/>
      <c r="C269" s="1007"/>
      <c r="D269" s="1065"/>
      <c r="E269" s="1065"/>
      <c r="F269" s="1029"/>
      <c r="K269" s="992"/>
    </row>
    <row r="270" spans="1:11" s="1000" customFormat="1" ht="14.25" customHeight="1" hidden="1">
      <c r="A270" s="725" t="s">
        <v>29</v>
      </c>
      <c r="B270" s="1016"/>
      <c r="C270" s="1007"/>
      <c r="D270" s="1065"/>
      <c r="E270" s="1065"/>
      <c r="F270" s="1029"/>
      <c r="K270" s="992"/>
    </row>
    <row r="271" spans="1:11" s="1000" customFormat="1" ht="14.25" customHeight="1" hidden="1">
      <c r="A271" s="725" t="s">
        <v>30</v>
      </c>
      <c r="B271" s="1055"/>
      <c r="C271" s="990"/>
      <c r="D271" s="990"/>
      <c r="E271" s="990"/>
      <c r="K271" s="992"/>
    </row>
    <row r="272" spans="1:11" s="1000" customFormat="1" ht="14.25" customHeight="1" hidden="1">
      <c r="A272" s="725" t="s">
        <v>31</v>
      </c>
      <c r="B272" s="1055"/>
      <c r="C272" s="990"/>
      <c r="D272" s="990"/>
      <c r="E272" s="990"/>
      <c r="K272" s="992"/>
    </row>
    <row r="273" spans="1:11" s="1000" customFormat="1" ht="14.25" customHeight="1">
      <c r="A273" s="1019" t="s">
        <v>50</v>
      </c>
      <c r="B273" s="1020"/>
      <c r="C273" s="1021">
        <f>SUM(C260:C270)</f>
        <v>0</v>
      </c>
      <c r="D273" s="1021">
        <f>SUM(D260:D270)</f>
        <v>73446</v>
      </c>
      <c r="E273" s="1021">
        <f>SUM(E260:E270)</f>
        <v>704</v>
      </c>
      <c r="F273" s="1022">
        <v>0</v>
      </c>
      <c r="K273" s="992"/>
    </row>
    <row r="274" spans="2:11" s="1000" customFormat="1" ht="14.25" customHeight="1">
      <c r="B274" s="1023"/>
      <c r="C274" s="998"/>
      <c r="D274" s="998"/>
      <c r="E274" s="998"/>
      <c r="F274" s="1040"/>
      <c r="K274" s="992"/>
    </row>
    <row r="275" spans="1:11" s="1000" customFormat="1" ht="14.25" customHeight="1">
      <c r="A275" s="1080" t="s">
        <v>1066</v>
      </c>
      <c r="B275" s="1081"/>
      <c r="C275" s="1082">
        <f>C38+C66+C85+C119+C148+C168+C184+C202+C217+C238+C257+C273</f>
        <v>1940465</v>
      </c>
      <c r="D275" s="1082">
        <f>D38+D66+D85+D119+D148+D168+D184+D202+D217+D238+D257+D273</f>
        <v>3960734</v>
      </c>
      <c r="E275" s="1082">
        <f>E38+E66+E85+E119+E148+E168+E184+E202+E217+E238+E257+E273</f>
        <v>24406</v>
      </c>
      <c r="F275" s="1083">
        <f>D275/C275</f>
        <v>2.0411262248997017</v>
      </c>
      <c r="K275" s="992"/>
    </row>
    <row r="276" spans="1:11" s="1074" customFormat="1" ht="14.25" customHeight="1">
      <c r="A276" s="1084"/>
      <c r="B276" s="1035"/>
      <c r="C276" s="1072"/>
      <c r="D276" s="1072"/>
      <c r="E276" s="1072"/>
      <c r="F276" s="1075"/>
      <c r="K276" s="1076"/>
    </row>
    <row r="277" spans="1:11" s="1000" customFormat="1" ht="14.25" customHeight="1">
      <c r="A277" s="1085" t="s">
        <v>1067</v>
      </c>
      <c r="B277" s="1001"/>
      <c r="C277" s="998"/>
      <c r="D277" s="998"/>
      <c r="E277" s="998"/>
      <c r="F277" s="1040"/>
      <c r="K277" s="992"/>
    </row>
    <row r="278" spans="1:11" s="1000" customFormat="1" ht="14.25" customHeight="1" hidden="1">
      <c r="A278" s="1085"/>
      <c r="B278" s="1001"/>
      <c r="C278" s="1002" t="str">
        <f>C6</f>
        <v>2014. évi         terv</v>
      </c>
      <c r="D278" s="1002" t="str">
        <f>D6</f>
        <v>2015. évi         terv Felhalm.</v>
      </c>
      <c r="E278" s="1002"/>
      <c r="F278" s="1042" t="s">
        <v>693</v>
      </c>
      <c r="K278" s="992"/>
    </row>
    <row r="279" spans="2:11" s="1000" customFormat="1" ht="14.25" customHeight="1">
      <c r="B279" s="1005" t="s">
        <v>1068</v>
      </c>
      <c r="C279" s="1072"/>
      <c r="D279" s="1072"/>
      <c r="E279" s="1072"/>
      <c r="F279" s="1075"/>
      <c r="K279" s="992"/>
    </row>
    <row r="280" spans="1:11" s="1000" customFormat="1" ht="14.25" customHeight="1" thickBot="1">
      <c r="A280" s="725" t="s">
        <v>17</v>
      </c>
      <c r="B280" s="1009"/>
      <c r="C280" s="1007"/>
      <c r="D280" s="1007"/>
      <c r="E280" s="1007"/>
      <c r="F280" s="1029"/>
      <c r="K280" s="992"/>
    </row>
    <row r="281" spans="1:11" s="1000" customFormat="1" ht="14.25" customHeight="1" hidden="1">
      <c r="A281" s="725" t="s">
        <v>18</v>
      </c>
      <c r="B281" s="1009"/>
      <c r="C281" s="1007"/>
      <c r="D281" s="1007"/>
      <c r="E281" s="1007"/>
      <c r="F281" s="1029"/>
      <c r="K281" s="992"/>
    </row>
    <row r="282" spans="1:11" s="1000" customFormat="1" ht="14.25" customHeight="1" hidden="1">
      <c r="A282" s="725" t="s">
        <v>19</v>
      </c>
      <c r="B282" s="1009"/>
      <c r="C282" s="1007"/>
      <c r="D282" s="1007"/>
      <c r="E282" s="1007"/>
      <c r="F282" s="1029"/>
      <c r="K282" s="992"/>
    </row>
    <row r="283" spans="1:11" s="1000" customFormat="1" ht="14.25" customHeight="1" hidden="1">
      <c r="A283" s="725" t="s">
        <v>20</v>
      </c>
      <c r="B283" s="1009"/>
      <c r="C283" s="1007"/>
      <c r="D283" s="1007"/>
      <c r="E283" s="1007"/>
      <c r="F283" s="1029"/>
      <c r="K283" s="992"/>
    </row>
    <row r="284" spans="1:11" s="1000" customFormat="1" ht="14.25" customHeight="1" hidden="1">
      <c r="A284" s="725" t="s">
        <v>21</v>
      </c>
      <c r="B284" s="1009"/>
      <c r="C284" s="1007"/>
      <c r="D284" s="1007"/>
      <c r="E284" s="1007"/>
      <c r="F284" s="1029"/>
      <c r="K284" s="992"/>
    </row>
    <row r="285" spans="1:11" s="1000" customFormat="1" ht="14.25" customHeight="1" hidden="1">
      <c r="A285" s="725" t="s">
        <v>22</v>
      </c>
      <c r="B285" s="1009"/>
      <c r="C285" s="1007"/>
      <c r="D285" s="1007"/>
      <c r="E285" s="1007"/>
      <c r="F285" s="1029"/>
      <c r="K285" s="992"/>
    </row>
    <row r="286" spans="1:11" s="1000" customFormat="1" ht="14.25" customHeight="1">
      <c r="A286" s="1019" t="s">
        <v>50</v>
      </c>
      <c r="B286" s="1020"/>
      <c r="C286" s="1021">
        <f>SUM(C280:C285)</f>
        <v>0</v>
      </c>
      <c r="D286" s="1021">
        <f>SUM(D280:D285)</f>
        <v>0</v>
      </c>
      <c r="E286" s="1021">
        <f>SUM(E280:E285)</f>
        <v>0</v>
      </c>
      <c r="F286" s="1022">
        <v>0</v>
      </c>
      <c r="K286" s="992"/>
    </row>
    <row r="287" spans="1:11" s="1000" customFormat="1" ht="14.25" customHeight="1">
      <c r="A287" s="1073"/>
      <c r="B287" s="1001"/>
      <c r="C287" s="998"/>
      <c r="D287" s="998"/>
      <c r="E287" s="998"/>
      <c r="F287" s="1040"/>
      <c r="K287" s="992"/>
    </row>
    <row r="288" spans="2:11" s="1000" customFormat="1" ht="14.25" customHeight="1">
      <c r="B288" s="1005" t="s">
        <v>1069</v>
      </c>
      <c r="C288" s="1072"/>
      <c r="D288" s="1072"/>
      <c r="E288" s="1072"/>
      <c r="F288" s="1075"/>
      <c r="K288" s="992"/>
    </row>
    <row r="289" spans="1:11" s="1000" customFormat="1" ht="14.25" customHeight="1" thickBot="1">
      <c r="A289" s="725" t="s">
        <v>17</v>
      </c>
      <c r="B289" s="1018"/>
      <c r="C289" s="1007"/>
      <c r="D289" s="1007"/>
      <c r="E289" s="1007"/>
      <c r="F289" s="1029"/>
      <c r="K289" s="992"/>
    </row>
    <row r="290" spans="1:11" s="1000" customFormat="1" ht="14.25" customHeight="1" hidden="1">
      <c r="A290" s="725" t="s">
        <v>18</v>
      </c>
      <c r="B290" s="1009"/>
      <c r="C290" s="1007"/>
      <c r="D290" s="1007"/>
      <c r="E290" s="1007"/>
      <c r="F290" s="1029">
        <v>0</v>
      </c>
      <c r="K290" s="992"/>
    </row>
    <row r="291" spans="1:11" s="1000" customFormat="1" ht="14.25" customHeight="1" hidden="1">
      <c r="A291" s="725" t="s">
        <v>19</v>
      </c>
      <c r="B291" s="1009"/>
      <c r="C291" s="1007"/>
      <c r="D291" s="1007"/>
      <c r="E291" s="1007"/>
      <c r="F291" s="1029">
        <v>0</v>
      </c>
      <c r="K291" s="992"/>
    </row>
    <row r="292" spans="1:11" s="1000" customFormat="1" ht="14.25" customHeight="1" hidden="1">
      <c r="A292" s="725" t="s">
        <v>20</v>
      </c>
      <c r="B292" s="1009"/>
      <c r="C292" s="1007"/>
      <c r="D292" s="1007"/>
      <c r="E292" s="1007"/>
      <c r="F292" s="1029">
        <v>0</v>
      </c>
      <c r="K292" s="992"/>
    </row>
    <row r="293" spans="1:11" s="1000" customFormat="1" ht="14.25" customHeight="1" hidden="1">
      <c r="A293" s="725" t="s">
        <v>21</v>
      </c>
      <c r="B293" s="1009"/>
      <c r="C293" s="1007"/>
      <c r="D293" s="1007"/>
      <c r="E293" s="1007"/>
      <c r="F293" s="1029">
        <v>0</v>
      </c>
      <c r="K293" s="992"/>
    </row>
    <row r="294" spans="1:11" s="1000" customFormat="1" ht="14.25" customHeight="1" hidden="1">
      <c r="A294" s="725" t="s">
        <v>22</v>
      </c>
      <c r="B294" s="1009"/>
      <c r="C294" s="1007"/>
      <c r="D294" s="1007"/>
      <c r="E294" s="1007"/>
      <c r="F294" s="1029">
        <v>0</v>
      </c>
      <c r="K294" s="992"/>
    </row>
    <row r="295" spans="1:11" s="1000" customFormat="1" ht="14.25" customHeight="1" hidden="1">
      <c r="A295" s="725" t="s">
        <v>23</v>
      </c>
      <c r="B295" s="1023"/>
      <c r="C295" s="1007"/>
      <c r="D295" s="1007"/>
      <c r="E295" s="1007"/>
      <c r="F295" s="1029">
        <v>0</v>
      </c>
      <c r="K295" s="992"/>
    </row>
    <row r="296" spans="1:11" s="1000" customFormat="1" ht="14.25" customHeight="1">
      <c r="A296" s="1019" t="s">
        <v>50</v>
      </c>
      <c r="B296" s="1020"/>
      <c r="C296" s="1021">
        <f>SUM(C289:C295)</f>
        <v>0</v>
      </c>
      <c r="D296" s="1021">
        <f>SUM(D289:D295)</f>
        <v>0</v>
      </c>
      <c r="E296" s="1021">
        <f>SUM(E289:E295)</f>
        <v>0</v>
      </c>
      <c r="F296" s="1022">
        <v>0</v>
      </c>
      <c r="K296" s="992"/>
    </row>
    <row r="297" spans="2:11" s="1000" customFormat="1" ht="14.25" customHeight="1">
      <c r="B297" s="1001"/>
      <c r="C297" s="998"/>
      <c r="D297" s="998"/>
      <c r="E297" s="998"/>
      <c r="F297" s="1040"/>
      <c r="K297" s="992"/>
    </row>
    <row r="298" spans="2:11" s="1000" customFormat="1" ht="14.25" customHeight="1">
      <c r="B298" s="1026" t="s">
        <v>1070</v>
      </c>
      <c r="C298" s="998"/>
      <c r="D298" s="998"/>
      <c r="E298" s="998"/>
      <c r="F298" s="1040"/>
      <c r="K298" s="992"/>
    </row>
    <row r="299" spans="1:11" s="1000" customFormat="1" ht="14.25" customHeight="1">
      <c r="A299" s="725" t="s">
        <v>17</v>
      </c>
      <c r="B299" s="1009" t="s">
        <v>1071</v>
      </c>
      <c r="C299" s="1007">
        <v>3000</v>
      </c>
      <c r="D299" s="1007">
        <v>0</v>
      </c>
      <c r="E299" s="1007">
        <v>0</v>
      </c>
      <c r="F299" s="1029">
        <f>D299/C299</f>
        <v>0</v>
      </c>
      <c r="K299" s="992"/>
    </row>
    <row r="300" spans="1:11" s="1000" customFormat="1" ht="14.25" customHeight="1">
      <c r="A300" s="725" t="s">
        <v>18</v>
      </c>
      <c r="B300" s="1016" t="s">
        <v>1072</v>
      </c>
      <c r="C300" s="835">
        <v>0</v>
      </c>
      <c r="D300" s="1014">
        <f>1400-894</f>
        <v>506</v>
      </c>
      <c r="E300" s="1014">
        <v>894</v>
      </c>
      <c r="F300" s="1029">
        <v>0</v>
      </c>
      <c r="K300" s="992"/>
    </row>
    <row r="301" spans="1:11" s="1000" customFormat="1" ht="14.25" customHeight="1">
      <c r="A301" s="725" t="s">
        <v>19</v>
      </c>
      <c r="B301" s="1016" t="s">
        <v>1073</v>
      </c>
      <c r="C301" s="835">
        <v>10000</v>
      </c>
      <c r="D301" s="1014">
        <f>10000-1904</f>
        <v>8096</v>
      </c>
      <c r="E301" s="1014">
        <v>1904</v>
      </c>
      <c r="F301" s="1029">
        <f>D301/C301</f>
        <v>0.8096</v>
      </c>
      <c r="K301" s="992"/>
    </row>
    <row r="302" spans="1:11" s="1000" customFormat="1" ht="14.25" customHeight="1">
      <c r="A302" s="725" t="s">
        <v>20</v>
      </c>
      <c r="B302" s="1016" t="s">
        <v>1074</v>
      </c>
      <c r="C302" s="835">
        <v>0</v>
      </c>
      <c r="D302" s="1014">
        <v>30000</v>
      </c>
      <c r="E302" s="1014">
        <v>0</v>
      </c>
      <c r="F302" s="1029">
        <v>0</v>
      </c>
      <c r="H302" s="1086"/>
      <c r="I302" s="1087"/>
      <c r="J302" s="1088"/>
      <c r="K302" s="1089"/>
    </row>
    <row r="303" spans="1:11" s="1000" customFormat="1" ht="14.25" customHeight="1">
      <c r="A303" s="725" t="s">
        <v>21</v>
      </c>
      <c r="B303" s="1016" t="s">
        <v>1075</v>
      </c>
      <c r="C303" s="835">
        <v>0</v>
      </c>
      <c r="D303" s="1014">
        <v>0</v>
      </c>
      <c r="E303" s="1014">
        <v>0</v>
      </c>
      <c r="F303" s="1029">
        <v>0</v>
      </c>
      <c r="K303" s="992"/>
    </row>
    <row r="304" spans="1:11" s="1000" customFormat="1" ht="14.25" customHeight="1">
      <c r="A304" s="725" t="s">
        <v>22</v>
      </c>
      <c r="B304" s="1016" t="s">
        <v>1076</v>
      </c>
      <c r="C304" s="835">
        <v>0</v>
      </c>
      <c r="D304" s="1014">
        <v>600</v>
      </c>
      <c r="E304" s="1014">
        <v>0</v>
      </c>
      <c r="F304" s="1029">
        <v>0</v>
      </c>
      <c r="K304" s="992"/>
    </row>
    <row r="305" spans="1:11" s="1000" customFormat="1" ht="14.25" customHeight="1">
      <c r="A305" s="725" t="s">
        <v>23</v>
      </c>
      <c r="B305" s="1016" t="s">
        <v>1077</v>
      </c>
      <c r="C305" s="835">
        <v>0</v>
      </c>
      <c r="D305" s="1014">
        <v>7330</v>
      </c>
      <c r="E305" s="1014">
        <v>0</v>
      </c>
      <c r="F305" s="1029">
        <v>0</v>
      </c>
      <c r="K305" s="992"/>
    </row>
    <row r="306" spans="1:11" s="1012" customFormat="1" ht="14.25" customHeight="1">
      <c r="A306" s="725" t="s">
        <v>24</v>
      </c>
      <c r="B306" s="1016" t="s">
        <v>1078</v>
      </c>
      <c r="C306" s="835">
        <v>0</v>
      </c>
      <c r="D306" s="1014">
        <v>14400</v>
      </c>
      <c r="E306" s="1014">
        <v>0</v>
      </c>
      <c r="F306" s="1029">
        <v>0</v>
      </c>
      <c r="K306" s="868"/>
    </row>
    <row r="307" spans="1:11" s="1000" customFormat="1" ht="14.25" customHeight="1">
      <c r="A307" s="725" t="s">
        <v>25</v>
      </c>
      <c r="B307" s="1016" t="s">
        <v>1079</v>
      </c>
      <c r="C307" s="835">
        <v>0</v>
      </c>
      <c r="D307" s="1014">
        <v>3600</v>
      </c>
      <c r="E307" s="1014">
        <v>0</v>
      </c>
      <c r="F307" s="1029">
        <v>0</v>
      </c>
      <c r="K307" s="992"/>
    </row>
    <row r="308" spans="1:11" s="1000" customFormat="1" ht="14.25" customHeight="1">
      <c r="A308" s="725" t="s">
        <v>26</v>
      </c>
      <c r="B308" s="1016" t="s">
        <v>1080</v>
      </c>
      <c r="C308" s="835">
        <v>0</v>
      </c>
      <c r="D308" s="1014">
        <v>9500</v>
      </c>
      <c r="E308" s="1014">
        <v>0</v>
      </c>
      <c r="F308" s="1029">
        <v>0</v>
      </c>
      <c r="K308" s="992"/>
    </row>
    <row r="309" spans="1:11" s="1000" customFormat="1" ht="14.25" customHeight="1">
      <c r="A309" s="725" t="s">
        <v>27</v>
      </c>
      <c r="B309" s="1016" t="s">
        <v>1081</v>
      </c>
      <c r="C309" s="835">
        <v>0</v>
      </c>
      <c r="D309" s="1014">
        <v>25500</v>
      </c>
      <c r="E309" s="1014">
        <v>0</v>
      </c>
      <c r="F309" s="1029">
        <v>0</v>
      </c>
      <c r="K309" s="992"/>
    </row>
    <row r="310" spans="1:11" s="1000" customFormat="1" ht="14.25" customHeight="1">
      <c r="A310" s="725" t="s">
        <v>28</v>
      </c>
      <c r="B310" s="1016" t="s">
        <v>1082</v>
      </c>
      <c r="C310" s="835">
        <v>0</v>
      </c>
      <c r="D310" s="1014">
        <v>16200</v>
      </c>
      <c r="E310" s="1014">
        <v>0</v>
      </c>
      <c r="F310" s="1029">
        <v>0</v>
      </c>
      <c r="K310" s="992"/>
    </row>
    <row r="311" spans="1:11" s="1000" customFormat="1" ht="14.25" customHeight="1">
      <c r="A311" s="725" t="s">
        <v>29</v>
      </c>
      <c r="B311" s="1009" t="s">
        <v>1083</v>
      </c>
      <c r="C311" s="841">
        <v>0</v>
      </c>
      <c r="D311" s="1017">
        <v>8000</v>
      </c>
      <c r="E311" s="1017">
        <v>0</v>
      </c>
      <c r="F311" s="1029">
        <v>0</v>
      </c>
      <c r="K311" s="992"/>
    </row>
    <row r="312" spans="1:11" s="1000" customFormat="1" ht="14.25" customHeight="1">
      <c r="A312" s="725" t="s">
        <v>30</v>
      </c>
      <c r="B312" s="1009" t="s">
        <v>1084</v>
      </c>
      <c r="C312" s="835">
        <v>0</v>
      </c>
      <c r="D312" s="859">
        <v>800</v>
      </c>
      <c r="E312" s="859">
        <v>0</v>
      </c>
      <c r="F312" s="1029">
        <v>0</v>
      </c>
      <c r="K312" s="992"/>
    </row>
    <row r="313" spans="1:11" s="1000" customFormat="1" ht="14.25" customHeight="1">
      <c r="A313" s="725" t="s">
        <v>30</v>
      </c>
      <c r="B313" s="1009" t="s">
        <v>1205</v>
      </c>
      <c r="C313" s="859">
        <v>0</v>
      </c>
      <c r="D313" s="859">
        <v>4000</v>
      </c>
      <c r="E313" s="859">
        <v>0</v>
      </c>
      <c r="F313" s="1029"/>
      <c r="K313" s="992"/>
    </row>
    <row r="314" spans="1:11" s="1000" customFormat="1" ht="14.25" customHeight="1">
      <c r="A314" s="725" t="s">
        <v>31</v>
      </c>
      <c r="B314" s="1016" t="s">
        <v>1052</v>
      </c>
      <c r="C314" s="859">
        <v>0</v>
      </c>
      <c r="D314" s="859">
        <v>7500</v>
      </c>
      <c r="E314" s="859">
        <v>0</v>
      </c>
      <c r="F314" s="1029">
        <v>0</v>
      </c>
      <c r="K314" s="992"/>
    </row>
    <row r="315" spans="2:11" s="1000" customFormat="1" ht="14.25" customHeight="1" thickBot="1">
      <c r="B315" s="1023"/>
      <c r="C315" s="1168"/>
      <c r="D315" s="1370"/>
      <c r="E315" s="1370"/>
      <c r="F315" s="1040"/>
      <c r="K315" s="992"/>
    </row>
    <row r="316" spans="1:11" s="1012" customFormat="1" ht="14.25" customHeight="1">
      <c r="A316" s="1019" t="s">
        <v>50</v>
      </c>
      <c r="B316" s="1020"/>
      <c r="C316" s="1021">
        <f>SUM(C299:C312)</f>
        <v>13000</v>
      </c>
      <c r="D316" s="1021">
        <f>SUM(D299:D315)</f>
        <v>136032</v>
      </c>
      <c r="E316" s="1021">
        <f>SUM(E299:E315)</f>
        <v>2798</v>
      </c>
      <c r="F316" s="1022">
        <f>D316/C316</f>
        <v>10.464</v>
      </c>
      <c r="K316" s="868"/>
    </row>
    <row r="317" spans="2:11" s="1012" customFormat="1" ht="14.25" customHeight="1">
      <c r="B317" s="1023"/>
      <c r="C317" s="998"/>
      <c r="D317" s="998"/>
      <c r="E317" s="998"/>
      <c r="F317" s="1040"/>
      <c r="K317" s="868"/>
    </row>
    <row r="318" spans="1:11" s="1012" customFormat="1" ht="14.25" customHeight="1">
      <c r="A318" s="1080" t="s">
        <v>1085</v>
      </c>
      <c r="B318" s="1081"/>
      <c r="C318" s="1082">
        <f>C286+C296+C316</f>
        <v>13000</v>
      </c>
      <c r="D318" s="1082">
        <f>D286+D296+D316</f>
        <v>136032</v>
      </c>
      <c r="E318" s="1082">
        <f>E286+E296+E316</f>
        <v>2798</v>
      </c>
      <c r="F318" s="1083">
        <f>D318/C318</f>
        <v>10.464</v>
      </c>
      <c r="H318" s="868">
        <f>D275</f>
        <v>3960734</v>
      </c>
      <c r="K318" s="868"/>
    </row>
    <row r="319" spans="1:11" s="1012" customFormat="1" ht="14.25" customHeight="1" thickBot="1">
      <c r="A319" s="1090"/>
      <c r="B319" s="1023"/>
      <c r="C319" s="1091"/>
      <c r="D319" s="998"/>
      <c r="E319" s="998"/>
      <c r="F319" s="1040"/>
      <c r="K319" s="868"/>
    </row>
    <row r="320" spans="1:11" s="1012" customFormat="1" ht="14.25" customHeight="1" thickBot="1">
      <c r="A320" s="1092" t="s">
        <v>1086</v>
      </c>
      <c r="B320" s="1093"/>
      <c r="C320" s="1094">
        <f>C275+C318</f>
        <v>1953465</v>
      </c>
      <c r="D320" s="1095">
        <f>D275+D318</f>
        <v>4096766</v>
      </c>
      <c r="E320" s="1095">
        <f>E275+E318</f>
        <v>27204</v>
      </c>
      <c r="F320" s="1096">
        <f>D320/C320</f>
        <v>2.0971791150596504</v>
      </c>
      <c r="K320" s="868"/>
    </row>
    <row r="321" spans="1:11" s="1012" customFormat="1" ht="14.25" customHeight="1">
      <c r="A321" s="1097"/>
      <c r="B321" s="1098"/>
      <c r="C321" s="1072"/>
      <c r="D321" s="998"/>
      <c r="E321" s="998"/>
      <c r="F321" s="1040"/>
      <c r="K321" s="868"/>
    </row>
    <row r="322" spans="1:2" s="1373" customFormat="1" ht="12.75">
      <c r="A322" s="1371"/>
      <c r="B322" s="1372" t="s">
        <v>607</v>
      </c>
    </row>
    <row r="323" spans="1:5" s="1377" customFormat="1" ht="14.25" customHeight="1">
      <c r="A323" s="1374" t="s">
        <v>17</v>
      </c>
      <c r="B323" s="1375" t="s">
        <v>1206</v>
      </c>
      <c r="C323" s="1376"/>
      <c r="D323" s="1376">
        <v>19559</v>
      </c>
      <c r="E323" s="1404"/>
    </row>
    <row r="324" spans="1:5" s="1377" customFormat="1" ht="14.25" customHeight="1">
      <c r="A324" s="1374" t="s">
        <v>18</v>
      </c>
      <c r="B324" s="1375" t="s">
        <v>960</v>
      </c>
      <c r="C324" s="1376"/>
      <c r="D324" s="1376">
        <v>15000</v>
      </c>
      <c r="E324" s="1404"/>
    </row>
    <row r="325" spans="1:5" s="1377" customFormat="1" ht="14.25" customHeight="1">
      <c r="A325" s="1374" t="s">
        <v>19</v>
      </c>
      <c r="B325" s="1375" t="s">
        <v>1208</v>
      </c>
      <c r="C325" s="1376">
        <f>C105</f>
        <v>0</v>
      </c>
      <c r="D325" s="1376">
        <f>250000-34102</f>
        <v>215898</v>
      </c>
      <c r="E325" s="1404"/>
    </row>
    <row r="326" spans="1:5" s="1377" customFormat="1" ht="14.25" customHeight="1">
      <c r="A326" s="1374" t="s">
        <v>20</v>
      </c>
      <c r="B326" s="1375" t="s">
        <v>1202</v>
      </c>
      <c r="C326" s="1376">
        <f>C107</f>
        <v>0</v>
      </c>
      <c r="D326" s="1376">
        <v>793929</v>
      </c>
      <c r="E326" s="1404"/>
    </row>
    <row r="327" spans="1:5" s="1377" customFormat="1" ht="14.25" customHeight="1">
      <c r="A327" s="1374" t="s">
        <v>21</v>
      </c>
      <c r="B327" s="1375" t="s">
        <v>1219</v>
      </c>
      <c r="C327" s="1376"/>
      <c r="D327" s="1376">
        <v>379</v>
      </c>
      <c r="E327" s="1404"/>
    </row>
    <row r="328" spans="1:5" s="1377" customFormat="1" ht="14.25" customHeight="1" hidden="1">
      <c r="A328" s="1374" t="s">
        <v>22</v>
      </c>
      <c r="B328" s="1375"/>
      <c r="C328" s="1376"/>
      <c r="D328" s="1376"/>
      <c r="E328" s="1404"/>
    </row>
    <row r="329" spans="1:5" s="1377" customFormat="1" ht="14.25" customHeight="1">
      <c r="A329" s="1374" t="s">
        <v>22</v>
      </c>
      <c r="B329" s="1375" t="s">
        <v>1248</v>
      </c>
      <c r="C329" s="1376"/>
      <c r="D329" s="1376">
        <v>3860</v>
      </c>
      <c r="E329" s="1404"/>
    </row>
    <row r="330" spans="1:5" s="1377" customFormat="1" ht="14.25" customHeight="1">
      <c r="A330" s="1374" t="s">
        <v>23</v>
      </c>
      <c r="B330" s="1375" t="s">
        <v>1316</v>
      </c>
      <c r="C330" s="1376"/>
      <c r="D330" s="1376">
        <v>3821</v>
      </c>
      <c r="E330" s="1404"/>
    </row>
    <row r="331" spans="1:5" s="1377" customFormat="1" ht="14.25" customHeight="1">
      <c r="A331" s="1374" t="s">
        <v>24</v>
      </c>
      <c r="B331" s="1375" t="s">
        <v>1205</v>
      </c>
      <c r="C331" s="1376">
        <f>C314</f>
        <v>0</v>
      </c>
      <c r="D331" s="1376">
        <v>4000</v>
      </c>
      <c r="E331" s="1404"/>
    </row>
    <row r="332" spans="1:5" s="1377" customFormat="1" ht="14.25" customHeight="1">
      <c r="A332" s="1378"/>
      <c r="B332" s="1379" t="s">
        <v>608</v>
      </c>
      <c r="C332" s="1380">
        <f>SUM(C323:C331)</f>
        <v>0</v>
      </c>
      <c r="D332" s="1380">
        <f>SUM(D323:D331)</f>
        <v>1056446</v>
      </c>
      <c r="E332" s="1405"/>
    </row>
    <row r="333" spans="1:2" s="1377" customFormat="1" ht="12.75">
      <c r="A333" s="1381"/>
      <c r="B333" s="1381"/>
    </row>
    <row r="334" spans="2:11" s="1000" customFormat="1" ht="12" customHeight="1">
      <c r="B334" s="1099"/>
      <c r="C334" s="1072"/>
      <c r="D334" s="1072"/>
      <c r="E334" s="1072"/>
      <c r="F334" s="999"/>
      <c r="K334" s="992"/>
    </row>
    <row r="335" spans="2:11" s="1000" customFormat="1" ht="12" customHeight="1">
      <c r="B335" s="1001"/>
      <c r="C335" s="1072"/>
      <c r="D335" s="1072"/>
      <c r="E335" s="1072"/>
      <c r="F335" s="999"/>
      <c r="K335" s="992"/>
    </row>
    <row r="336" spans="2:11" s="1000" customFormat="1" ht="12" customHeight="1">
      <c r="B336" s="1001"/>
      <c r="C336" s="1039"/>
      <c r="D336" s="998"/>
      <c r="E336" s="998"/>
      <c r="F336" s="999"/>
      <c r="K336" s="992"/>
    </row>
    <row r="337" spans="2:11" s="1000" customFormat="1" ht="12" customHeight="1">
      <c r="B337" s="1001"/>
      <c r="C337" s="1039"/>
      <c r="D337" s="998"/>
      <c r="E337" s="998"/>
      <c r="F337" s="999"/>
      <c r="K337" s="992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scale="60" r:id="rId1"/>
  <rowBreaks count="2" manualBreakCount="2">
    <brk id="86" max="255" man="1"/>
    <brk id="20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37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618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619</v>
      </c>
      <c r="C3" s="645" t="s">
        <v>59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1464098</v>
      </c>
    </row>
    <row r="9" spans="1:3" s="608" customFormat="1" ht="15" customHeight="1">
      <c r="A9" s="607" t="s">
        <v>94</v>
      </c>
      <c r="B9" s="402" t="s">
        <v>254</v>
      </c>
      <c r="C9" s="423">
        <f>'Ö1'!I13</f>
        <v>686433</v>
      </c>
    </row>
    <row r="10" spans="1:3" s="610" customFormat="1" ht="15" customHeight="1">
      <c r="A10" s="609" t="s">
        <v>95</v>
      </c>
      <c r="B10" s="403" t="s">
        <v>255</v>
      </c>
      <c r="C10" s="415">
        <f>'Ö1'!I22</f>
        <v>387619</v>
      </c>
    </row>
    <row r="11" spans="1:3" s="610" customFormat="1" ht="15" customHeight="1">
      <c r="A11" s="609" t="s">
        <v>96</v>
      </c>
      <c r="B11" s="403" t="s">
        <v>256</v>
      </c>
      <c r="C11" s="415">
        <f>'Ö1'!I27</f>
        <v>350928</v>
      </c>
    </row>
    <row r="12" spans="1:3" s="610" customFormat="1" ht="15" customHeight="1">
      <c r="A12" s="609" t="s">
        <v>97</v>
      </c>
      <c r="B12" s="403" t="s">
        <v>257</v>
      </c>
      <c r="C12" s="415">
        <f>'Ö1'!I35</f>
        <v>31937</v>
      </c>
    </row>
    <row r="13" spans="1:3" s="610" customFormat="1" ht="15" customHeight="1">
      <c r="A13" s="609" t="s">
        <v>145</v>
      </c>
      <c r="B13" s="403" t="s">
        <v>505</v>
      </c>
      <c r="C13" s="415">
        <f>'Ö1'!I39</f>
        <v>7181</v>
      </c>
    </row>
    <row r="14" spans="1:3" s="608" customFormat="1" ht="15" customHeight="1" thickBot="1">
      <c r="A14" s="611" t="s">
        <v>98</v>
      </c>
      <c r="B14" s="404" t="s">
        <v>434</v>
      </c>
      <c r="C14" s="415">
        <f>'Ö1'!I46</f>
        <v>0</v>
      </c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130814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>
        <f>'Ö1'!I49</f>
        <v>130814</v>
      </c>
    </row>
    <row r="21" spans="1:3" s="610" customFormat="1" ht="15" customHeight="1" thickBot="1">
      <c r="A21" s="611" t="s">
        <v>113</v>
      </c>
      <c r="B21" s="404" t="s">
        <v>262</v>
      </c>
      <c r="C21" s="416">
        <f>'Ö1'!I51</f>
        <v>3937</v>
      </c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1885940</v>
      </c>
    </row>
    <row r="23" spans="1:3" s="610" customFormat="1" ht="15" customHeight="1">
      <c r="A23" s="607" t="s">
        <v>83</v>
      </c>
      <c r="B23" s="402" t="s">
        <v>264</v>
      </c>
      <c r="C23" s="423">
        <f>'Ö1'!F74</f>
        <v>0</v>
      </c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>
        <f>'Ö1'!F81</f>
        <v>1885940</v>
      </c>
    </row>
    <row r="28" spans="1:3" s="610" customFormat="1" ht="15" customHeight="1" thickBot="1">
      <c r="A28" s="611" t="s">
        <v>169</v>
      </c>
      <c r="B28" s="404" t="s">
        <v>267</v>
      </c>
      <c r="C28" s="416">
        <f>'Ö1'!F84+'Ö1'!F87+'Ö1'!F88+'Ö1'!F89+'Ö1'!F90+'Ö1'!F95+'Ö1'!F96+'Ö1'!F97+'Ö1'!F99+'Ö1'!F100+'Ö1'!F101+'Ö1'!F103</f>
        <v>1119752</v>
      </c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3062200</v>
      </c>
    </row>
    <row r="30" spans="1:3" s="610" customFormat="1" ht="15" customHeight="1">
      <c r="A30" s="482" t="s">
        <v>269</v>
      </c>
      <c r="B30" s="439" t="s">
        <v>567</v>
      </c>
      <c r="C30" s="612">
        <f>'Ö1'!I106</f>
        <v>0</v>
      </c>
    </row>
    <row r="31" spans="1:3" s="610" customFormat="1" ht="15" customHeight="1">
      <c r="A31" s="483" t="s">
        <v>270</v>
      </c>
      <c r="B31" s="441" t="s">
        <v>575</v>
      </c>
      <c r="C31" s="415">
        <f>'Ö1'!I110</f>
        <v>1250000</v>
      </c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1787000</v>
      </c>
    </row>
    <row r="33" spans="1:3" s="610" customFormat="1" ht="15" customHeight="1">
      <c r="A33" s="485" t="s">
        <v>569</v>
      </c>
      <c r="B33" s="481" t="s">
        <v>570</v>
      </c>
      <c r="C33" s="1197">
        <f>'Ö1'!I118</f>
        <v>95000</v>
      </c>
    </row>
    <row r="34" spans="1:3" s="610" customFormat="1" ht="15" customHeight="1">
      <c r="A34" s="485" t="s">
        <v>571</v>
      </c>
      <c r="B34" s="481" t="s">
        <v>572</v>
      </c>
      <c r="C34" s="1197">
        <f>'Ö1'!I115</f>
        <v>1400000</v>
      </c>
    </row>
    <row r="35" spans="1:3" s="610" customFormat="1" ht="25.5">
      <c r="A35" s="485" t="s">
        <v>573</v>
      </c>
      <c r="B35" s="481" t="s">
        <v>574</v>
      </c>
      <c r="C35" s="1198">
        <f>'Ö1'!I121</f>
        <v>292000</v>
      </c>
    </row>
    <row r="36" spans="1:3" s="610" customFormat="1" ht="15" customHeight="1" thickBot="1">
      <c r="A36" s="483" t="s">
        <v>272</v>
      </c>
      <c r="B36" s="441" t="s">
        <v>273</v>
      </c>
      <c r="C36" s="416">
        <f>'Ö1'!I125</f>
        <v>25200</v>
      </c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2087056</v>
      </c>
    </row>
    <row r="38" spans="1:3" s="610" customFormat="1" ht="15" customHeight="1">
      <c r="A38" s="607" t="s">
        <v>87</v>
      </c>
      <c r="B38" s="402" t="s">
        <v>276</v>
      </c>
      <c r="C38" s="423">
        <f>'Ö1'!I132</f>
        <v>0</v>
      </c>
    </row>
    <row r="39" spans="1:3" s="610" customFormat="1" ht="15" customHeight="1">
      <c r="A39" s="609" t="s">
        <v>88</v>
      </c>
      <c r="B39" s="403" t="s">
        <v>277</v>
      </c>
      <c r="C39" s="415">
        <f>'Ö1'!I134-'Ö1'!I135</f>
        <v>93600</v>
      </c>
    </row>
    <row r="40" spans="1:3" s="610" customFormat="1" ht="15" customHeight="1">
      <c r="A40" s="609" t="s">
        <v>89</v>
      </c>
      <c r="B40" s="403" t="s">
        <v>278</v>
      </c>
      <c r="C40" s="415">
        <f>'Ö1'!I151</f>
        <v>45000</v>
      </c>
    </row>
    <row r="41" spans="1:3" s="610" customFormat="1" ht="15" customHeight="1">
      <c r="A41" s="609" t="s">
        <v>172</v>
      </c>
      <c r="B41" s="403" t="s">
        <v>279</v>
      </c>
      <c r="C41" s="415">
        <f>'Ö1'!I154</f>
        <v>1211080</v>
      </c>
    </row>
    <row r="42" spans="1:3" s="610" customFormat="1" ht="15" customHeight="1">
      <c r="A42" s="609" t="s">
        <v>173</v>
      </c>
      <c r="B42" s="403" t="s">
        <v>280</v>
      </c>
      <c r="C42" s="415">
        <f>'Ö1'!I172</f>
        <v>49300</v>
      </c>
    </row>
    <row r="43" spans="1:3" s="610" customFormat="1" ht="15" customHeight="1">
      <c r="A43" s="609" t="s">
        <v>174</v>
      </c>
      <c r="B43" s="403" t="s">
        <v>281</v>
      </c>
      <c r="C43" s="415">
        <f>'Ö1'!I179</f>
        <v>508405</v>
      </c>
    </row>
    <row r="44" spans="1:3" s="610" customFormat="1" ht="15" customHeight="1">
      <c r="A44" s="609" t="s">
        <v>175</v>
      </c>
      <c r="B44" s="403" t="s">
        <v>282</v>
      </c>
      <c r="C44" s="415">
        <f>'Ö1'!I181</f>
        <v>168171</v>
      </c>
    </row>
    <row r="45" spans="1:3" s="610" customFormat="1" ht="15" customHeight="1">
      <c r="A45" s="609" t="s">
        <v>176</v>
      </c>
      <c r="B45" s="403" t="s">
        <v>283</v>
      </c>
      <c r="C45" s="415">
        <f>'Ö1'!I183</f>
        <v>2200</v>
      </c>
    </row>
    <row r="46" spans="1:3" s="610" customFormat="1" ht="15" customHeight="1">
      <c r="A46" s="609" t="s">
        <v>274</v>
      </c>
      <c r="B46" s="403" t="s">
        <v>284</v>
      </c>
      <c r="C46" s="613">
        <f>'Ö1'!I187</f>
        <v>0</v>
      </c>
    </row>
    <row r="47" spans="1:3" s="610" customFormat="1" ht="15" customHeight="1">
      <c r="A47" s="611" t="s">
        <v>275</v>
      </c>
      <c r="B47" s="404" t="s">
        <v>437</v>
      </c>
      <c r="C47" s="614">
        <f>'Ö1'!I189</f>
        <v>4000</v>
      </c>
    </row>
    <row r="48" spans="1:3" s="610" customFormat="1" ht="15" customHeight="1" thickBot="1">
      <c r="A48" s="631" t="s">
        <v>436</v>
      </c>
      <c r="B48" s="646" t="s">
        <v>285</v>
      </c>
      <c r="C48" s="647">
        <f>'Ö1'!I193</f>
        <v>5300</v>
      </c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500000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>
        <f>'Ö1'!F198</f>
        <v>500000</v>
      </c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194830</v>
      </c>
    </row>
    <row r="56" spans="1:3" s="610" customFormat="1" ht="15" customHeight="1">
      <c r="A56" s="607" t="s">
        <v>92</v>
      </c>
      <c r="B56" s="402" t="s">
        <v>296</v>
      </c>
      <c r="C56" s="423">
        <f>'Ö1'!I205</f>
        <v>94830</v>
      </c>
    </row>
    <row r="57" spans="1:3" s="610" customFormat="1" ht="15" customHeight="1">
      <c r="A57" s="609" t="s">
        <v>93</v>
      </c>
      <c r="B57" s="403" t="s">
        <v>428</v>
      </c>
      <c r="C57" s="415">
        <f>'Ö1'!I209</f>
        <v>100000</v>
      </c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123822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>
        <f>'Ö1'!F215-'Ö1'!F216-'Ö1'!F217</f>
        <v>123722</v>
      </c>
    </row>
    <row r="63" spans="1:3" s="610" customFormat="1" ht="15" customHeight="1">
      <c r="A63" s="609" t="s">
        <v>230</v>
      </c>
      <c r="B63" s="403" t="s">
        <v>304</v>
      </c>
      <c r="C63" s="613">
        <f>'Ö1'!F222</f>
        <v>100</v>
      </c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9448760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452332</v>
      </c>
    </row>
    <row r="76" spans="1:3" s="610" customFormat="1" ht="15" customHeight="1">
      <c r="A76" s="607" t="s">
        <v>342</v>
      </c>
      <c r="B76" s="402" t="s">
        <v>320</v>
      </c>
      <c r="C76" s="613">
        <f>'Ö1'!I228</f>
        <v>452332</v>
      </c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750000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>
        <f>'Ö1'!I234</f>
        <v>750000</v>
      </c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1202332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10651092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617</v>
      </c>
      <c r="C93" s="411">
        <f>+C94+C95+C96+C97+C98+C111</f>
        <v>3422967</v>
      </c>
    </row>
    <row r="94" spans="1:3" ht="15" customHeight="1">
      <c r="A94" s="629" t="s">
        <v>94</v>
      </c>
      <c r="B94" s="412" t="s">
        <v>48</v>
      </c>
      <c r="C94" s="413">
        <f>'Ö2'!E133+'Ö2'!E137</f>
        <v>118093</v>
      </c>
    </row>
    <row r="95" spans="1:3" ht="15" customHeight="1">
      <c r="A95" s="609" t="s">
        <v>95</v>
      </c>
      <c r="B95" s="414" t="s">
        <v>180</v>
      </c>
      <c r="C95" s="415">
        <f>'Ö2'!H133+'Ö2'!H137</f>
        <v>24064</v>
      </c>
    </row>
    <row r="96" spans="1:3" ht="15" customHeight="1">
      <c r="A96" s="609" t="s">
        <v>96</v>
      </c>
      <c r="B96" s="414" t="s">
        <v>137</v>
      </c>
      <c r="C96" s="416">
        <f>'Ö2'!K133+'Ö2'!K137+'Ö3'!E320-'Ö3'!E93</f>
        <v>2523401</v>
      </c>
    </row>
    <row r="97" spans="1:3" ht="15" customHeight="1">
      <c r="A97" s="609" t="s">
        <v>97</v>
      </c>
      <c r="B97" s="417" t="s">
        <v>181</v>
      </c>
      <c r="C97" s="416">
        <f>'Ö2'!N133+'Ö2'!N137</f>
        <v>49075</v>
      </c>
    </row>
    <row r="98" spans="1:3" ht="15" customHeight="1">
      <c r="A98" s="609" t="s">
        <v>108</v>
      </c>
      <c r="B98" s="418" t="s">
        <v>182</v>
      </c>
      <c r="C98" s="416">
        <f>'Ö2'!Q133+'Ö2'!T133</f>
        <v>400028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>
        <f>'Ö2'!Q91+'Ö2'!Q103</f>
        <v>21181</v>
      </c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f>1106+8000+14809+3492+260+130+2000</f>
        <v>29797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>
        <f>'Ö2'!T77+'Ö2'!T106</f>
        <v>246000</v>
      </c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>
        <f>26500+10424+5000+1500+2100+3000-25+50+5000+550+14849+34102</f>
        <v>103050</v>
      </c>
    </row>
    <row r="111" spans="1:3" ht="15" customHeight="1">
      <c r="A111" s="609" t="s">
        <v>443</v>
      </c>
      <c r="B111" s="417" t="s">
        <v>49</v>
      </c>
      <c r="C111" s="415">
        <f>9!C111</f>
        <v>308306</v>
      </c>
    </row>
    <row r="112" spans="1:3" ht="15" customHeight="1">
      <c r="A112" s="611" t="s">
        <v>444</v>
      </c>
      <c r="B112" s="414" t="s">
        <v>511</v>
      </c>
      <c r="C112" s="415">
        <f>9!C112</f>
        <v>72483</v>
      </c>
    </row>
    <row r="113" spans="1:3" ht="15" customHeight="1" thickBot="1">
      <c r="A113" s="631" t="s">
        <v>445</v>
      </c>
      <c r="B113" s="421" t="s">
        <v>512</v>
      </c>
      <c r="C113" s="415">
        <f>9!C113</f>
        <v>235823</v>
      </c>
    </row>
    <row r="114" spans="1:3" ht="15" customHeight="1" thickBot="1">
      <c r="A114" s="409" t="s">
        <v>18</v>
      </c>
      <c r="B114" s="632" t="s">
        <v>566</v>
      </c>
      <c r="C114" s="428">
        <f>+C115+C117+C119</f>
        <v>4093087</v>
      </c>
    </row>
    <row r="115" spans="1:3" ht="15" customHeight="1">
      <c r="A115" s="607" t="s">
        <v>100</v>
      </c>
      <c r="B115" s="414" t="s">
        <v>228</v>
      </c>
      <c r="C115" s="423">
        <f>9!C115-'Ö3'!D93</f>
        <v>2904609</v>
      </c>
    </row>
    <row r="116" spans="1:3" ht="15" customHeight="1">
      <c r="A116" s="607" t="s">
        <v>101</v>
      </c>
      <c r="B116" s="419" t="s">
        <v>365</v>
      </c>
      <c r="C116" s="423">
        <f>9!C116</f>
        <v>1147846</v>
      </c>
    </row>
    <row r="117" spans="1:3" ht="15" customHeight="1">
      <c r="A117" s="607" t="s">
        <v>102</v>
      </c>
      <c r="B117" s="419" t="s">
        <v>184</v>
      </c>
      <c r="C117" s="423">
        <f>9!C117</f>
        <v>132032</v>
      </c>
    </row>
    <row r="118" spans="1:3" ht="15" customHeight="1">
      <c r="A118" s="607" t="s">
        <v>103</v>
      </c>
      <c r="B118" s="419" t="s">
        <v>366</v>
      </c>
      <c r="C118" s="423">
        <f>9!C118</f>
        <v>0</v>
      </c>
    </row>
    <row r="119" spans="1:3" ht="15" customHeight="1">
      <c r="A119" s="607" t="s">
        <v>104</v>
      </c>
      <c r="B119" s="404" t="s">
        <v>231</v>
      </c>
      <c r="C119" s="423">
        <f>9!C119</f>
        <v>1056446</v>
      </c>
    </row>
    <row r="120" spans="1:3" ht="15" customHeight="1">
      <c r="A120" s="607" t="s">
        <v>113</v>
      </c>
      <c r="B120" s="403" t="s">
        <v>430</v>
      </c>
      <c r="C120" s="423">
        <f>9!C120</f>
        <v>0</v>
      </c>
    </row>
    <row r="121" spans="1:3" ht="15" customHeight="1">
      <c r="A121" s="607" t="s">
        <v>115</v>
      </c>
      <c r="B121" s="425" t="s">
        <v>371</v>
      </c>
      <c r="C121" s="423">
        <f>9!C121</f>
        <v>0</v>
      </c>
    </row>
    <row r="122" spans="1:3" ht="15" customHeight="1">
      <c r="A122" s="607" t="s">
        <v>185</v>
      </c>
      <c r="B122" s="414" t="s">
        <v>355</v>
      </c>
      <c r="C122" s="423">
        <f>9!C122</f>
        <v>0</v>
      </c>
    </row>
    <row r="123" spans="1:3" ht="15" customHeight="1">
      <c r="A123" s="607" t="s">
        <v>186</v>
      </c>
      <c r="B123" s="414" t="s">
        <v>370</v>
      </c>
      <c r="C123" s="423">
        <f>9!C123</f>
        <v>794308</v>
      </c>
    </row>
    <row r="124" spans="1:3" ht="15" customHeight="1">
      <c r="A124" s="607" t="s">
        <v>187</v>
      </c>
      <c r="B124" s="414" t="s">
        <v>369</v>
      </c>
      <c r="C124" s="423">
        <f>9!C124</f>
        <v>0</v>
      </c>
    </row>
    <row r="125" spans="1:3" ht="15" customHeight="1">
      <c r="A125" s="607" t="s">
        <v>362</v>
      </c>
      <c r="B125" s="414" t="s">
        <v>358</v>
      </c>
      <c r="C125" s="423">
        <f>9!C125</f>
        <v>0</v>
      </c>
    </row>
    <row r="126" spans="1:3" ht="15" customHeight="1">
      <c r="A126" s="607" t="s">
        <v>363</v>
      </c>
      <c r="B126" s="414" t="s">
        <v>368</v>
      </c>
      <c r="C126" s="423">
        <f>9!C126</f>
        <v>0</v>
      </c>
    </row>
    <row r="127" spans="1:3" ht="15" customHeight="1" thickBot="1">
      <c r="A127" s="630" t="s">
        <v>364</v>
      </c>
      <c r="B127" s="414" t="s">
        <v>367</v>
      </c>
      <c r="C127" s="423">
        <f>9!C127</f>
        <v>262138</v>
      </c>
    </row>
    <row r="128" spans="1:3" ht="15" customHeight="1" thickBot="1">
      <c r="A128" s="409" t="s">
        <v>19</v>
      </c>
      <c r="B128" s="427" t="s">
        <v>448</v>
      </c>
      <c r="C128" s="428">
        <f>+C93+C114</f>
        <v>7516054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2982160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>
        <f>'Ö2'!Q127</f>
        <v>53557</v>
      </c>
    </row>
    <row r="143" spans="1:3" ht="15" customHeight="1">
      <c r="A143" s="607" t="s">
        <v>287</v>
      </c>
      <c r="B143" s="425" t="s">
        <v>536</v>
      </c>
      <c r="C143" s="424">
        <f>9!C143</f>
        <v>2178603</v>
      </c>
    </row>
    <row r="144" spans="1:3" s="628" customFormat="1" ht="15" customHeight="1">
      <c r="A144" s="607" t="s">
        <v>288</v>
      </c>
      <c r="B144" s="425" t="s">
        <v>464</v>
      </c>
      <c r="C144" s="424">
        <f>'Ö2'!Q126</f>
        <v>750000</v>
      </c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2982160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10498214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>
        <f>14+11+1+12</f>
        <v>38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H20"/>
  <sheetViews>
    <sheetView zoomScalePageLayoutView="0" workbookViewId="0" topLeftCell="A1">
      <selection activeCell="A1" sqref="A1"/>
    </sheetView>
  </sheetViews>
  <sheetFormatPr defaultColWidth="9.375" defaultRowHeight="12.75"/>
  <cols>
    <col min="1" max="5" width="9.375" style="348" customWidth="1"/>
    <col min="6" max="6" width="18.00390625" style="348" customWidth="1"/>
    <col min="7" max="7" width="15.00390625" style="348" customWidth="1"/>
    <col min="8" max="8" width="11.125" style="348" customWidth="1"/>
    <col min="9" max="16384" width="9.375" style="348" customWidth="1"/>
  </cols>
  <sheetData>
    <row r="1" ht="15">
      <c r="H1" s="349" t="s">
        <v>546</v>
      </c>
    </row>
    <row r="3" ht="18.75">
      <c r="B3" s="350" t="s">
        <v>547</v>
      </c>
    </row>
    <row r="4" ht="52.5" customHeight="1" thickBot="1"/>
    <row r="5" spans="2:8" ht="13.5" thickBot="1">
      <c r="B5" s="1420" t="s">
        <v>548</v>
      </c>
      <c r="C5" s="1421"/>
      <c r="D5" s="1421"/>
      <c r="E5" s="1421"/>
      <c r="F5" s="1421"/>
      <c r="G5" s="1421"/>
      <c r="H5" s="1422"/>
    </row>
    <row r="6" spans="2:8" ht="12.75">
      <c r="B6" s="1417" t="s">
        <v>549</v>
      </c>
      <c r="C6" s="1418"/>
      <c r="D6" s="1418"/>
      <c r="E6" s="1418"/>
      <c r="F6" s="1418"/>
      <c r="G6" s="1418"/>
      <c r="H6" s="1419"/>
    </row>
    <row r="7" spans="2:8" ht="12.75">
      <c r="B7" s="1408"/>
      <c r="C7" s="1409"/>
      <c r="D7" s="1409"/>
      <c r="E7" s="1409"/>
      <c r="F7" s="1409"/>
      <c r="G7" s="1409"/>
      <c r="H7" s="1410"/>
    </row>
    <row r="8" spans="2:8" ht="13.5" thickBot="1">
      <c r="B8" s="1411"/>
      <c r="C8" s="1412"/>
      <c r="D8" s="1412"/>
      <c r="E8" s="1412"/>
      <c r="F8" s="1412"/>
      <c r="G8" s="1412"/>
      <c r="H8" s="1413"/>
    </row>
    <row r="9" spans="2:8" ht="13.5" thickBot="1">
      <c r="B9" s="351"/>
      <c r="C9" s="351"/>
      <c r="D9" s="351"/>
      <c r="E9" s="351"/>
      <c r="F9" s="351"/>
      <c r="G9" s="351"/>
      <c r="H9" s="351"/>
    </row>
    <row r="10" spans="2:8" ht="13.5" thickBot="1">
      <c r="B10" s="1420" t="s">
        <v>550</v>
      </c>
      <c r="C10" s="1421"/>
      <c r="D10" s="1421"/>
      <c r="E10" s="1421"/>
      <c r="F10" s="1421"/>
      <c r="G10" s="1421"/>
      <c r="H10" s="1422"/>
    </row>
    <row r="11" spans="2:8" ht="12.75">
      <c r="B11" s="1408" t="s">
        <v>551</v>
      </c>
      <c r="C11" s="1409"/>
      <c r="D11" s="1409"/>
      <c r="E11" s="1409"/>
      <c r="F11" s="1409"/>
      <c r="G11" s="1409"/>
      <c r="H11" s="1410"/>
    </row>
    <row r="12" spans="2:8" ht="12.75">
      <c r="B12" s="1408" t="s">
        <v>552</v>
      </c>
      <c r="C12" s="1409"/>
      <c r="D12" s="1409"/>
      <c r="E12" s="1409"/>
      <c r="F12" s="1409"/>
      <c r="G12" s="1409"/>
      <c r="H12" s="1410"/>
    </row>
    <row r="13" spans="2:8" ht="12.75">
      <c r="B13" s="1408" t="s">
        <v>553</v>
      </c>
      <c r="C13" s="1409"/>
      <c r="D13" s="1409"/>
      <c r="E13" s="1409"/>
      <c r="F13" s="1409"/>
      <c r="G13" s="1409"/>
      <c r="H13" s="1410"/>
    </row>
    <row r="14" spans="2:8" ht="12.75">
      <c r="B14" s="1408" t="s">
        <v>554</v>
      </c>
      <c r="C14" s="1409"/>
      <c r="D14" s="1409"/>
      <c r="E14" s="1409"/>
      <c r="F14" s="1409"/>
      <c r="G14" s="1409"/>
      <c r="H14" s="1410"/>
    </row>
    <row r="15" spans="2:8" ht="13.5" thickBot="1">
      <c r="B15" s="1411"/>
      <c r="C15" s="1412"/>
      <c r="D15" s="1412"/>
      <c r="E15" s="1412"/>
      <c r="F15" s="1412"/>
      <c r="G15" s="1412"/>
      <c r="H15" s="1413"/>
    </row>
    <row r="16" spans="2:8" ht="13.5" thickBot="1">
      <c r="B16" s="351"/>
      <c r="C16" s="351"/>
      <c r="D16" s="351"/>
      <c r="E16" s="351"/>
      <c r="F16" s="351"/>
      <c r="G16" s="351"/>
      <c r="H16" s="351"/>
    </row>
    <row r="17" spans="2:8" ht="13.5" thickBot="1">
      <c r="B17" s="1414" t="s">
        <v>555</v>
      </c>
      <c r="C17" s="1415"/>
      <c r="D17" s="1415"/>
      <c r="E17" s="1415"/>
      <c r="F17" s="1415"/>
      <c r="G17" s="1415"/>
      <c r="H17" s="1416"/>
    </row>
    <row r="18" spans="2:8" ht="12.75">
      <c r="B18" s="1417"/>
      <c r="C18" s="1418"/>
      <c r="D18" s="1418"/>
      <c r="E18" s="1418"/>
      <c r="F18" s="1418"/>
      <c r="G18" s="1418"/>
      <c r="H18" s="1419"/>
    </row>
    <row r="19" spans="2:8" ht="12.75">
      <c r="B19" s="1408"/>
      <c r="C19" s="1409"/>
      <c r="D19" s="1409"/>
      <c r="E19" s="1409"/>
      <c r="F19" s="1409"/>
      <c r="G19" s="1409"/>
      <c r="H19" s="1410"/>
    </row>
    <row r="20" spans="2:8" ht="13.5" thickBot="1">
      <c r="B20" s="1411"/>
      <c r="C20" s="1412"/>
      <c r="D20" s="1412"/>
      <c r="E20" s="1412"/>
      <c r="F20" s="1412"/>
      <c r="G20" s="1412"/>
      <c r="H20" s="1413"/>
    </row>
  </sheetData>
  <sheetProtection/>
  <mergeCells count="14">
    <mergeCell ref="B11:H11"/>
    <mergeCell ref="B5:H5"/>
    <mergeCell ref="B6:H6"/>
    <mergeCell ref="B7:H7"/>
    <mergeCell ref="B8:H8"/>
    <mergeCell ref="B10:H10"/>
    <mergeCell ref="B19:H19"/>
    <mergeCell ref="B20:H20"/>
    <mergeCell ref="B12:H12"/>
    <mergeCell ref="B13:H13"/>
    <mergeCell ref="B14:H14"/>
    <mergeCell ref="B15:H15"/>
    <mergeCell ref="B17:H17"/>
    <mergeCell ref="B18:H1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37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620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621</v>
      </c>
      <c r="C3" s="645" t="s">
        <v>60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0</v>
      </c>
    </row>
    <row r="9" spans="1:3" s="608" customFormat="1" ht="15" customHeight="1">
      <c r="A9" s="607" t="s">
        <v>94</v>
      </c>
      <c r="B9" s="402" t="s">
        <v>254</v>
      </c>
      <c r="C9" s="423"/>
    </row>
    <row r="10" spans="1:3" s="610" customFormat="1" ht="15" customHeight="1">
      <c r="A10" s="609" t="s">
        <v>95</v>
      </c>
      <c r="B10" s="403" t="s">
        <v>255</v>
      </c>
      <c r="C10" s="415"/>
    </row>
    <row r="11" spans="1:3" s="610" customFormat="1" ht="15" customHeight="1">
      <c r="A11" s="609" t="s">
        <v>96</v>
      </c>
      <c r="B11" s="403" t="s">
        <v>256</v>
      </c>
      <c r="C11" s="415"/>
    </row>
    <row r="12" spans="1:3" s="610" customFormat="1" ht="15" customHeight="1">
      <c r="A12" s="609" t="s">
        <v>97</v>
      </c>
      <c r="B12" s="403" t="s">
        <v>257</v>
      </c>
      <c r="C12" s="415"/>
    </row>
    <row r="13" spans="1:3" s="610" customFormat="1" ht="15" customHeight="1">
      <c r="A13" s="609" t="s">
        <v>145</v>
      </c>
      <c r="B13" s="403" t="s">
        <v>505</v>
      </c>
      <c r="C13" s="415"/>
    </row>
    <row r="14" spans="1:3" s="608" customFormat="1" ht="15" customHeight="1" thickBot="1">
      <c r="A14" s="611" t="s">
        <v>98</v>
      </c>
      <c r="B14" s="404" t="s">
        <v>434</v>
      </c>
      <c r="C14" s="415"/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0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/>
    </row>
    <row r="21" spans="1:3" s="610" customFormat="1" ht="15" customHeight="1" thickBot="1">
      <c r="A21" s="611" t="s">
        <v>113</v>
      </c>
      <c r="B21" s="404" t="s">
        <v>262</v>
      </c>
      <c r="C21" s="416"/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0</v>
      </c>
    </row>
    <row r="23" spans="1:3" s="610" customFormat="1" ht="15" customHeight="1">
      <c r="A23" s="607" t="s">
        <v>83</v>
      </c>
      <c r="B23" s="402" t="s">
        <v>264</v>
      </c>
      <c r="C23" s="423"/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/>
    </row>
    <row r="28" spans="1:3" s="610" customFormat="1" ht="15" customHeight="1" thickBot="1">
      <c r="A28" s="611" t="s">
        <v>169</v>
      </c>
      <c r="B28" s="404" t="s">
        <v>267</v>
      </c>
      <c r="C28" s="416"/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0</v>
      </c>
    </row>
    <row r="30" spans="1:3" s="610" customFormat="1" ht="15" customHeight="1">
      <c r="A30" s="482" t="s">
        <v>269</v>
      </c>
      <c r="B30" s="439" t="s">
        <v>567</v>
      </c>
      <c r="C30" s="612">
        <f>+C31+C32+C33</f>
        <v>0</v>
      </c>
    </row>
    <row r="31" spans="1:3" s="610" customFormat="1" ht="15" customHeight="1">
      <c r="A31" s="483" t="s">
        <v>270</v>
      </c>
      <c r="B31" s="441" t="s">
        <v>575</v>
      </c>
      <c r="C31" s="415"/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0</v>
      </c>
    </row>
    <row r="33" spans="1:3" s="610" customFormat="1" ht="15" customHeight="1">
      <c r="A33" s="485" t="s">
        <v>569</v>
      </c>
      <c r="B33" s="481" t="s">
        <v>570</v>
      </c>
      <c r="C33" s="415"/>
    </row>
    <row r="34" spans="1:3" s="610" customFormat="1" ht="15" customHeight="1">
      <c r="A34" s="485" t="s">
        <v>571</v>
      </c>
      <c r="B34" s="481" t="s">
        <v>572</v>
      </c>
      <c r="C34" s="415"/>
    </row>
    <row r="35" spans="1:3" s="610" customFormat="1" ht="25.5">
      <c r="A35" s="485" t="s">
        <v>573</v>
      </c>
      <c r="B35" s="481" t="s">
        <v>574</v>
      </c>
      <c r="C35" s="415"/>
    </row>
    <row r="36" spans="1:3" s="610" customFormat="1" ht="15" customHeight="1" thickBot="1">
      <c r="A36" s="483" t="s">
        <v>272</v>
      </c>
      <c r="B36" s="441" t="s">
        <v>273</v>
      </c>
      <c r="C36" s="416"/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6000</v>
      </c>
    </row>
    <row r="38" spans="1:3" s="610" customFormat="1" ht="15" customHeight="1">
      <c r="A38" s="607" t="s">
        <v>87</v>
      </c>
      <c r="B38" s="402" t="s">
        <v>276</v>
      </c>
      <c r="C38" s="423"/>
    </row>
    <row r="39" spans="1:3" s="610" customFormat="1" ht="15" customHeight="1">
      <c r="A39" s="609" t="s">
        <v>88</v>
      </c>
      <c r="B39" s="403" t="s">
        <v>277</v>
      </c>
      <c r="C39" s="415">
        <f>'Ö1'!I135</f>
        <v>6000</v>
      </c>
    </row>
    <row r="40" spans="1:3" s="610" customFormat="1" ht="15" customHeight="1">
      <c r="A40" s="609" t="s">
        <v>89</v>
      </c>
      <c r="B40" s="403" t="s">
        <v>278</v>
      </c>
      <c r="C40" s="415"/>
    </row>
    <row r="41" spans="1:3" s="610" customFormat="1" ht="15" customHeight="1">
      <c r="A41" s="609" t="s">
        <v>172</v>
      </c>
      <c r="B41" s="403" t="s">
        <v>279</v>
      </c>
      <c r="C41" s="415"/>
    </row>
    <row r="42" spans="1:3" s="610" customFormat="1" ht="15" customHeight="1">
      <c r="A42" s="609" t="s">
        <v>173</v>
      </c>
      <c r="B42" s="403" t="s">
        <v>280</v>
      </c>
      <c r="C42" s="415"/>
    </row>
    <row r="43" spans="1:3" s="610" customFormat="1" ht="15" customHeight="1">
      <c r="A43" s="609" t="s">
        <v>174</v>
      </c>
      <c r="B43" s="403" t="s">
        <v>281</v>
      </c>
      <c r="C43" s="415"/>
    </row>
    <row r="44" spans="1:3" s="610" customFormat="1" ht="15" customHeight="1">
      <c r="A44" s="609" t="s">
        <v>175</v>
      </c>
      <c r="B44" s="403" t="s">
        <v>282</v>
      </c>
      <c r="C44" s="415"/>
    </row>
    <row r="45" spans="1:3" s="610" customFormat="1" ht="15" customHeight="1">
      <c r="A45" s="609" t="s">
        <v>176</v>
      </c>
      <c r="B45" s="403" t="s">
        <v>283</v>
      </c>
      <c r="C45" s="415"/>
    </row>
    <row r="46" spans="1:3" s="610" customFormat="1" ht="15" customHeight="1">
      <c r="A46" s="609" t="s">
        <v>274</v>
      </c>
      <c r="B46" s="403" t="s">
        <v>284</v>
      </c>
      <c r="C46" s="613"/>
    </row>
    <row r="47" spans="1:3" s="610" customFormat="1" ht="15" customHeight="1">
      <c r="A47" s="611" t="s">
        <v>275</v>
      </c>
      <c r="B47" s="404" t="s">
        <v>437</v>
      </c>
      <c r="C47" s="614"/>
    </row>
    <row r="48" spans="1:3" s="610" customFormat="1" ht="15" customHeight="1" thickBot="1">
      <c r="A48" s="631" t="s">
        <v>436</v>
      </c>
      <c r="B48" s="646" t="s">
        <v>285</v>
      </c>
      <c r="C48" s="647"/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/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0</v>
      </c>
    </row>
    <row r="56" spans="1:3" s="610" customFormat="1" ht="15" customHeight="1">
      <c r="A56" s="607" t="s">
        <v>92</v>
      </c>
      <c r="B56" s="402" t="s">
        <v>296</v>
      </c>
      <c r="C56" s="423"/>
    </row>
    <row r="57" spans="1:3" s="610" customFormat="1" ht="15" customHeight="1">
      <c r="A57" s="609" t="s">
        <v>93</v>
      </c>
      <c r="B57" s="403" t="s">
        <v>428</v>
      </c>
      <c r="C57" s="415"/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2800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>
        <f>'Ö1'!F216+'Ö1'!F217</f>
        <v>2800</v>
      </c>
    </row>
    <row r="63" spans="1:3" s="610" customFormat="1" ht="15" customHeight="1">
      <c r="A63" s="609" t="s">
        <v>230</v>
      </c>
      <c r="B63" s="403" t="s">
        <v>304</v>
      </c>
      <c r="C63" s="613"/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8800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0</v>
      </c>
    </row>
    <row r="76" spans="1:3" s="610" customFormat="1" ht="15" customHeight="1">
      <c r="A76" s="607" t="s">
        <v>342</v>
      </c>
      <c r="B76" s="402" t="s">
        <v>320</v>
      </c>
      <c r="C76" s="613"/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/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0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8800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617</v>
      </c>
      <c r="C93" s="411">
        <f>+C94+C95+C96+C97+C98+C111</f>
        <v>156300</v>
      </c>
    </row>
    <row r="94" spans="1:3" ht="15" customHeight="1">
      <c r="A94" s="629" t="s">
        <v>94</v>
      </c>
      <c r="B94" s="412" t="s">
        <v>48</v>
      </c>
      <c r="C94" s="413">
        <f>'Ö2'!E134+'Ö2'!E138</f>
        <v>7348</v>
      </c>
    </row>
    <row r="95" spans="1:3" ht="15" customHeight="1">
      <c r="A95" s="609" t="s">
        <v>95</v>
      </c>
      <c r="B95" s="414" t="s">
        <v>180</v>
      </c>
      <c r="C95" s="415">
        <f>'Ö2'!H134</f>
        <v>2318</v>
      </c>
    </row>
    <row r="96" spans="1:3" ht="15" customHeight="1">
      <c r="A96" s="609" t="s">
        <v>96</v>
      </c>
      <c r="B96" s="414" t="s">
        <v>137</v>
      </c>
      <c r="C96" s="416">
        <f>'Ö2'!K134</f>
        <v>88494</v>
      </c>
    </row>
    <row r="97" spans="1:3" ht="15" customHeight="1">
      <c r="A97" s="609" t="s">
        <v>97</v>
      </c>
      <c r="B97" s="417" t="s">
        <v>181</v>
      </c>
      <c r="C97" s="416">
        <f>'Ö2'!N134</f>
        <v>5700</v>
      </c>
    </row>
    <row r="98" spans="1:3" ht="15" customHeight="1">
      <c r="A98" s="609" t="s">
        <v>108</v>
      </c>
      <c r="B98" s="418" t="s">
        <v>182</v>
      </c>
      <c r="C98" s="416">
        <f>'Ö2'!Q134+'Ö2'!T134</f>
        <v>52440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/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>
        <v>3440</v>
      </c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/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>
        <f>8000+55000+10000+2500-27500+1000</f>
        <v>49000</v>
      </c>
    </row>
    <row r="111" spans="1:3" ht="15" customHeight="1">
      <c r="A111" s="609" t="s">
        <v>443</v>
      </c>
      <c r="B111" s="417" t="s">
        <v>49</v>
      </c>
      <c r="C111" s="415"/>
    </row>
    <row r="112" spans="1:3" ht="15" customHeight="1">
      <c r="A112" s="611" t="s">
        <v>444</v>
      </c>
      <c r="B112" s="414" t="s">
        <v>511</v>
      </c>
      <c r="C112" s="416"/>
    </row>
    <row r="113" spans="1:3" ht="15" customHeight="1" thickBot="1">
      <c r="A113" s="631" t="s">
        <v>445</v>
      </c>
      <c r="B113" s="421" t="s">
        <v>512</v>
      </c>
      <c r="C113" s="422"/>
    </row>
    <row r="114" spans="1:3" ht="15" customHeight="1" thickBot="1">
      <c r="A114" s="409" t="s">
        <v>18</v>
      </c>
      <c r="B114" s="632" t="s">
        <v>566</v>
      </c>
      <c r="C114" s="428">
        <f>+C115+C117+C119</f>
        <v>0</v>
      </c>
    </row>
    <row r="115" spans="1:3" ht="15" customHeight="1">
      <c r="A115" s="607" t="s">
        <v>100</v>
      </c>
      <c r="B115" s="414" t="s">
        <v>228</v>
      </c>
      <c r="C115" s="423"/>
    </row>
    <row r="116" spans="1:3" ht="15" customHeight="1">
      <c r="A116" s="607" t="s">
        <v>101</v>
      </c>
      <c r="B116" s="419" t="s">
        <v>365</v>
      </c>
      <c r="C116" s="423"/>
    </row>
    <row r="117" spans="1:3" ht="15" customHeight="1">
      <c r="A117" s="607" t="s">
        <v>102</v>
      </c>
      <c r="B117" s="419" t="s">
        <v>184</v>
      </c>
      <c r="C117" s="415"/>
    </row>
    <row r="118" spans="1:3" ht="15" customHeight="1">
      <c r="A118" s="607" t="s">
        <v>103</v>
      </c>
      <c r="B118" s="419" t="s">
        <v>366</v>
      </c>
      <c r="C118" s="424"/>
    </row>
    <row r="119" spans="1:3" ht="15" customHeight="1">
      <c r="A119" s="607" t="s">
        <v>104</v>
      </c>
      <c r="B119" s="404" t="s">
        <v>231</v>
      </c>
      <c r="C119" s="424"/>
    </row>
    <row r="120" spans="1:3" ht="15" customHeight="1">
      <c r="A120" s="607" t="s">
        <v>113</v>
      </c>
      <c r="B120" s="403" t="s">
        <v>430</v>
      </c>
      <c r="C120" s="424"/>
    </row>
    <row r="121" spans="1:3" ht="15" customHeight="1">
      <c r="A121" s="607" t="s">
        <v>115</v>
      </c>
      <c r="B121" s="425" t="s">
        <v>371</v>
      </c>
      <c r="C121" s="424"/>
    </row>
    <row r="122" spans="1:3" ht="15" customHeight="1">
      <c r="A122" s="607" t="s">
        <v>185</v>
      </c>
      <c r="B122" s="414" t="s">
        <v>355</v>
      </c>
      <c r="C122" s="424"/>
    </row>
    <row r="123" spans="1:3" ht="15" customHeight="1">
      <c r="A123" s="607" t="s">
        <v>186</v>
      </c>
      <c r="B123" s="414" t="s">
        <v>370</v>
      </c>
      <c r="C123" s="424"/>
    </row>
    <row r="124" spans="1:3" ht="15" customHeight="1">
      <c r="A124" s="607" t="s">
        <v>187</v>
      </c>
      <c r="B124" s="414" t="s">
        <v>369</v>
      </c>
      <c r="C124" s="424"/>
    </row>
    <row r="125" spans="1:3" ht="15" customHeight="1">
      <c r="A125" s="607" t="s">
        <v>362</v>
      </c>
      <c r="B125" s="414" t="s">
        <v>358</v>
      </c>
      <c r="C125" s="424"/>
    </row>
    <row r="126" spans="1:3" ht="15" customHeight="1">
      <c r="A126" s="607" t="s">
        <v>363</v>
      </c>
      <c r="B126" s="414" t="s">
        <v>368</v>
      </c>
      <c r="C126" s="424"/>
    </row>
    <row r="127" spans="1:3" ht="15" customHeight="1" thickBot="1">
      <c r="A127" s="630" t="s">
        <v>364</v>
      </c>
      <c r="B127" s="414" t="s">
        <v>367</v>
      </c>
      <c r="C127" s="426"/>
    </row>
    <row r="128" spans="1:3" ht="15" customHeight="1" thickBot="1">
      <c r="A128" s="409" t="s">
        <v>19</v>
      </c>
      <c r="B128" s="427" t="s">
        <v>448</v>
      </c>
      <c r="C128" s="428">
        <f>+C93+C114</f>
        <v>156300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/>
    </row>
    <row r="143" spans="1:3" ht="15" customHeight="1">
      <c r="A143" s="607" t="s">
        <v>287</v>
      </c>
      <c r="B143" s="425" t="s">
        <v>536</v>
      </c>
      <c r="C143" s="424"/>
    </row>
    <row r="144" spans="1:3" s="628" customFormat="1" ht="15" customHeight="1">
      <c r="A144" s="607" t="s">
        <v>288</v>
      </c>
      <c r="B144" s="425" t="s">
        <v>464</v>
      </c>
      <c r="C144" s="424"/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156300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zoomScale="130" zoomScaleNormal="130" zoomScaleSheetLayoutView="85" zoomScalePageLayoutView="0" workbookViewId="0" topLeftCell="A1">
      <selection activeCell="A1" sqref="A1"/>
    </sheetView>
  </sheetViews>
  <sheetFormatPr defaultColWidth="9.375" defaultRowHeight="12.75"/>
  <cols>
    <col min="1" max="1" width="20.125" style="641" customWidth="1"/>
    <col min="2" max="2" width="72.00390625" style="642" customWidth="1"/>
    <col min="3" max="3" width="25.00390625" style="643" customWidth="1"/>
    <col min="4" max="16384" width="9.375" style="599" customWidth="1"/>
  </cols>
  <sheetData>
    <row r="1" spans="1:3" s="592" customFormat="1" ht="16.5" customHeight="1" thickBot="1">
      <c r="A1" s="590"/>
      <c r="B1" s="591"/>
      <c r="C1" s="570" t="s">
        <v>622</v>
      </c>
    </row>
    <row r="2" spans="1:3" s="593" customFormat="1" ht="21" customHeight="1">
      <c r="A2" s="571" t="s">
        <v>62</v>
      </c>
      <c r="B2" s="572" t="s">
        <v>576</v>
      </c>
      <c r="C2" s="644" t="s">
        <v>53</v>
      </c>
    </row>
    <row r="3" spans="1:3" s="593" customFormat="1" ht="16.5" thickBot="1">
      <c r="A3" s="573" t="s">
        <v>200</v>
      </c>
      <c r="B3" s="574" t="s">
        <v>623</v>
      </c>
      <c r="C3" s="645" t="s">
        <v>431</v>
      </c>
    </row>
    <row r="4" spans="1:3" s="596" customFormat="1" ht="15.75" customHeight="1" thickBot="1">
      <c r="A4" s="594"/>
      <c r="B4" s="594"/>
      <c r="C4" s="595" t="s">
        <v>54</v>
      </c>
    </row>
    <row r="5" spans="1:3" ht="13.5" thickBot="1">
      <c r="A5" s="597" t="s">
        <v>202</v>
      </c>
      <c r="B5" s="598" t="s">
        <v>55</v>
      </c>
      <c r="C5" s="789" t="s">
        <v>610</v>
      </c>
    </row>
    <row r="6" spans="1:3" s="603" customFormat="1" ht="12.75" customHeight="1" thickBot="1">
      <c r="A6" s="600" t="s">
        <v>492</v>
      </c>
      <c r="B6" s="601" t="s">
        <v>493</v>
      </c>
      <c r="C6" s="602" t="s">
        <v>494</v>
      </c>
    </row>
    <row r="7" spans="1:3" s="603" customFormat="1" ht="15.75" customHeight="1" thickBot="1">
      <c r="A7" s="604"/>
      <c r="B7" s="605" t="s">
        <v>56</v>
      </c>
      <c r="C7" s="606"/>
    </row>
    <row r="8" spans="1:3" s="603" customFormat="1" ht="15" customHeight="1" thickBot="1">
      <c r="A8" s="409" t="s">
        <v>17</v>
      </c>
      <c r="B8" s="401" t="s">
        <v>253</v>
      </c>
      <c r="C8" s="428">
        <f>+C9+C10+C11+C12+C13+C14</f>
        <v>0</v>
      </c>
    </row>
    <row r="9" spans="1:3" s="608" customFormat="1" ht="15" customHeight="1">
      <c r="A9" s="607" t="s">
        <v>94</v>
      </c>
      <c r="B9" s="402" t="s">
        <v>254</v>
      </c>
      <c r="C9" s="423"/>
    </row>
    <row r="10" spans="1:3" s="610" customFormat="1" ht="15" customHeight="1">
      <c r="A10" s="609" t="s">
        <v>95</v>
      </c>
      <c r="B10" s="403" t="s">
        <v>255</v>
      </c>
      <c r="C10" s="415"/>
    </row>
    <row r="11" spans="1:3" s="610" customFormat="1" ht="15" customHeight="1">
      <c r="A11" s="609" t="s">
        <v>96</v>
      </c>
      <c r="B11" s="403" t="s">
        <v>256</v>
      </c>
      <c r="C11" s="415"/>
    </row>
    <row r="12" spans="1:3" s="610" customFormat="1" ht="15" customHeight="1">
      <c r="A12" s="609" t="s">
        <v>97</v>
      </c>
      <c r="B12" s="403" t="s">
        <v>257</v>
      </c>
      <c r="C12" s="415"/>
    </row>
    <row r="13" spans="1:3" s="610" customFormat="1" ht="15" customHeight="1">
      <c r="A13" s="609" t="s">
        <v>145</v>
      </c>
      <c r="B13" s="403" t="s">
        <v>505</v>
      </c>
      <c r="C13" s="415"/>
    </row>
    <row r="14" spans="1:3" s="608" customFormat="1" ht="15" customHeight="1" thickBot="1">
      <c r="A14" s="611" t="s">
        <v>98</v>
      </c>
      <c r="B14" s="404" t="s">
        <v>434</v>
      </c>
      <c r="C14" s="415"/>
    </row>
    <row r="15" spans="1:3" s="608" customFormat="1" ht="15" customHeight="1" thickBot="1">
      <c r="A15" s="409" t="s">
        <v>18</v>
      </c>
      <c r="B15" s="405" t="s">
        <v>258</v>
      </c>
      <c r="C15" s="428">
        <f>+C16+C17+C18+C19+C20</f>
        <v>0</v>
      </c>
    </row>
    <row r="16" spans="1:3" s="608" customFormat="1" ht="15" customHeight="1">
      <c r="A16" s="607" t="s">
        <v>100</v>
      </c>
      <c r="B16" s="402" t="s">
        <v>259</v>
      </c>
      <c r="C16" s="423"/>
    </row>
    <row r="17" spans="1:3" s="608" customFormat="1" ht="15" customHeight="1">
      <c r="A17" s="609" t="s">
        <v>101</v>
      </c>
      <c r="B17" s="403" t="s">
        <v>260</v>
      </c>
      <c r="C17" s="415"/>
    </row>
    <row r="18" spans="1:3" s="608" customFormat="1" ht="15" customHeight="1">
      <c r="A18" s="609" t="s">
        <v>102</v>
      </c>
      <c r="B18" s="403" t="s">
        <v>424</v>
      </c>
      <c r="C18" s="415"/>
    </row>
    <row r="19" spans="1:3" s="608" customFormat="1" ht="15" customHeight="1">
      <c r="A19" s="609" t="s">
        <v>103</v>
      </c>
      <c r="B19" s="403" t="s">
        <v>425</v>
      </c>
      <c r="C19" s="415"/>
    </row>
    <row r="20" spans="1:3" s="608" customFormat="1" ht="15" customHeight="1">
      <c r="A20" s="609" t="s">
        <v>104</v>
      </c>
      <c r="B20" s="403" t="s">
        <v>261</v>
      </c>
      <c r="C20" s="415"/>
    </row>
    <row r="21" spans="1:3" s="610" customFormat="1" ht="15" customHeight="1" thickBot="1">
      <c r="A21" s="611" t="s">
        <v>113</v>
      </c>
      <c r="B21" s="404" t="s">
        <v>262</v>
      </c>
      <c r="C21" s="416"/>
    </row>
    <row r="22" spans="1:3" s="610" customFormat="1" ht="15" customHeight="1" thickBot="1">
      <c r="A22" s="409" t="s">
        <v>19</v>
      </c>
      <c r="B22" s="401" t="s">
        <v>263</v>
      </c>
      <c r="C22" s="428">
        <f>+C23+C24+C25+C26+C27</f>
        <v>0</v>
      </c>
    </row>
    <row r="23" spans="1:3" s="610" customFormat="1" ht="15" customHeight="1">
      <c r="A23" s="607" t="s">
        <v>83</v>
      </c>
      <c r="B23" s="402" t="s">
        <v>264</v>
      </c>
      <c r="C23" s="423"/>
    </row>
    <row r="24" spans="1:3" s="608" customFormat="1" ht="15" customHeight="1">
      <c r="A24" s="609" t="s">
        <v>84</v>
      </c>
      <c r="B24" s="403" t="s">
        <v>265</v>
      </c>
      <c r="C24" s="415"/>
    </row>
    <row r="25" spans="1:3" s="610" customFormat="1" ht="15" customHeight="1">
      <c r="A25" s="609" t="s">
        <v>85</v>
      </c>
      <c r="B25" s="403" t="s">
        <v>426</v>
      </c>
      <c r="C25" s="415"/>
    </row>
    <row r="26" spans="1:3" s="610" customFormat="1" ht="15" customHeight="1">
      <c r="A26" s="609" t="s">
        <v>86</v>
      </c>
      <c r="B26" s="403" t="s">
        <v>427</v>
      </c>
      <c r="C26" s="415"/>
    </row>
    <row r="27" spans="1:3" s="610" customFormat="1" ht="15" customHeight="1">
      <c r="A27" s="609" t="s">
        <v>168</v>
      </c>
      <c r="B27" s="403" t="s">
        <v>266</v>
      </c>
      <c r="C27" s="415"/>
    </row>
    <row r="28" spans="1:3" s="610" customFormat="1" ht="15" customHeight="1" thickBot="1">
      <c r="A28" s="611" t="s">
        <v>169</v>
      </c>
      <c r="B28" s="404" t="s">
        <v>267</v>
      </c>
      <c r="C28" s="416"/>
    </row>
    <row r="29" spans="1:3" s="610" customFormat="1" ht="15" customHeight="1" thickBot="1">
      <c r="A29" s="390" t="s">
        <v>170</v>
      </c>
      <c r="B29" s="436" t="s">
        <v>268</v>
      </c>
      <c r="C29" s="429">
        <f>+C30+C31+C32+C36</f>
        <v>0</v>
      </c>
    </row>
    <row r="30" spans="1:3" s="610" customFormat="1" ht="15" customHeight="1">
      <c r="A30" s="482" t="s">
        <v>269</v>
      </c>
      <c r="B30" s="439" t="s">
        <v>567</v>
      </c>
      <c r="C30" s="612">
        <f>+C31+C32+C33</f>
        <v>0</v>
      </c>
    </row>
    <row r="31" spans="1:3" s="610" customFormat="1" ht="15" customHeight="1">
      <c r="A31" s="483" t="s">
        <v>270</v>
      </c>
      <c r="B31" s="441" t="s">
        <v>575</v>
      </c>
      <c r="C31" s="415"/>
    </row>
    <row r="32" spans="1:3" s="610" customFormat="1" ht="15" customHeight="1">
      <c r="A32" s="483" t="s">
        <v>271</v>
      </c>
      <c r="B32" s="441" t="s">
        <v>568</v>
      </c>
      <c r="C32" s="415">
        <f>SUM(C33:C35)</f>
        <v>0</v>
      </c>
    </row>
    <row r="33" spans="1:3" s="610" customFormat="1" ht="15" customHeight="1">
      <c r="A33" s="485" t="s">
        <v>569</v>
      </c>
      <c r="B33" s="481" t="s">
        <v>570</v>
      </c>
      <c r="C33" s="415"/>
    </row>
    <row r="34" spans="1:3" s="610" customFormat="1" ht="15" customHeight="1">
      <c r="A34" s="485" t="s">
        <v>571</v>
      </c>
      <c r="B34" s="481" t="s">
        <v>572</v>
      </c>
      <c r="C34" s="415"/>
    </row>
    <row r="35" spans="1:3" s="610" customFormat="1" ht="25.5">
      <c r="A35" s="485" t="s">
        <v>573</v>
      </c>
      <c r="B35" s="481" t="s">
        <v>574</v>
      </c>
      <c r="C35" s="415"/>
    </row>
    <row r="36" spans="1:3" s="610" customFormat="1" ht="15" customHeight="1" thickBot="1">
      <c r="A36" s="483" t="s">
        <v>272</v>
      </c>
      <c r="B36" s="441" t="s">
        <v>273</v>
      </c>
      <c r="C36" s="416"/>
    </row>
    <row r="37" spans="1:3" s="610" customFormat="1" ht="15" customHeight="1" thickBot="1">
      <c r="A37" s="409" t="s">
        <v>21</v>
      </c>
      <c r="B37" s="401" t="s">
        <v>435</v>
      </c>
      <c r="C37" s="428">
        <f>SUM(C38:C48)</f>
        <v>0</v>
      </c>
    </row>
    <row r="38" spans="1:3" s="610" customFormat="1" ht="15" customHeight="1">
      <c r="A38" s="607" t="s">
        <v>87</v>
      </c>
      <c r="B38" s="402" t="s">
        <v>276</v>
      </c>
      <c r="C38" s="423"/>
    </row>
    <row r="39" spans="1:3" s="610" customFormat="1" ht="15" customHeight="1">
      <c r="A39" s="609" t="s">
        <v>88</v>
      </c>
      <c r="B39" s="403" t="s">
        <v>277</v>
      </c>
      <c r="C39" s="415"/>
    </row>
    <row r="40" spans="1:3" s="610" customFormat="1" ht="15" customHeight="1">
      <c r="A40" s="609" t="s">
        <v>89</v>
      </c>
      <c r="B40" s="403" t="s">
        <v>278</v>
      </c>
      <c r="C40" s="415"/>
    </row>
    <row r="41" spans="1:3" s="610" customFormat="1" ht="15" customHeight="1">
      <c r="A41" s="609" t="s">
        <v>172</v>
      </c>
      <c r="B41" s="403" t="s">
        <v>279</v>
      </c>
      <c r="C41" s="415"/>
    </row>
    <row r="42" spans="1:3" s="610" customFormat="1" ht="15" customHeight="1">
      <c r="A42" s="609" t="s">
        <v>173</v>
      </c>
      <c r="B42" s="403" t="s">
        <v>280</v>
      </c>
      <c r="C42" s="415"/>
    </row>
    <row r="43" spans="1:3" s="610" customFormat="1" ht="15" customHeight="1">
      <c r="A43" s="609" t="s">
        <v>174</v>
      </c>
      <c r="B43" s="403" t="s">
        <v>281</v>
      </c>
      <c r="C43" s="415"/>
    </row>
    <row r="44" spans="1:3" s="610" customFormat="1" ht="15" customHeight="1">
      <c r="A44" s="609" t="s">
        <v>175</v>
      </c>
      <c r="B44" s="403" t="s">
        <v>282</v>
      </c>
      <c r="C44" s="415"/>
    </row>
    <row r="45" spans="1:3" s="610" customFormat="1" ht="15" customHeight="1">
      <c r="A45" s="609" t="s">
        <v>176</v>
      </c>
      <c r="B45" s="403" t="s">
        <v>283</v>
      </c>
      <c r="C45" s="415"/>
    </row>
    <row r="46" spans="1:3" s="610" customFormat="1" ht="15" customHeight="1">
      <c r="A46" s="609" t="s">
        <v>274</v>
      </c>
      <c r="B46" s="403" t="s">
        <v>284</v>
      </c>
      <c r="C46" s="613"/>
    </row>
    <row r="47" spans="1:3" s="610" customFormat="1" ht="15" customHeight="1">
      <c r="A47" s="611" t="s">
        <v>275</v>
      </c>
      <c r="B47" s="404" t="s">
        <v>437</v>
      </c>
      <c r="C47" s="614"/>
    </row>
    <row r="48" spans="1:3" s="610" customFormat="1" ht="15" customHeight="1" thickBot="1">
      <c r="A48" s="631" t="s">
        <v>436</v>
      </c>
      <c r="B48" s="646" t="s">
        <v>285</v>
      </c>
      <c r="C48" s="647"/>
    </row>
    <row r="49" spans="1:3" s="610" customFormat="1" ht="15" customHeight="1" thickBot="1">
      <c r="A49" s="409" t="s">
        <v>22</v>
      </c>
      <c r="B49" s="401" t="s">
        <v>286</v>
      </c>
      <c r="C49" s="428">
        <f>SUM(C50:C54)</f>
        <v>0</v>
      </c>
    </row>
    <row r="50" spans="1:3" s="610" customFormat="1" ht="15" customHeight="1">
      <c r="A50" s="607" t="s">
        <v>90</v>
      </c>
      <c r="B50" s="402" t="s">
        <v>290</v>
      </c>
      <c r="C50" s="615"/>
    </row>
    <row r="51" spans="1:3" s="610" customFormat="1" ht="15" customHeight="1">
      <c r="A51" s="609" t="s">
        <v>91</v>
      </c>
      <c r="B51" s="403" t="s">
        <v>291</v>
      </c>
      <c r="C51" s="613"/>
    </row>
    <row r="52" spans="1:3" s="610" customFormat="1" ht="15" customHeight="1">
      <c r="A52" s="609" t="s">
        <v>287</v>
      </c>
      <c r="B52" s="403" t="s">
        <v>292</v>
      </c>
      <c r="C52" s="613"/>
    </row>
    <row r="53" spans="1:3" s="610" customFormat="1" ht="15" customHeight="1">
      <c r="A53" s="609" t="s">
        <v>288</v>
      </c>
      <c r="B53" s="403" t="s">
        <v>293</v>
      </c>
      <c r="C53" s="613"/>
    </row>
    <row r="54" spans="1:3" s="610" customFormat="1" ht="15" customHeight="1" thickBot="1">
      <c r="A54" s="611" t="s">
        <v>289</v>
      </c>
      <c r="B54" s="404" t="s">
        <v>294</v>
      </c>
      <c r="C54" s="614"/>
    </row>
    <row r="55" spans="1:3" s="610" customFormat="1" ht="15" customHeight="1" thickBot="1">
      <c r="A55" s="409" t="s">
        <v>177</v>
      </c>
      <c r="B55" s="401" t="s">
        <v>295</v>
      </c>
      <c r="C55" s="428">
        <f>SUM(C56:C58)</f>
        <v>0</v>
      </c>
    </row>
    <row r="56" spans="1:3" s="610" customFormat="1" ht="15" customHeight="1">
      <c r="A56" s="607" t="s">
        <v>92</v>
      </c>
      <c r="B56" s="402" t="s">
        <v>296</v>
      </c>
      <c r="C56" s="423"/>
    </row>
    <row r="57" spans="1:3" s="610" customFormat="1" ht="15" customHeight="1">
      <c r="A57" s="609" t="s">
        <v>93</v>
      </c>
      <c r="B57" s="403" t="s">
        <v>428</v>
      </c>
      <c r="C57" s="415"/>
    </row>
    <row r="58" spans="1:3" s="610" customFormat="1" ht="15" customHeight="1">
      <c r="A58" s="609" t="s">
        <v>299</v>
      </c>
      <c r="B58" s="403" t="s">
        <v>297</v>
      </c>
      <c r="C58" s="415"/>
    </row>
    <row r="59" spans="1:3" s="610" customFormat="1" ht="15" customHeight="1" thickBot="1">
      <c r="A59" s="611" t="s">
        <v>300</v>
      </c>
      <c r="B59" s="404" t="s">
        <v>298</v>
      </c>
      <c r="C59" s="416"/>
    </row>
    <row r="60" spans="1:3" s="610" customFormat="1" ht="15" customHeight="1" thickBot="1">
      <c r="A60" s="409" t="s">
        <v>24</v>
      </c>
      <c r="B60" s="405" t="s">
        <v>301</v>
      </c>
      <c r="C60" s="428">
        <f>SUM(C61:C63)</f>
        <v>0</v>
      </c>
    </row>
    <row r="61" spans="1:3" s="610" customFormat="1" ht="15" customHeight="1">
      <c r="A61" s="607" t="s">
        <v>178</v>
      </c>
      <c r="B61" s="402" t="s">
        <v>303</v>
      </c>
      <c r="C61" s="613"/>
    </row>
    <row r="62" spans="1:3" s="610" customFormat="1" ht="15" customHeight="1">
      <c r="A62" s="609" t="s">
        <v>179</v>
      </c>
      <c r="B62" s="403" t="s">
        <v>429</v>
      </c>
      <c r="C62" s="613"/>
    </row>
    <row r="63" spans="1:3" s="610" customFormat="1" ht="15" customHeight="1">
      <c r="A63" s="609" t="s">
        <v>230</v>
      </c>
      <c r="B63" s="403" t="s">
        <v>304</v>
      </c>
      <c r="C63" s="613"/>
    </row>
    <row r="64" spans="1:3" s="610" customFormat="1" ht="15" customHeight="1" thickBot="1">
      <c r="A64" s="611" t="s">
        <v>302</v>
      </c>
      <c r="B64" s="404" t="s">
        <v>305</v>
      </c>
      <c r="C64" s="613"/>
    </row>
    <row r="65" spans="1:3" s="610" customFormat="1" ht="15" customHeight="1" thickBot="1">
      <c r="A65" s="409" t="s">
        <v>25</v>
      </c>
      <c r="B65" s="401" t="s">
        <v>306</v>
      </c>
      <c r="C65" s="429">
        <f>+C8+C15+C22+C29+C37+C49+C55+C60</f>
        <v>0</v>
      </c>
    </row>
    <row r="66" spans="1:3" s="610" customFormat="1" ht="15" customHeight="1" thickBot="1">
      <c r="A66" s="616" t="s">
        <v>396</v>
      </c>
      <c r="B66" s="405" t="s">
        <v>308</v>
      </c>
      <c r="C66" s="428">
        <f>SUM(C67:C69)</f>
        <v>0</v>
      </c>
    </row>
    <row r="67" spans="1:3" s="610" customFormat="1" ht="15" customHeight="1">
      <c r="A67" s="607" t="s">
        <v>339</v>
      </c>
      <c r="B67" s="402" t="s">
        <v>309</v>
      </c>
      <c r="C67" s="613"/>
    </row>
    <row r="68" spans="1:3" s="610" customFormat="1" ht="15" customHeight="1">
      <c r="A68" s="609" t="s">
        <v>348</v>
      </c>
      <c r="B68" s="403" t="s">
        <v>310</v>
      </c>
      <c r="C68" s="613"/>
    </row>
    <row r="69" spans="1:3" s="610" customFormat="1" ht="15" customHeight="1" thickBot="1">
      <c r="A69" s="611" t="s">
        <v>349</v>
      </c>
      <c r="B69" s="406" t="s">
        <v>311</v>
      </c>
      <c r="C69" s="613"/>
    </row>
    <row r="70" spans="1:3" s="610" customFormat="1" ht="15" customHeight="1" thickBot="1">
      <c r="A70" s="616" t="s">
        <v>312</v>
      </c>
      <c r="B70" s="405" t="s">
        <v>313</v>
      </c>
      <c r="C70" s="428">
        <f>SUM(C71:C74)</f>
        <v>0</v>
      </c>
    </row>
    <row r="71" spans="1:3" s="610" customFormat="1" ht="15" customHeight="1">
      <c r="A71" s="607" t="s">
        <v>146</v>
      </c>
      <c r="B71" s="402" t="s">
        <v>314</v>
      </c>
      <c r="C71" s="613"/>
    </row>
    <row r="72" spans="1:3" s="610" customFormat="1" ht="15" customHeight="1">
      <c r="A72" s="609" t="s">
        <v>147</v>
      </c>
      <c r="B72" s="403" t="s">
        <v>315</v>
      </c>
      <c r="C72" s="613"/>
    </row>
    <row r="73" spans="1:3" s="610" customFormat="1" ht="15" customHeight="1">
      <c r="A73" s="609" t="s">
        <v>340</v>
      </c>
      <c r="B73" s="403" t="s">
        <v>316</v>
      </c>
      <c r="C73" s="613"/>
    </row>
    <row r="74" spans="1:3" s="610" customFormat="1" ht="15" customHeight="1" thickBot="1">
      <c r="A74" s="611" t="s">
        <v>341</v>
      </c>
      <c r="B74" s="404" t="s">
        <v>317</v>
      </c>
      <c r="C74" s="613"/>
    </row>
    <row r="75" spans="1:3" s="610" customFormat="1" ht="15" customHeight="1" thickBot="1">
      <c r="A75" s="616" t="s">
        <v>318</v>
      </c>
      <c r="B75" s="405" t="s">
        <v>319</v>
      </c>
      <c r="C75" s="428">
        <f>SUM(C76:C77)</f>
        <v>0</v>
      </c>
    </row>
    <row r="76" spans="1:3" s="610" customFormat="1" ht="15" customHeight="1">
      <c r="A76" s="607" t="s">
        <v>342</v>
      </c>
      <c r="B76" s="402" t="s">
        <v>320</v>
      </c>
      <c r="C76" s="613"/>
    </row>
    <row r="77" spans="1:3" s="610" customFormat="1" ht="15" customHeight="1" thickBot="1">
      <c r="A77" s="611" t="s">
        <v>343</v>
      </c>
      <c r="B77" s="404" t="s">
        <v>321</v>
      </c>
      <c r="C77" s="613"/>
    </row>
    <row r="78" spans="1:3" s="608" customFormat="1" ht="15" customHeight="1" thickBot="1">
      <c r="A78" s="616" t="s">
        <v>322</v>
      </c>
      <c r="B78" s="405" t="s">
        <v>323</v>
      </c>
      <c r="C78" s="428">
        <f>SUM(C79:C81)</f>
        <v>0</v>
      </c>
    </row>
    <row r="79" spans="1:3" s="610" customFormat="1" ht="15" customHeight="1">
      <c r="A79" s="607" t="s">
        <v>344</v>
      </c>
      <c r="B79" s="402" t="s">
        <v>324</v>
      </c>
      <c r="C79" s="613"/>
    </row>
    <row r="80" spans="1:3" s="610" customFormat="1" ht="15" customHeight="1">
      <c r="A80" s="609" t="s">
        <v>345</v>
      </c>
      <c r="B80" s="403" t="s">
        <v>325</v>
      </c>
      <c r="C80" s="613"/>
    </row>
    <row r="81" spans="1:3" s="610" customFormat="1" ht="15" customHeight="1" thickBot="1">
      <c r="A81" s="611" t="s">
        <v>346</v>
      </c>
      <c r="B81" s="404" t="s">
        <v>326</v>
      </c>
      <c r="C81" s="613"/>
    </row>
    <row r="82" spans="1:3" s="610" customFormat="1" ht="15" customHeight="1" thickBot="1">
      <c r="A82" s="616" t="s">
        <v>327</v>
      </c>
      <c r="B82" s="405" t="s">
        <v>347</v>
      </c>
      <c r="C82" s="428">
        <f>SUM(C83:C86)</f>
        <v>0</v>
      </c>
    </row>
    <row r="83" spans="1:3" s="610" customFormat="1" ht="15" customHeight="1">
      <c r="A83" s="617" t="s">
        <v>328</v>
      </c>
      <c r="B83" s="402" t="s">
        <v>329</v>
      </c>
      <c r="C83" s="613"/>
    </row>
    <row r="84" spans="1:3" s="610" customFormat="1" ht="15" customHeight="1">
      <c r="A84" s="618" t="s">
        <v>330</v>
      </c>
      <c r="B84" s="403" t="s">
        <v>331</v>
      </c>
      <c r="C84" s="613"/>
    </row>
    <row r="85" spans="1:3" s="610" customFormat="1" ht="15" customHeight="1">
      <c r="A85" s="618" t="s">
        <v>332</v>
      </c>
      <c r="B85" s="403" t="s">
        <v>333</v>
      </c>
      <c r="C85" s="613"/>
    </row>
    <row r="86" spans="1:3" s="608" customFormat="1" ht="15" customHeight="1" thickBot="1">
      <c r="A86" s="619" t="s">
        <v>334</v>
      </c>
      <c r="B86" s="404" t="s">
        <v>335</v>
      </c>
      <c r="C86" s="613"/>
    </row>
    <row r="87" spans="1:3" s="608" customFormat="1" ht="15" customHeight="1" thickBot="1">
      <c r="A87" s="616" t="s">
        <v>336</v>
      </c>
      <c r="B87" s="405" t="s">
        <v>475</v>
      </c>
      <c r="C87" s="620"/>
    </row>
    <row r="88" spans="1:3" s="608" customFormat="1" ht="15" customHeight="1" thickBot="1">
      <c r="A88" s="616" t="s">
        <v>506</v>
      </c>
      <c r="B88" s="405" t="s">
        <v>337</v>
      </c>
      <c r="C88" s="620"/>
    </row>
    <row r="89" spans="1:3" s="608" customFormat="1" ht="15" customHeight="1" thickBot="1">
      <c r="A89" s="616" t="s">
        <v>507</v>
      </c>
      <c r="B89" s="407" t="s">
        <v>478</v>
      </c>
      <c r="C89" s="429">
        <f>+C66+C70+C75+C78+C82+C88+C87</f>
        <v>0</v>
      </c>
    </row>
    <row r="90" spans="1:3" s="608" customFormat="1" ht="15" customHeight="1" thickBot="1">
      <c r="A90" s="621" t="s">
        <v>508</v>
      </c>
      <c r="B90" s="408" t="s">
        <v>509</v>
      </c>
      <c r="C90" s="429">
        <f>+C65+C89</f>
        <v>0</v>
      </c>
    </row>
    <row r="91" spans="1:3" s="610" customFormat="1" ht="15" customHeight="1" thickBot="1">
      <c r="A91" s="622"/>
      <c r="B91" s="623"/>
      <c r="C91" s="624"/>
    </row>
    <row r="92" spans="1:3" s="603" customFormat="1" ht="15" customHeight="1" thickBot="1">
      <c r="A92" s="597"/>
      <c r="B92" s="625" t="s">
        <v>57</v>
      </c>
      <c r="C92" s="626"/>
    </row>
    <row r="93" spans="1:3" s="628" customFormat="1" ht="15" customHeight="1" thickBot="1">
      <c r="A93" s="627" t="s">
        <v>17</v>
      </c>
      <c r="B93" s="410" t="s">
        <v>617</v>
      </c>
      <c r="C93" s="411">
        <f>+C94+C95+C96+C97+C98+C111</f>
        <v>1699</v>
      </c>
    </row>
    <row r="94" spans="1:3" ht="15" customHeight="1">
      <c r="A94" s="629" t="s">
        <v>94</v>
      </c>
      <c r="B94" s="412" t="s">
        <v>48</v>
      </c>
      <c r="C94" s="413">
        <f>'Ö2'!E135</f>
        <v>0</v>
      </c>
    </row>
    <row r="95" spans="1:3" ht="15" customHeight="1">
      <c r="A95" s="609" t="s">
        <v>95</v>
      </c>
      <c r="B95" s="414" t="s">
        <v>180</v>
      </c>
      <c r="C95" s="415">
        <f>'Ö2'!H135</f>
        <v>0</v>
      </c>
    </row>
    <row r="96" spans="1:3" ht="15" customHeight="1">
      <c r="A96" s="609" t="s">
        <v>96</v>
      </c>
      <c r="B96" s="414" t="s">
        <v>137</v>
      </c>
      <c r="C96" s="416">
        <f>'Ö2'!K135+'Ö3'!E93</f>
        <v>1699</v>
      </c>
    </row>
    <row r="97" spans="1:3" ht="15" customHeight="1">
      <c r="A97" s="609" t="s">
        <v>97</v>
      </c>
      <c r="B97" s="417" t="s">
        <v>181</v>
      </c>
      <c r="C97" s="416">
        <f>'Ö2'!N135</f>
        <v>0</v>
      </c>
    </row>
    <row r="98" spans="1:3" ht="15" customHeight="1">
      <c r="A98" s="609" t="s">
        <v>108</v>
      </c>
      <c r="B98" s="418" t="s">
        <v>182</v>
      </c>
      <c r="C98" s="416">
        <f>'Ö2'!Q135+'Ö2'!T135</f>
        <v>0</v>
      </c>
    </row>
    <row r="99" spans="1:3" ht="15" customHeight="1">
      <c r="A99" s="609" t="s">
        <v>98</v>
      </c>
      <c r="B99" s="414" t="s">
        <v>510</v>
      </c>
      <c r="C99" s="416"/>
    </row>
    <row r="100" spans="1:3" ht="15" customHeight="1">
      <c r="A100" s="609" t="s">
        <v>99</v>
      </c>
      <c r="B100" s="420" t="s">
        <v>441</v>
      </c>
      <c r="C100" s="416"/>
    </row>
    <row r="101" spans="1:3" ht="15" customHeight="1">
      <c r="A101" s="609" t="s">
        <v>109</v>
      </c>
      <c r="B101" s="420" t="s">
        <v>440</v>
      </c>
      <c r="C101" s="416"/>
    </row>
    <row r="102" spans="1:3" ht="15" customHeight="1">
      <c r="A102" s="609" t="s">
        <v>110</v>
      </c>
      <c r="B102" s="420" t="s">
        <v>353</v>
      </c>
      <c r="C102" s="416"/>
    </row>
    <row r="103" spans="1:3" ht="15" customHeight="1">
      <c r="A103" s="609" t="s">
        <v>111</v>
      </c>
      <c r="B103" s="414" t="s">
        <v>354</v>
      </c>
      <c r="C103" s="416"/>
    </row>
    <row r="104" spans="1:3" ht="15" customHeight="1">
      <c r="A104" s="609" t="s">
        <v>112</v>
      </c>
      <c r="B104" s="414" t="s">
        <v>355</v>
      </c>
      <c r="C104" s="416"/>
    </row>
    <row r="105" spans="1:3" ht="15" customHeight="1">
      <c r="A105" s="609" t="s">
        <v>114</v>
      </c>
      <c r="B105" s="420" t="s">
        <v>356</v>
      </c>
      <c r="C105" s="416"/>
    </row>
    <row r="106" spans="1:3" ht="15" customHeight="1">
      <c r="A106" s="609" t="s">
        <v>183</v>
      </c>
      <c r="B106" s="420" t="s">
        <v>357</v>
      </c>
      <c r="C106" s="416"/>
    </row>
    <row r="107" spans="1:3" ht="15" customHeight="1">
      <c r="A107" s="609" t="s">
        <v>351</v>
      </c>
      <c r="B107" s="414" t="s">
        <v>358</v>
      </c>
      <c r="C107" s="416"/>
    </row>
    <row r="108" spans="1:3" ht="15" customHeight="1">
      <c r="A108" s="630" t="s">
        <v>352</v>
      </c>
      <c r="B108" s="419" t="s">
        <v>359</v>
      </c>
      <c r="C108" s="416"/>
    </row>
    <row r="109" spans="1:3" ht="15" customHeight="1">
      <c r="A109" s="609" t="s">
        <v>438</v>
      </c>
      <c r="B109" s="419" t="s">
        <v>360</v>
      </c>
      <c r="C109" s="416"/>
    </row>
    <row r="110" spans="1:3" ht="15" customHeight="1">
      <c r="A110" s="609" t="s">
        <v>439</v>
      </c>
      <c r="B110" s="414" t="s">
        <v>361</v>
      </c>
      <c r="C110" s="415"/>
    </row>
    <row r="111" spans="1:3" ht="15" customHeight="1">
      <c r="A111" s="609" t="s">
        <v>443</v>
      </c>
      <c r="B111" s="417" t="s">
        <v>49</v>
      </c>
      <c r="C111" s="415"/>
    </row>
    <row r="112" spans="1:3" ht="15" customHeight="1">
      <c r="A112" s="611" t="s">
        <v>444</v>
      </c>
      <c r="B112" s="414" t="s">
        <v>511</v>
      </c>
      <c r="C112" s="416"/>
    </row>
    <row r="113" spans="1:3" ht="15" customHeight="1" thickBot="1">
      <c r="A113" s="631" t="s">
        <v>445</v>
      </c>
      <c r="B113" s="421" t="s">
        <v>512</v>
      </c>
      <c r="C113" s="422"/>
    </row>
    <row r="114" spans="1:3" ht="15" customHeight="1" thickBot="1">
      <c r="A114" s="409" t="s">
        <v>18</v>
      </c>
      <c r="B114" s="632" t="s">
        <v>566</v>
      </c>
      <c r="C114" s="428">
        <f>+C115+C117+C119</f>
        <v>3679</v>
      </c>
    </row>
    <row r="115" spans="1:3" ht="15" customHeight="1">
      <c r="A115" s="607" t="s">
        <v>100</v>
      </c>
      <c r="B115" s="414" t="s">
        <v>228</v>
      </c>
      <c r="C115" s="423">
        <f>'Ö3'!D93</f>
        <v>3679</v>
      </c>
    </row>
    <row r="116" spans="1:3" ht="15" customHeight="1">
      <c r="A116" s="607" t="s">
        <v>101</v>
      </c>
      <c r="B116" s="419" t="s">
        <v>365</v>
      </c>
      <c r="C116" s="423"/>
    </row>
    <row r="117" spans="1:3" ht="15" customHeight="1">
      <c r="A117" s="607" t="s">
        <v>102</v>
      </c>
      <c r="B117" s="419" t="s">
        <v>184</v>
      </c>
      <c r="C117" s="415"/>
    </row>
    <row r="118" spans="1:3" ht="15" customHeight="1">
      <c r="A118" s="607" t="s">
        <v>103</v>
      </c>
      <c r="B118" s="419" t="s">
        <v>366</v>
      </c>
      <c r="C118" s="424"/>
    </row>
    <row r="119" spans="1:3" ht="15" customHeight="1">
      <c r="A119" s="607" t="s">
        <v>104</v>
      </c>
      <c r="B119" s="404" t="s">
        <v>231</v>
      </c>
      <c r="C119" s="424"/>
    </row>
    <row r="120" spans="1:3" ht="15" customHeight="1">
      <c r="A120" s="607" t="s">
        <v>113</v>
      </c>
      <c r="B120" s="403" t="s">
        <v>430</v>
      </c>
      <c r="C120" s="424"/>
    </row>
    <row r="121" spans="1:3" ht="15" customHeight="1">
      <c r="A121" s="607" t="s">
        <v>115</v>
      </c>
      <c r="B121" s="425" t="s">
        <v>371</v>
      </c>
      <c r="C121" s="424"/>
    </row>
    <row r="122" spans="1:3" ht="15" customHeight="1">
      <c r="A122" s="607" t="s">
        <v>185</v>
      </c>
      <c r="B122" s="414" t="s">
        <v>355</v>
      </c>
      <c r="C122" s="424"/>
    </row>
    <row r="123" spans="1:3" ht="15" customHeight="1">
      <c r="A123" s="607" t="s">
        <v>186</v>
      </c>
      <c r="B123" s="414" t="s">
        <v>370</v>
      </c>
      <c r="C123" s="424"/>
    </row>
    <row r="124" spans="1:3" ht="15" customHeight="1">
      <c r="A124" s="607" t="s">
        <v>187</v>
      </c>
      <c r="B124" s="414" t="s">
        <v>369</v>
      </c>
      <c r="C124" s="424"/>
    </row>
    <row r="125" spans="1:3" ht="15" customHeight="1">
      <c r="A125" s="607" t="s">
        <v>362</v>
      </c>
      <c r="B125" s="414" t="s">
        <v>358</v>
      </c>
      <c r="C125" s="424"/>
    </row>
    <row r="126" spans="1:3" ht="15" customHeight="1">
      <c r="A126" s="607" t="s">
        <v>363</v>
      </c>
      <c r="B126" s="414" t="s">
        <v>368</v>
      </c>
      <c r="C126" s="424"/>
    </row>
    <row r="127" spans="1:3" ht="15" customHeight="1" thickBot="1">
      <c r="A127" s="630" t="s">
        <v>364</v>
      </c>
      <c r="B127" s="414" t="s">
        <v>367</v>
      </c>
      <c r="C127" s="426"/>
    </row>
    <row r="128" spans="1:3" ht="15" customHeight="1" thickBot="1">
      <c r="A128" s="409" t="s">
        <v>19</v>
      </c>
      <c r="B128" s="427" t="s">
        <v>448</v>
      </c>
      <c r="C128" s="428">
        <f>+C93+C114</f>
        <v>5378</v>
      </c>
    </row>
    <row r="129" spans="1:3" ht="15" customHeight="1" thickBot="1">
      <c r="A129" s="409" t="s">
        <v>20</v>
      </c>
      <c r="B129" s="427" t="s">
        <v>449</v>
      </c>
      <c r="C129" s="428">
        <f>+C130+C131+C132</f>
        <v>0</v>
      </c>
    </row>
    <row r="130" spans="1:3" s="628" customFormat="1" ht="15" customHeight="1">
      <c r="A130" s="607" t="s">
        <v>269</v>
      </c>
      <c r="B130" s="425" t="s">
        <v>515</v>
      </c>
      <c r="C130" s="424"/>
    </row>
    <row r="131" spans="1:3" ht="15" customHeight="1">
      <c r="A131" s="607" t="s">
        <v>270</v>
      </c>
      <c r="B131" s="425" t="s">
        <v>457</v>
      </c>
      <c r="C131" s="424"/>
    </row>
    <row r="132" spans="1:3" ht="15" customHeight="1" thickBot="1">
      <c r="A132" s="630" t="s">
        <v>271</v>
      </c>
      <c r="B132" s="430" t="s">
        <v>514</v>
      </c>
      <c r="C132" s="424"/>
    </row>
    <row r="133" spans="1:3" ht="15" customHeight="1" thickBot="1">
      <c r="A133" s="409" t="s">
        <v>21</v>
      </c>
      <c r="B133" s="427" t="s">
        <v>450</v>
      </c>
      <c r="C133" s="428">
        <f>+C134+C135+C136+C137+C138+C139</f>
        <v>0</v>
      </c>
    </row>
    <row r="134" spans="1:3" ht="15" customHeight="1">
      <c r="A134" s="607" t="s">
        <v>87</v>
      </c>
      <c r="B134" s="425" t="s">
        <v>459</v>
      </c>
      <c r="C134" s="424"/>
    </row>
    <row r="135" spans="1:3" ht="15" customHeight="1">
      <c r="A135" s="607" t="s">
        <v>88</v>
      </c>
      <c r="B135" s="425" t="s">
        <v>451</v>
      </c>
      <c r="C135" s="424"/>
    </row>
    <row r="136" spans="1:3" ht="15" customHeight="1">
      <c r="A136" s="607" t="s">
        <v>89</v>
      </c>
      <c r="B136" s="425" t="s">
        <v>452</v>
      </c>
      <c r="C136" s="424"/>
    </row>
    <row r="137" spans="1:3" ht="15" customHeight="1">
      <c r="A137" s="607" t="s">
        <v>172</v>
      </c>
      <c r="B137" s="425" t="s">
        <v>513</v>
      </c>
      <c r="C137" s="424"/>
    </row>
    <row r="138" spans="1:3" ht="15" customHeight="1">
      <c r="A138" s="607" t="s">
        <v>173</v>
      </c>
      <c r="B138" s="425" t="s">
        <v>454</v>
      </c>
      <c r="C138" s="424"/>
    </row>
    <row r="139" spans="1:3" s="628" customFormat="1" ht="15" customHeight="1" thickBot="1">
      <c r="A139" s="630" t="s">
        <v>174</v>
      </c>
      <c r="B139" s="430" t="s">
        <v>455</v>
      </c>
      <c r="C139" s="424"/>
    </row>
    <row r="140" spans="1:11" ht="15" customHeight="1" thickBot="1">
      <c r="A140" s="409" t="s">
        <v>22</v>
      </c>
      <c r="B140" s="427" t="s">
        <v>537</v>
      </c>
      <c r="C140" s="429">
        <f>+C141+C142+C144+C145+C143</f>
        <v>0</v>
      </c>
      <c r="K140" s="633"/>
    </row>
    <row r="141" spans="1:3" ht="15" customHeight="1">
      <c r="A141" s="607" t="s">
        <v>90</v>
      </c>
      <c r="B141" s="425" t="s">
        <v>372</v>
      </c>
      <c r="C141" s="424"/>
    </row>
    <row r="142" spans="1:3" ht="15" customHeight="1">
      <c r="A142" s="607" t="s">
        <v>91</v>
      </c>
      <c r="B142" s="425" t="s">
        <v>373</v>
      </c>
      <c r="C142" s="424"/>
    </row>
    <row r="143" spans="1:3" ht="15" customHeight="1">
      <c r="A143" s="607" t="s">
        <v>287</v>
      </c>
      <c r="B143" s="425" t="s">
        <v>536</v>
      </c>
      <c r="C143" s="424"/>
    </row>
    <row r="144" spans="1:3" s="628" customFormat="1" ht="15" customHeight="1">
      <c r="A144" s="607" t="s">
        <v>288</v>
      </c>
      <c r="B144" s="425" t="s">
        <v>464</v>
      </c>
      <c r="C144" s="424"/>
    </row>
    <row r="145" spans="1:3" s="628" customFormat="1" ht="15" customHeight="1" thickBot="1">
      <c r="A145" s="630" t="s">
        <v>289</v>
      </c>
      <c r="B145" s="430" t="s">
        <v>392</v>
      </c>
      <c r="C145" s="424"/>
    </row>
    <row r="146" spans="1:3" s="628" customFormat="1" ht="15" customHeight="1" thickBot="1">
      <c r="A146" s="409" t="s">
        <v>23</v>
      </c>
      <c r="B146" s="427" t="s">
        <v>465</v>
      </c>
      <c r="C146" s="431">
        <f>+C147+C148+C149+C150+C151</f>
        <v>0</v>
      </c>
    </row>
    <row r="147" spans="1:3" s="628" customFormat="1" ht="15" customHeight="1">
      <c r="A147" s="607" t="s">
        <v>92</v>
      </c>
      <c r="B147" s="425" t="s">
        <v>460</v>
      </c>
      <c r="C147" s="424"/>
    </row>
    <row r="148" spans="1:3" s="628" customFormat="1" ht="15" customHeight="1">
      <c r="A148" s="607" t="s">
        <v>93</v>
      </c>
      <c r="B148" s="425" t="s">
        <v>467</v>
      </c>
      <c r="C148" s="424"/>
    </row>
    <row r="149" spans="1:3" s="628" customFormat="1" ht="15" customHeight="1">
      <c r="A149" s="607" t="s">
        <v>299</v>
      </c>
      <c r="B149" s="425" t="s">
        <v>462</v>
      </c>
      <c r="C149" s="424"/>
    </row>
    <row r="150" spans="1:3" s="628" customFormat="1" ht="15" customHeight="1">
      <c r="A150" s="607" t="s">
        <v>300</v>
      </c>
      <c r="B150" s="425" t="s">
        <v>516</v>
      </c>
      <c r="C150" s="424"/>
    </row>
    <row r="151" spans="1:3" ht="15" customHeight="1" thickBot="1">
      <c r="A151" s="630" t="s">
        <v>466</v>
      </c>
      <c r="B151" s="430" t="s">
        <v>469</v>
      </c>
      <c r="C151" s="426"/>
    </row>
    <row r="152" spans="1:3" ht="15" customHeight="1" thickBot="1">
      <c r="A152" s="634" t="s">
        <v>24</v>
      </c>
      <c r="B152" s="427" t="s">
        <v>470</v>
      </c>
      <c r="C152" s="431"/>
    </row>
    <row r="153" spans="1:3" ht="15" customHeight="1" thickBot="1">
      <c r="A153" s="634" t="s">
        <v>25</v>
      </c>
      <c r="B153" s="427" t="s">
        <v>471</v>
      </c>
      <c r="C153" s="431"/>
    </row>
    <row r="154" spans="1:3" ht="15" customHeight="1" thickBot="1">
      <c r="A154" s="409" t="s">
        <v>26</v>
      </c>
      <c r="B154" s="427" t="s">
        <v>473</v>
      </c>
      <c r="C154" s="432">
        <f>+C129+C133+C140+C146+C152+C153</f>
        <v>0</v>
      </c>
    </row>
    <row r="155" spans="1:3" ht="15" customHeight="1" thickBot="1">
      <c r="A155" s="621" t="s">
        <v>27</v>
      </c>
      <c r="B155" s="433" t="s">
        <v>472</v>
      </c>
      <c r="C155" s="432">
        <f>+C128+C154</f>
        <v>5378</v>
      </c>
    </row>
    <row r="156" spans="1:3" ht="15" customHeight="1" thickBot="1">
      <c r="A156" s="635"/>
      <c r="B156" s="636"/>
      <c r="C156" s="637"/>
    </row>
    <row r="157" spans="1:3" ht="15" customHeight="1" thickBot="1">
      <c r="A157" s="638" t="s">
        <v>517</v>
      </c>
      <c r="B157" s="639"/>
      <c r="C157" s="640"/>
    </row>
    <row r="158" spans="1:3" ht="15" customHeight="1" thickBot="1">
      <c r="A158" s="638" t="s">
        <v>203</v>
      </c>
      <c r="B158" s="639"/>
      <c r="C158" s="640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  <rowBreaks count="3" manualBreakCount="3">
    <brk id="48" max="255" man="1"/>
    <brk id="90" max="255" man="1"/>
    <brk id="1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1"/>
  <sheetViews>
    <sheetView zoomScale="130" zoomScaleNormal="130" zoomScalePageLayoutView="0" workbookViewId="0" topLeftCell="A4">
      <selection activeCell="A4" sqref="A4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5" width="0" style="213" hidden="1" customWidth="1"/>
    <col min="6" max="6" width="10.50390625" style="213" hidden="1" customWidth="1"/>
    <col min="7" max="16384" width="9.375" style="213" customWidth="1"/>
  </cols>
  <sheetData>
    <row r="1" spans="1:3" s="209" customFormat="1" ht="21" customHeight="1" thickBot="1">
      <c r="A1" s="208"/>
      <c r="B1" s="210"/>
      <c r="C1" s="648" t="s">
        <v>624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51456.91</v>
      </c>
      <c r="E8" s="272">
        <f>'10.1'!C8+'10.2'!C8+'10.3'!C8</f>
        <v>51457</v>
      </c>
      <c r="F8" s="788">
        <f>C8-E8</f>
        <v>-0.08999999999650754</v>
      </c>
    </row>
    <row r="9" spans="1:6" s="272" customFormat="1" ht="12.75" customHeight="1">
      <c r="A9" s="654" t="s">
        <v>94</v>
      </c>
      <c r="B9" s="394" t="s">
        <v>276</v>
      </c>
      <c r="C9" s="655">
        <f>'K1'!I46</f>
        <v>6500</v>
      </c>
      <c r="E9" s="272">
        <f>'10.1'!C9+'10.2'!C9+'10.3'!C9</f>
        <v>6500</v>
      </c>
      <c r="F9" s="788">
        <f aca="true" t="shared" si="0" ref="F9:F61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f>'K1'!I49</f>
        <v>10533</v>
      </c>
      <c r="E10" s="272">
        <f>'10.1'!C10+'10.2'!C10+'10.3'!C10</f>
        <v>10533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f>'K1'!I56</f>
        <v>20500</v>
      </c>
      <c r="E11" s="272">
        <f>'10.1'!C11+'10.2'!C11+'10.3'!C11</f>
        <v>20500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>
        <f>'K1'!I60</f>
        <v>0</v>
      </c>
      <c r="E12" s="272">
        <f>'10.1'!C12+'10.2'!C12+'10.3'!C12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>
        <f>'K1'!I62</f>
        <v>0</v>
      </c>
      <c r="E13" s="272">
        <f>'10.1'!C13+'10.2'!C13+'10.3'!C13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'K1'!I64</f>
        <v>8378.91</v>
      </c>
      <c r="E14" s="272">
        <f>'10.1'!C14+'10.2'!C14+'10.3'!C14</f>
        <v>8379</v>
      </c>
      <c r="F14" s="788">
        <f t="shared" si="0"/>
        <v>-0.09000000000014552</v>
      </c>
    </row>
    <row r="15" spans="1:6" s="272" customFormat="1" ht="12.75" customHeight="1">
      <c r="A15" s="656" t="s">
        <v>99</v>
      </c>
      <c r="B15" s="399" t="s">
        <v>402</v>
      </c>
      <c r="C15" s="657">
        <f>'K1'!I66</f>
        <v>5535</v>
      </c>
      <c r="E15" s="272">
        <f>'10.1'!C15+'10.2'!C15+'10.3'!C15</f>
        <v>5535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'K1'!I68</f>
        <v>10</v>
      </c>
      <c r="E16" s="272">
        <f>'10.1'!C16+'10.2'!C16+'10.3'!C16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>
        <f>'K1'!I71</f>
        <v>0</v>
      </c>
      <c r="E17" s="272">
        <f>'10.1'!C17+'10.2'!C17+'10.3'!C17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>
        <f>'K1'!I73</f>
        <v>0</v>
      </c>
      <c r="E18" s="272">
        <f>'10.1'!C18+'10.2'!C18+'10.3'!C18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'K1'!I75</f>
        <v>0</v>
      </c>
      <c r="E19" s="272">
        <f>'10.1'!C19+'10.2'!C19+'10.3'!C19</f>
        <v>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360</v>
      </c>
      <c r="E20" s="272">
        <f>'10.1'!C20+'10.2'!C20+'10.3'!C20</f>
        <v>360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'10.1'!C21+'10.2'!C21+'10.3'!C21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'10.1'!C22+'10.2'!C22+'10.3'!C22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f>'K1'!I19</f>
        <v>360</v>
      </c>
      <c r="E23" s="272">
        <f>'10.1'!C23+'10.2'!C23+'10.3'!C23</f>
        <v>360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519</v>
      </c>
      <c r="C24" s="657"/>
      <c r="E24" s="272">
        <f>'10.1'!C24+'10.2'!C24+'10.3'!C24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>
        <f>'K1'!I41</f>
        <v>1500</v>
      </c>
      <c r="E25" s="272">
        <f>'10.1'!C25+'10.2'!C25+'10.3'!C25</f>
        <v>1500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520</v>
      </c>
      <c r="C26" s="524">
        <f>+C27+C28+C29</f>
        <v>0</v>
      </c>
      <c r="E26" s="272">
        <f>'10.1'!C26+'10.2'!C26+'10.3'!C26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264</v>
      </c>
      <c r="C27" s="511"/>
      <c r="E27" s="272">
        <f>'10.1'!C27+'10.2'!C27+'10.3'!C27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3" t="s">
        <v>404</v>
      </c>
      <c r="C28" s="657"/>
      <c r="E28" s="272">
        <f>'10.1'!C28+'10.2'!C28+'10.3'!C28</f>
        <v>0</v>
      </c>
      <c r="F28" s="788">
        <f t="shared" si="0"/>
        <v>0</v>
      </c>
    </row>
    <row r="29" spans="1:6" s="314" customFormat="1" ht="12.75" customHeight="1">
      <c r="A29" s="662" t="s">
        <v>271</v>
      </c>
      <c r="B29" s="664" t="s">
        <v>407</v>
      </c>
      <c r="C29" s="657"/>
      <c r="E29" s="272">
        <f>'10.1'!C29+'10.2'!C29+'10.3'!C29</f>
        <v>0</v>
      </c>
      <c r="F29" s="788">
        <f t="shared" si="0"/>
        <v>0</v>
      </c>
    </row>
    <row r="30" spans="1:6" s="314" customFormat="1" ht="12.75" customHeight="1" thickBot="1">
      <c r="A30" s="656" t="s">
        <v>272</v>
      </c>
      <c r="B30" s="665" t="s">
        <v>521</v>
      </c>
      <c r="C30" s="666"/>
      <c r="E30" s="272">
        <f>'10.1'!C30+'10.2'!C30+'10.3'!C30</f>
        <v>0</v>
      </c>
      <c r="F30" s="788">
        <f t="shared" si="0"/>
        <v>0</v>
      </c>
    </row>
    <row r="31" spans="1:6" s="314" customFormat="1" ht="12.75" customHeight="1" thickBot="1">
      <c r="A31" s="660" t="s">
        <v>21</v>
      </c>
      <c r="B31" s="397" t="s">
        <v>408</v>
      </c>
      <c r="C31" s="524">
        <f>+C32+C33+C34</f>
        <v>0</v>
      </c>
      <c r="E31" s="272">
        <f>'10.1'!C31+'10.2'!C31+'10.3'!C31</f>
        <v>0</v>
      </c>
      <c r="F31" s="788">
        <f t="shared" si="0"/>
        <v>0</v>
      </c>
    </row>
    <row r="32" spans="1:6" s="314" customFormat="1" ht="12.75" customHeight="1">
      <c r="A32" s="662" t="s">
        <v>87</v>
      </c>
      <c r="B32" s="663" t="s">
        <v>290</v>
      </c>
      <c r="C32" s="511"/>
      <c r="E32" s="272">
        <f>'10.1'!C32+'10.2'!C32+'10.3'!C32</f>
        <v>0</v>
      </c>
      <c r="F32" s="788">
        <f t="shared" si="0"/>
        <v>0</v>
      </c>
    </row>
    <row r="33" spans="1:6" s="314" customFormat="1" ht="12.75" customHeight="1">
      <c r="A33" s="662" t="s">
        <v>88</v>
      </c>
      <c r="B33" s="664" t="s">
        <v>291</v>
      </c>
      <c r="C33" s="528"/>
      <c r="E33" s="272">
        <f>'10.1'!C33+'10.2'!C33+'10.3'!C33</f>
        <v>0</v>
      </c>
      <c r="F33" s="788">
        <f t="shared" si="0"/>
        <v>0</v>
      </c>
    </row>
    <row r="34" spans="1:6" s="314" customFormat="1" ht="12.75" customHeight="1" thickBot="1">
      <c r="A34" s="656" t="s">
        <v>89</v>
      </c>
      <c r="B34" s="665" t="s">
        <v>292</v>
      </c>
      <c r="C34" s="666"/>
      <c r="E34" s="272">
        <f>'10.1'!C34+'10.2'!C34+'10.3'!C34</f>
        <v>0</v>
      </c>
      <c r="F34" s="788">
        <f t="shared" si="0"/>
        <v>0</v>
      </c>
    </row>
    <row r="35" spans="1:6" s="272" customFormat="1" ht="12.75" customHeight="1" thickBot="1">
      <c r="A35" s="660" t="s">
        <v>22</v>
      </c>
      <c r="B35" s="397" t="s">
        <v>377</v>
      </c>
      <c r="C35" s="661"/>
      <c r="E35" s="272">
        <f>'10.1'!C35+'10.2'!C35+'10.3'!C35</f>
        <v>0</v>
      </c>
      <c r="F35" s="788">
        <f t="shared" si="0"/>
        <v>0</v>
      </c>
    </row>
    <row r="36" spans="1:6" s="272" customFormat="1" ht="12.75" customHeight="1" thickBot="1">
      <c r="A36" s="660" t="s">
        <v>23</v>
      </c>
      <c r="B36" s="397" t="s">
        <v>409</v>
      </c>
      <c r="C36" s="667"/>
      <c r="E36" s="272">
        <f>'10.1'!C36+'10.2'!C36+'10.3'!C36</f>
        <v>0</v>
      </c>
      <c r="F36" s="788">
        <f t="shared" si="0"/>
        <v>0</v>
      </c>
    </row>
    <row r="37" spans="1:6" s="272" customFormat="1" ht="12.75" customHeight="1" thickBot="1">
      <c r="A37" s="577" t="s">
        <v>24</v>
      </c>
      <c r="B37" s="397" t="s">
        <v>410</v>
      </c>
      <c r="C37" s="268">
        <f>+C8+C20+C25+C26+C31+C35+C36</f>
        <v>53316.91</v>
      </c>
      <c r="E37" s="272">
        <f>'10.1'!C37+'10.2'!C37+'10.3'!C37</f>
        <v>53317</v>
      </c>
      <c r="F37" s="788">
        <f t="shared" si="0"/>
        <v>-0.08999999999650754</v>
      </c>
    </row>
    <row r="38" spans="1:6" s="272" customFormat="1" ht="12.75" customHeight="1" thickBot="1">
      <c r="A38" s="486" t="s">
        <v>25</v>
      </c>
      <c r="B38" s="397" t="s">
        <v>411</v>
      </c>
      <c r="C38" s="268">
        <f>+C39+C40+C41</f>
        <v>786549</v>
      </c>
      <c r="E38" s="272">
        <f>'10.1'!C38+'10.2'!C38+'10.3'!C38</f>
        <v>786549</v>
      </c>
      <c r="F38" s="788">
        <f t="shared" si="0"/>
        <v>0</v>
      </c>
    </row>
    <row r="39" spans="1:6" s="272" customFormat="1" ht="12.75" customHeight="1">
      <c r="A39" s="662" t="s">
        <v>412</v>
      </c>
      <c r="B39" s="663" t="s">
        <v>237</v>
      </c>
      <c r="C39" s="511">
        <f>'K1'!I93</f>
        <v>3666</v>
      </c>
      <c r="E39" s="272">
        <f>'10.1'!C39+'10.2'!C39+'10.3'!C39</f>
        <v>3666</v>
      </c>
      <c r="F39" s="788">
        <f t="shared" si="0"/>
        <v>0</v>
      </c>
    </row>
    <row r="40" spans="1:6" s="272" customFormat="1" ht="12.75" customHeight="1">
      <c r="A40" s="662" t="s">
        <v>413</v>
      </c>
      <c r="B40" s="664" t="s">
        <v>0</v>
      </c>
      <c r="C40" s="528"/>
      <c r="E40" s="272">
        <f>'10.1'!C40+'10.2'!C40+'10.3'!C40</f>
        <v>0</v>
      </c>
      <c r="F40" s="788">
        <f t="shared" si="0"/>
        <v>0</v>
      </c>
    </row>
    <row r="41" spans="1:6" s="314" customFormat="1" ht="12.75" customHeight="1" thickBot="1">
      <c r="A41" s="656" t="s">
        <v>414</v>
      </c>
      <c r="B41" s="665" t="s">
        <v>415</v>
      </c>
      <c r="C41" s="666">
        <f>'K1'!I95</f>
        <v>782883</v>
      </c>
      <c r="E41" s="272">
        <f>'10.1'!C41+'10.2'!C41+'10.3'!C41</f>
        <v>782883</v>
      </c>
      <c r="F41" s="788">
        <f t="shared" si="0"/>
        <v>0</v>
      </c>
    </row>
    <row r="42" spans="1:6" s="314" customFormat="1" ht="15" customHeight="1" thickBot="1">
      <c r="A42" s="486" t="s">
        <v>26</v>
      </c>
      <c r="B42" s="668" t="s">
        <v>416</v>
      </c>
      <c r="C42" s="586">
        <f>+C37+C38</f>
        <v>839865.91</v>
      </c>
      <c r="E42" s="272">
        <f>'10.1'!C42+'10.2'!C42+'10.3'!C42</f>
        <v>839866</v>
      </c>
      <c r="F42" s="788">
        <f t="shared" si="0"/>
        <v>-0.08999999996740371</v>
      </c>
    </row>
    <row r="43" spans="1:6" s="314" customFormat="1" ht="7.5" customHeight="1">
      <c r="A43" s="582"/>
      <c r="B43" s="583"/>
      <c r="C43" s="584"/>
      <c r="E43" s="272"/>
      <c r="F43" s="788">
        <f t="shared" si="0"/>
        <v>0</v>
      </c>
    </row>
    <row r="44" spans="1:6" ht="7.5" customHeight="1" thickBot="1">
      <c r="A44" s="669"/>
      <c r="B44" s="670"/>
      <c r="C44" s="671"/>
      <c r="E44" s="272"/>
      <c r="F44" s="788">
        <f t="shared" si="0"/>
        <v>0</v>
      </c>
    </row>
    <row r="45" spans="1:6" s="313" customFormat="1" ht="16.5" customHeight="1" thickBot="1">
      <c r="A45" s="575"/>
      <c r="B45" s="585" t="s">
        <v>57</v>
      </c>
      <c r="C45" s="586"/>
      <c r="E45" s="272"/>
      <c r="F45" s="788">
        <f t="shared" si="0"/>
        <v>0</v>
      </c>
    </row>
    <row r="46" spans="1:6" s="315" customFormat="1" ht="13.5" customHeight="1" thickBot="1">
      <c r="A46" s="660" t="s">
        <v>17</v>
      </c>
      <c r="B46" s="397" t="s">
        <v>417</v>
      </c>
      <c r="C46" s="524">
        <f>SUM(C47:C51)</f>
        <v>839866</v>
      </c>
      <c r="E46" s="272">
        <f>'10.1'!C46+'10.2'!C46+'10.3'!C46</f>
        <v>839866</v>
      </c>
      <c r="F46" s="788">
        <f t="shared" si="0"/>
        <v>0</v>
      </c>
    </row>
    <row r="47" spans="1:6" ht="13.5" customHeight="1">
      <c r="A47" s="656" t="s">
        <v>94</v>
      </c>
      <c r="B47" s="398" t="s">
        <v>48</v>
      </c>
      <c r="C47" s="511">
        <f>'K2'!D38</f>
        <v>492100</v>
      </c>
      <c r="E47" s="272">
        <f>'10.1'!C47+'10.2'!C47+'10.3'!C47</f>
        <v>492100</v>
      </c>
      <c r="F47" s="788">
        <f t="shared" si="0"/>
        <v>0</v>
      </c>
    </row>
    <row r="48" spans="1:6" ht="13.5" customHeight="1">
      <c r="A48" s="656" t="s">
        <v>95</v>
      </c>
      <c r="B48" s="395" t="s">
        <v>180</v>
      </c>
      <c r="C48" s="517">
        <f>'K2'!G38</f>
        <v>148292</v>
      </c>
      <c r="E48" s="272">
        <f>'10.1'!C48+'10.2'!C48+'10.3'!C48</f>
        <v>148292</v>
      </c>
      <c r="F48" s="788">
        <f t="shared" si="0"/>
        <v>0</v>
      </c>
    </row>
    <row r="49" spans="1:6" ht="13.5" customHeight="1">
      <c r="A49" s="656" t="s">
        <v>96</v>
      </c>
      <c r="B49" s="395" t="s">
        <v>137</v>
      </c>
      <c r="C49" s="517">
        <f>'K2'!J38</f>
        <v>198974</v>
      </c>
      <c r="E49" s="272">
        <f>'10.1'!C49+'10.2'!C49+'10.3'!C49</f>
        <v>198974</v>
      </c>
      <c r="F49" s="788">
        <f t="shared" si="0"/>
        <v>0</v>
      </c>
    </row>
    <row r="50" spans="1:6" ht="13.5" customHeight="1">
      <c r="A50" s="656" t="s">
        <v>97</v>
      </c>
      <c r="B50" s="395" t="s">
        <v>181</v>
      </c>
      <c r="C50" s="517">
        <f>'K2'!M38</f>
        <v>0</v>
      </c>
      <c r="E50" s="272">
        <f>'10.1'!C50+'10.2'!C50+'10.3'!C50</f>
        <v>0</v>
      </c>
      <c r="F50" s="788">
        <f t="shared" si="0"/>
        <v>0</v>
      </c>
    </row>
    <row r="51" spans="1:6" ht="13.5" customHeight="1" thickBot="1">
      <c r="A51" s="656" t="s">
        <v>145</v>
      </c>
      <c r="B51" s="395" t="s">
        <v>182</v>
      </c>
      <c r="C51" s="517">
        <f>'K2'!P38+'K2'!S38</f>
        <v>500</v>
      </c>
      <c r="E51" s="272">
        <f>'10.1'!C51+'10.2'!C51+'10.3'!C51</f>
        <v>500</v>
      </c>
      <c r="F51" s="788">
        <f t="shared" si="0"/>
        <v>0</v>
      </c>
    </row>
    <row r="52" spans="1:6" ht="13.5" customHeight="1" thickBot="1">
      <c r="A52" s="660" t="s">
        <v>18</v>
      </c>
      <c r="B52" s="397" t="s">
        <v>418</v>
      </c>
      <c r="C52" s="524">
        <f>SUM(C53:C55)</f>
        <v>0</v>
      </c>
      <c r="E52" s="272">
        <f>'10.1'!C52+'10.2'!C52+'10.3'!C52</f>
        <v>0</v>
      </c>
      <c r="F52" s="788">
        <f t="shared" si="0"/>
        <v>0</v>
      </c>
    </row>
    <row r="53" spans="1:6" s="315" customFormat="1" ht="13.5" customHeight="1">
      <c r="A53" s="656" t="s">
        <v>100</v>
      </c>
      <c r="B53" s="398" t="s">
        <v>228</v>
      </c>
      <c r="C53" s="511">
        <f>'K3'!D37</f>
        <v>0</v>
      </c>
      <c r="E53" s="272">
        <f>'10.1'!C53+'10.2'!C53+'10.3'!C53</f>
        <v>0</v>
      </c>
      <c r="F53" s="788">
        <f t="shared" si="0"/>
        <v>0</v>
      </c>
    </row>
    <row r="54" spans="1:6" ht="13.5" customHeight="1">
      <c r="A54" s="656" t="s">
        <v>101</v>
      </c>
      <c r="B54" s="395" t="s">
        <v>184</v>
      </c>
      <c r="C54" s="517">
        <f>'K3'!D52</f>
        <v>0</v>
      </c>
      <c r="E54" s="272">
        <f>'10.1'!C54+'10.2'!C54+'10.3'!C54</f>
        <v>0</v>
      </c>
      <c r="F54" s="788">
        <f t="shared" si="0"/>
        <v>0</v>
      </c>
    </row>
    <row r="55" spans="1:6" ht="13.5" customHeight="1">
      <c r="A55" s="656" t="s">
        <v>102</v>
      </c>
      <c r="B55" s="395" t="s">
        <v>58</v>
      </c>
      <c r="C55" s="517"/>
      <c r="E55" s="272">
        <f>'10.1'!C55+'10.2'!C55+'10.3'!C55</f>
        <v>0</v>
      </c>
      <c r="F55" s="788">
        <f t="shared" si="0"/>
        <v>0</v>
      </c>
    </row>
    <row r="56" spans="1:6" ht="13.5" customHeight="1" thickBot="1">
      <c r="A56" s="656" t="s">
        <v>103</v>
      </c>
      <c r="B56" s="395" t="s">
        <v>522</v>
      </c>
      <c r="C56" s="517"/>
      <c r="E56" s="272">
        <f>'10.1'!C56+'10.2'!C56+'10.3'!C56</f>
        <v>0</v>
      </c>
      <c r="F56" s="788">
        <f t="shared" si="0"/>
        <v>0</v>
      </c>
    </row>
    <row r="57" spans="1:6" ht="15" customHeight="1" thickBot="1">
      <c r="A57" s="660" t="s">
        <v>19</v>
      </c>
      <c r="B57" s="397" t="s">
        <v>11</v>
      </c>
      <c r="C57" s="661"/>
      <c r="E57" s="272">
        <f>'10.1'!C57+'10.2'!C57+'10.3'!C57</f>
        <v>0</v>
      </c>
      <c r="F57" s="788">
        <f t="shared" si="0"/>
        <v>0</v>
      </c>
    </row>
    <row r="58" spans="1:6" ht="15.75" thickBot="1">
      <c r="A58" s="660" t="s">
        <v>20</v>
      </c>
      <c r="B58" s="672" t="s">
        <v>526</v>
      </c>
      <c r="C58" s="673">
        <f>+C46+C52+C57</f>
        <v>839866</v>
      </c>
      <c r="E58" s="272">
        <f>'10.1'!C58+'10.2'!C58+'10.3'!C58</f>
        <v>839866</v>
      </c>
      <c r="F58" s="788">
        <f t="shared" si="0"/>
        <v>0</v>
      </c>
    </row>
    <row r="59" spans="1:6" ht="15" customHeight="1" thickBot="1">
      <c r="A59" s="587"/>
      <c r="B59" s="588"/>
      <c r="C59" s="589"/>
      <c r="E59" s="272"/>
      <c r="F59" s="788">
        <f t="shared" si="0"/>
        <v>0</v>
      </c>
    </row>
    <row r="60" spans="1:6" ht="14.25" customHeight="1" thickBot="1">
      <c r="A60" s="214" t="s">
        <v>517</v>
      </c>
      <c r="B60" s="215"/>
      <c r="C60" s="105">
        <v>137</v>
      </c>
      <c r="E60" s="272">
        <f>'10.1'!C60+'10.2'!C60+'10.3'!C60</f>
        <v>137</v>
      </c>
      <c r="F60" s="788">
        <f t="shared" si="0"/>
        <v>0</v>
      </c>
    </row>
    <row r="61" spans="1:6" ht="15.75" thickBot="1">
      <c r="A61" s="214" t="s">
        <v>203</v>
      </c>
      <c r="B61" s="215"/>
      <c r="C61" s="105"/>
      <c r="E61" s="272">
        <f>'10.1'!C61+'10.2'!C61+'10.3'!C61</f>
        <v>0</v>
      </c>
      <c r="F61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24">
      <selection activeCell="I99" sqref="I99"/>
    </sheetView>
  </sheetViews>
  <sheetFormatPr defaultColWidth="9.375" defaultRowHeight="12.75"/>
  <cols>
    <col min="1" max="1" width="5.375" style="815" customWidth="1"/>
    <col min="2" max="2" width="3.875" style="815" customWidth="1"/>
    <col min="3" max="3" width="5.00390625" style="815" customWidth="1"/>
    <col min="4" max="4" width="100.375" style="815" customWidth="1"/>
    <col min="5" max="5" width="12.50390625" style="815" customWidth="1"/>
    <col min="6" max="6" width="12.125" style="815" customWidth="1"/>
    <col min="7" max="7" width="11.00390625" style="1105" customWidth="1"/>
    <col min="8" max="8" width="14.375" style="815" customWidth="1"/>
    <col min="9" max="9" width="13.00390625" style="815" customWidth="1"/>
    <col min="10" max="10" width="11.875" style="1105" customWidth="1"/>
    <col min="11" max="12" width="0" style="795" hidden="1" customWidth="1"/>
    <col min="13" max="13" width="13.875" style="1103" hidden="1" customWidth="1"/>
    <col min="14" max="14" width="0" style="795" hidden="1" customWidth="1"/>
    <col min="15" max="16384" width="9.375" style="795" customWidth="1"/>
  </cols>
  <sheetData>
    <row r="1" spans="1:10" ht="15.75">
      <c r="A1" s="1472" t="s">
        <v>686</v>
      </c>
      <c r="B1" s="1472"/>
      <c r="C1" s="1472"/>
      <c r="D1" s="1472"/>
      <c r="E1" s="1472"/>
      <c r="F1" s="1472"/>
      <c r="G1" s="1472"/>
      <c r="H1" s="1472"/>
      <c r="I1" s="1472"/>
      <c r="J1" s="1472"/>
    </row>
    <row r="2" spans="1:9" ht="15.75">
      <c r="A2" s="793"/>
      <c r="B2" s="793"/>
      <c r="C2" s="793"/>
      <c r="D2" s="793"/>
      <c r="E2" s="793"/>
      <c r="F2" s="793"/>
      <c r="G2" s="1104"/>
      <c r="H2" s="793"/>
      <c r="I2" s="793"/>
    </row>
    <row r="3" spans="1:10" ht="15.75">
      <c r="A3" s="1473" t="s">
        <v>1087</v>
      </c>
      <c r="B3" s="1473"/>
      <c r="C3" s="1473"/>
      <c r="D3" s="1473"/>
      <c r="E3" s="1473"/>
      <c r="F3" s="1473"/>
      <c r="G3" s="1473"/>
      <c r="H3" s="1473"/>
      <c r="I3" s="1473"/>
      <c r="J3" s="1473"/>
    </row>
    <row r="4" spans="1:10" ht="15.75">
      <c r="A4" s="1473" t="s">
        <v>1088</v>
      </c>
      <c r="B4" s="1426"/>
      <c r="C4" s="1426"/>
      <c r="D4" s="1426"/>
      <c r="E4" s="1426"/>
      <c r="F4" s="1426"/>
      <c r="G4" s="1426"/>
      <c r="H4" s="1426"/>
      <c r="I4" s="1426"/>
      <c r="J4" s="1426"/>
    </row>
    <row r="5" spans="1:10" ht="12.75">
      <c r="A5" s="1474" t="s">
        <v>688</v>
      </c>
      <c r="B5" s="1474"/>
      <c r="C5" s="1474"/>
      <c r="D5" s="1474"/>
      <c r="E5" s="1474"/>
      <c r="F5" s="1474"/>
      <c r="G5" s="1474"/>
      <c r="H5" s="1474"/>
      <c r="I5" s="1474"/>
      <c r="J5" s="1474"/>
    </row>
    <row r="6" spans="1:9" ht="15.75">
      <c r="A6" s="798"/>
      <c r="B6" s="798"/>
      <c r="C6" s="798"/>
      <c r="D6" s="798"/>
      <c r="E6" s="798"/>
      <c r="F6" s="798"/>
      <c r="G6" s="1106"/>
      <c r="H6" s="798"/>
      <c r="I6" s="798"/>
    </row>
    <row r="7" spans="1:13" s="750" customFormat="1" ht="15.75">
      <c r="A7" s="798"/>
      <c r="B7" s="798"/>
      <c r="C7" s="798"/>
      <c r="D7" s="1107"/>
      <c r="E7" s="1475" t="s">
        <v>689</v>
      </c>
      <c r="F7" s="1476"/>
      <c r="G7" s="1477"/>
      <c r="H7" s="1475" t="s">
        <v>690</v>
      </c>
      <c r="I7" s="1476"/>
      <c r="J7" s="1476"/>
      <c r="K7" s="1012"/>
      <c r="M7" s="1108"/>
    </row>
    <row r="8" spans="1:13" s="750" customFormat="1" ht="15.75">
      <c r="A8" s="798"/>
      <c r="B8" s="798"/>
      <c r="C8" s="798"/>
      <c r="D8" s="1107"/>
      <c r="E8" s="1109" t="s">
        <v>691</v>
      </c>
      <c r="F8" s="1109" t="s">
        <v>692</v>
      </c>
      <c r="G8" s="1502" t="s">
        <v>693</v>
      </c>
      <c r="H8" s="1110" t="str">
        <f>E8</f>
        <v>2014. évi</v>
      </c>
      <c r="I8" s="1109" t="str">
        <f>F8</f>
        <v>2015. évi</v>
      </c>
      <c r="J8" s="1504" t="str">
        <f>G8</f>
        <v>%</v>
      </c>
      <c r="K8" s="1012"/>
      <c r="M8" s="1108"/>
    </row>
    <row r="9" spans="1:13" s="750" customFormat="1" ht="15.75">
      <c r="A9" s="798"/>
      <c r="B9" s="798"/>
      <c r="C9" s="798"/>
      <c r="D9" s="1107"/>
      <c r="E9" s="1109" t="s">
        <v>694</v>
      </c>
      <c r="F9" s="1109" t="s">
        <v>694</v>
      </c>
      <c r="G9" s="1503"/>
      <c r="H9" s="1110" t="str">
        <f>E9</f>
        <v>terv</v>
      </c>
      <c r="I9" s="1109" t="str">
        <f>F9</f>
        <v>terv</v>
      </c>
      <c r="J9" s="1505"/>
      <c r="K9" s="1012"/>
      <c r="M9" s="1108"/>
    </row>
    <row r="10" spans="1:13" s="750" customFormat="1" ht="15.75">
      <c r="A10" s="798"/>
      <c r="B10" s="798"/>
      <c r="C10" s="798"/>
      <c r="D10" s="804"/>
      <c r="E10" s="805"/>
      <c r="F10" s="805"/>
      <c r="G10" s="1111"/>
      <c r="H10" s="805"/>
      <c r="I10" s="805"/>
      <c r="J10" s="1111"/>
      <c r="M10" s="1108"/>
    </row>
    <row r="11" spans="1:13" s="750" customFormat="1" ht="15" customHeight="1">
      <c r="A11" s="808" t="s">
        <v>695</v>
      </c>
      <c r="B11" s="809" t="s">
        <v>696</v>
      </c>
      <c r="C11" s="809"/>
      <c r="D11" s="1112"/>
      <c r="E11" s="811"/>
      <c r="F11" s="812"/>
      <c r="G11" s="1113"/>
      <c r="H11" s="812">
        <f>H12+H19</f>
        <v>7114</v>
      </c>
      <c r="I11" s="812">
        <f>I12+I19</f>
        <v>360</v>
      </c>
      <c r="J11" s="1114">
        <f>I11/H11</f>
        <v>0.050604441945459655</v>
      </c>
      <c r="M11" s="1108"/>
    </row>
    <row r="12" spans="1:13" s="750" customFormat="1" ht="15" customHeight="1">
      <c r="A12" s="815"/>
      <c r="B12" s="816" t="s">
        <v>697</v>
      </c>
      <c r="C12" s="817" t="s">
        <v>698</v>
      </c>
      <c r="D12" s="1115"/>
      <c r="E12" s="819"/>
      <c r="F12" s="820"/>
      <c r="G12" s="1116"/>
      <c r="H12" s="820">
        <f>H13+H14+H15+H16+H17+H18</f>
        <v>0</v>
      </c>
      <c r="I12" s="820">
        <f>I13+I14+I15+I16+I17+I18</f>
        <v>0</v>
      </c>
      <c r="J12" s="1117">
        <v>0</v>
      </c>
      <c r="M12" s="1108"/>
    </row>
    <row r="13" spans="1:15" s="832" customFormat="1" ht="15" customHeight="1">
      <c r="A13" s="823"/>
      <c r="B13" s="823"/>
      <c r="C13" s="823" t="s">
        <v>699</v>
      </c>
      <c r="D13" s="1118" t="s">
        <v>700</v>
      </c>
      <c r="E13" s="826"/>
      <c r="F13" s="827"/>
      <c r="G13" s="1119"/>
      <c r="H13" s="829">
        <v>0</v>
      </c>
      <c r="I13" s="829">
        <v>0</v>
      </c>
      <c r="J13" s="1120">
        <v>0</v>
      </c>
      <c r="M13" s="1121"/>
      <c r="O13" s="750"/>
    </row>
    <row r="14" spans="1:15" s="832" customFormat="1" ht="15.75" customHeight="1">
      <c r="A14" s="823"/>
      <c r="B14" s="823"/>
      <c r="C14" s="823" t="s">
        <v>703</v>
      </c>
      <c r="D14" s="1122" t="s">
        <v>704</v>
      </c>
      <c r="E14" s="826"/>
      <c r="F14" s="827"/>
      <c r="G14" s="1119"/>
      <c r="H14" s="829">
        <v>0</v>
      </c>
      <c r="I14" s="829">
        <v>0</v>
      </c>
      <c r="J14" s="1120">
        <v>0</v>
      </c>
      <c r="M14" s="1121"/>
      <c r="O14" s="750"/>
    </row>
    <row r="15" spans="1:15" s="832" customFormat="1" ht="15.75" customHeight="1">
      <c r="A15" s="823"/>
      <c r="B15" s="823"/>
      <c r="C15" s="823" t="s">
        <v>706</v>
      </c>
      <c r="D15" s="1122" t="s">
        <v>1089</v>
      </c>
      <c r="E15" s="826"/>
      <c r="F15" s="827"/>
      <c r="G15" s="1119"/>
      <c r="H15" s="829">
        <v>0</v>
      </c>
      <c r="I15" s="829">
        <v>0</v>
      </c>
      <c r="J15" s="1120">
        <v>0</v>
      </c>
      <c r="M15" s="1121"/>
      <c r="O15" s="750"/>
    </row>
    <row r="16" spans="1:15" s="832" customFormat="1" ht="15" customHeight="1">
      <c r="A16" s="823"/>
      <c r="B16" s="823"/>
      <c r="C16" s="823" t="s">
        <v>711</v>
      </c>
      <c r="D16" s="1118" t="s">
        <v>712</v>
      </c>
      <c r="E16" s="826"/>
      <c r="F16" s="827"/>
      <c r="G16" s="1119"/>
      <c r="H16" s="829">
        <v>0</v>
      </c>
      <c r="I16" s="829">
        <v>0</v>
      </c>
      <c r="J16" s="1120">
        <v>0</v>
      </c>
      <c r="M16" s="1121"/>
      <c r="O16" s="750"/>
    </row>
    <row r="17" spans="1:15" s="832" customFormat="1" ht="15" customHeight="1">
      <c r="A17" s="823"/>
      <c r="B17" s="823"/>
      <c r="C17" s="823" t="s">
        <v>714</v>
      </c>
      <c r="D17" s="1118" t="s">
        <v>1090</v>
      </c>
      <c r="E17" s="826"/>
      <c r="F17" s="827"/>
      <c r="G17" s="1119"/>
      <c r="H17" s="829">
        <v>0</v>
      </c>
      <c r="I17" s="829">
        <v>0</v>
      </c>
      <c r="J17" s="1120">
        <v>0</v>
      </c>
      <c r="M17" s="1121"/>
      <c r="O17" s="750"/>
    </row>
    <row r="18" spans="1:15" s="832" customFormat="1" ht="15" customHeight="1">
      <c r="A18" s="823"/>
      <c r="B18" s="823"/>
      <c r="C18" s="823" t="s">
        <v>720</v>
      </c>
      <c r="D18" s="1118" t="s">
        <v>1091</v>
      </c>
      <c r="E18" s="826"/>
      <c r="F18" s="827"/>
      <c r="G18" s="1119"/>
      <c r="H18" s="829">
        <v>0</v>
      </c>
      <c r="I18" s="829">
        <v>0</v>
      </c>
      <c r="J18" s="1120">
        <v>0</v>
      </c>
      <c r="M18" s="1121"/>
      <c r="O18" s="750"/>
    </row>
    <row r="19" spans="1:13" s="750" customFormat="1" ht="15" customHeight="1">
      <c r="A19" s="815"/>
      <c r="B19" s="816" t="s">
        <v>722</v>
      </c>
      <c r="C19" s="1123" t="s">
        <v>723</v>
      </c>
      <c r="D19" s="1124"/>
      <c r="E19" s="819"/>
      <c r="F19" s="820"/>
      <c r="G19" s="1116"/>
      <c r="H19" s="819">
        <f>H20+H21</f>
        <v>7114</v>
      </c>
      <c r="I19" s="819">
        <f>I20+I21+I22+I23</f>
        <v>360</v>
      </c>
      <c r="J19" s="1117">
        <f>I19/H19</f>
        <v>0.050604441945459655</v>
      </c>
      <c r="M19" s="1108"/>
    </row>
    <row r="20" spans="1:15" s="854" customFormat="1" ht="15" customHeight="1">
      <c r="A20" s="853"/>
      <c r="B20" s="853"/>
      <c r="C20" s="853"/>
      <c r="D20" s="1125" t="s">
        <v>1092</v>
      </c>
      <c r="E20" s="837"/>
      <c r="F20" s="835"/>
      <c r="G20" s="1126"/>
      <c r="H20" s="835">
        <v>3909</v>
      </c>
      <c r="I20" s="835">
        <v>0</v>
      </c>
      <c r="J20" s="1029">
        <v>0</v>
      </c>
      <c r="M20" s="1127"/>
      <c r="O20" s="750"/>
    </row>
    <row r="21" spans="1:15" s="854" customFormat="1" ht="15" customHeight="1">
      <c r="A21" s="853"/>
      <c r="B21" s="853"/>
      <c r="C21" s="853"/>
      <c r="D21" s="1125" t="s">
        <v>1093</v>
      </c>
      <c r="E21" s="837"/>
      <c r="F21" s="835"/>
      <c r="G21" s="1126"/>
      <c r="H21" s="835">
        <v>3205</v>
      </c>
      <c r="I21" s="835">
        <v>0</v>
      </c>
      <c r="J21" s="1029">
        <v>0</v>
      </c>
      <c r="M21" s="1127"/>
      <c r="O21" s="750"/>
    </row>
    <row r="22" spans="1:15" s="854" customFormat="1" ht="15" customHeight="1">
      <c r="A22" s="853"/>
      <c r="B22" s="853"/>
      <c r="C22" s="853"/>
      <c r="D22" s="1125" t="s">
        <v>1094</v>
      </c>
      <c r="E22" s="837"/>
      <c r="F22" s="835"/>
      <c r="G22" s="1126"/>
      <c r="H22" s="837">
        <v>0</v>
      </c>
      <c r="I22" s="835">
        <v>314</v>
      </c>
      <c r="J22" s="1029">
        <v>0</v>
      </c>
      <c r="M22" s="1127"/>
      <c r="O22" s="750" t="s">
        <v>1152</v>
      </c>
    </row>
    <row r="23" spans="1:15" s="854" customFormat="1" ht="15.75" customHeight="1">
      <c r="A23" s="853"/>
      <c r="B23" s="853"/>
      <c r="C23" s="853"/>
      <c r="D23" s="1125" t="s">
        <v>1095</v>
      </c>
      <c r="E23" s="837"/>
      <c r="F23" s="835"/>
      <c r="G23" s="1126"/>
      <c r="H23" s="837">
        <v>0</v>
      </c>
      <c r="I23" s="835">
        <v>46</v>
      </c>
      <c r="J23" s="1029">
        <v>0</v>
      </c>
      <c r="M23" s="1127"/>
      <c r="O23" s="750" t="s">
        <v>1152</v>
      </c>
    </row>
    <row r="24" spans="1:15" s="854" customFormat="1" ht="15.75" customHeight="1">
      <c r="A24" s="853"/>
      <c r="B24" s="853"/>
      <c r="C24" s="853"/>
      <c r="D24" s="1125"/>
      <c r="E24" s="837"/>
      <c r="F24" s="835"/>
      <c r="G24" s="1126"/>
      <c r="H24" s="837"/>
      <c r="I24" s="835"/>
      <c r="J24" s="1029"/>
      <c r="M24" s="1127"/>
      <c r="O24" s="750"/>
    </row>
    <row r="25" spans="1:13" s="750" customFormat="1" ht="15" customHeight="1">
      <c r="A25" s="808" t="s">
        <v>739</v>
      </c>
      <c r="B25" s="809" t="s">
        <v>740</v>
      </c>
      <c r="C25" s="809"/>
      <c r="D25" s="1112"/>
      <c r="E25" s="811">
        <f>E26+E28</f>
        <v>0</v>
      </c>
      <c r="F25" s="811">
        <f>F26+F28</f>
        <v>0</v>
      </c>
      <c r="G25" s="1128">
        <v>0</v>
      </c>
      <c r="H25" s="812"/>
      <c r="I25" s="812"/>
      <c r="J25" s="1129"/>
      <c r="M25" s="1108"/>
    </row>
    <row r="26" spans="1:13" s="750" customFormat="1" ht="15" customHeight="1">
      <c r="A26" s="815"/>
      <c r="B26" s="816" t="s">
        <v>697</v>
      </c>
      <c r="C26" s="817" t="s">
        <v>741</v>
      </c>
      <c r="D26" s="1115"/>
      <c r="E26" s="819">
        <f>SUM(E27)</f>
        <v>0</v>
      </c>
      <c r="F26" s="819">
        <f>SUM(F27)</f>
        <v>0</v>
      </c>
      <c r="G26" s="1130">
        <v>0</v>
      </c>
      <c r="H26" s="820"/>
      <c r="I26" s="820"/>
      <c r="J26" s="1131"/>
      <c r="M26" s="1108"/>
    </row>
    <row r="27" spans="1:15" s="854" customFormat="1" ht="15" customHeight="1">
      <c r="A27" s="853"/>
      <c r="B27" s="853"/>
      <c r="C27" s="853"/>
      <c r="D27" s="1125"/>
      <c r="E27" s="837"/>
      <c r="F27" s="835"/>
      <c r="G27" s="1126"/>
      <c r="H27" s="837"/>
      <c r="I27" s="835"/>
      <c r="J27" s="1029"/>
      <c r="M27" s="1127"/>
      <c r="O27" s="750"/>
    </row>
    <row r="28" spans="1:13" s="750" customFormat="1" ht="15" customHeight="1">
      <c r="A28" s="815"/>
      <c r="B28" s="816" t="s">
        <v>722</v>
      </c>
      <c r="C28" s="817" t="s">
        <v>743</v>
      </c>
      <c r="D28" s="1115"/>
      <c r="E28" s="819">
        <f>SUM(E29:E29)</f>
        <v>0</v>
      </c>
      <c r="F28" s="819">
        <f>SUM(F29:F29)</f>
        <v>0</v>
      </c>
      <c r="G28" s="1130">
        <v>0</v>
      </c>
      <c r="H28" s="820"/>
      <c r="I28" s="820"/>
      <c r="J28" s="1131"/>
      <c r="M28" s="1108"/>
    </row>
    <row r="29" spans="1:15" s="854" customFormat="1" ht="15" customHeight="1">
      <c r="A29" s="853"/>
      <c r="B29" s="853"/>
      <c r="C29" s="853"/>
      <c r="D29" s="1125"/>
      <c r="E29" s="837"/>
      <c r="F29" s="835"/>
      <c r="G29" s="1126"/>
      <c r="H29" s="1132"/>
      <c r="I29" s="847"/>
      <c r="J29" s="1029"/>
      <c r="M29" s="1127"/>
      <c r="O29" s="750"/>
    </row>
    <row r="30" spans="1:13" s="750" customFormat="1" ht="15" customHeight="1">
      <c r="A30" s="808" t="s">
        <v>763</v>
      </c>
      <c r="B30" s="809" t="s">
        <v>764</v>
      </c>
      <c r="C30" s="809"/>
      <c r="D30" s="1112"/>
      <c r="E30" s="811"/>
      <c r="F30" s="811"/>
      <c r="G30" s="1113"/>
      <c r="H30" s="812">
        <f>H31+H34+H36+H41</f>
        <v>1300</v>
      </c>
      <c r="I30" s="812">
        <f>I31+I34+I36+I41</f>
        <v>1500</v>
      </c>
      <c r="J30" s="1114">
        <f>I30/H30</f>
        <v>1.1538461538461537</v>
      </c>
      <c r="M30" s="1108"/>
    </row>
    <row r="31" spans="1:13" s="750" customFormat="1" ht="15" customHeight="1">
      <c r="A31" s="815"/>
      <c r="B31" s="816" t="s">
        <v>697</v>
      </c>
      <c r="C31" s="817" t="s">
        <v>765</v>
      </c>
      <c r="D31" s="1115"/>
      <c r="E31" s="819"/>
      <c r="F31" s="819"/>
      <c r="G31" s="1116"/>
      <c r="H31" s="820">
        <f>H32</f>
        <v>0</v>
      </c>
      <c r="I31" s="820">
        <f>I32</f>
        <v>0</v>
      </c>
      <c r="J31" s="1117">
        <v>0</v>
      </c>
      <c r="M31" s="1108"/>
    </row>
    <row r="32" spans="1:15" s="832" customFormat="1" ht="15" customHeight="1">
      <c r="A32" s="823"/>
      <c r="B32" s="823"/>
      <c r="C32" s="823" t="s">
        <v>699</v>
      </c>
      <c r="D32" s="1118" t="s">
        <v>766</v>
      </c>
      <c r="E32" s="826"/>
      <c r="F32" s="827"/>
      <c r="G32" s="1119"/>
      <c r="H32" s="829">
        <v>0</v>
      </c>
      <c r="I32" s="829">
        <v>0</v>
      </c>
      <c r="J32" s="1120">
        <v>0</v>
      </c>
      <c r="M32" s="1121"/>
      <c r="O32" s="750"/>
    </row>
    <row r="33" spans="1:15" s="832" customFormat="1" ht="15" customHeight="1">
      <c r="A33" s="823"/>
      <c r="B33" s="823"/>
      <c r="C33" s="823"/>
      <c r="D33" s="1118"/>
      <c r="E33" s="826"/>
      <c r="F33" s="827"/>
      <c r="G33" s="1119"/>
      <c r="H33" s="829"/>
      <c r="I33" s="829"/>
      <c r="J33" s="1120"/>
      <c r="M33" s="1121"/>
      <c r="O33" s="750"/>
    </row>
    <row r="34" spans="1:13" s="750" customFormat="1" ht="15" customHeight="1">
      <c r="A34" s="815"/>
      <c r="B34" s="816" t="s">
        <v>722</v>
      </c>
      <c r="C34" s="817" t="s">
        <v>1096</v>
      </c>
      <c r="D34" s="1115"/>
      <c r="E34" s="819"/>
      <c r="F34" s="819"/>
      <c r="G34" s="1116"/>
      <c r="H34" s="820">
        <v>0</v>
      </c>
      <c r="I34" s="820">
        <v>0</v>
      </c>
      <c r="J34" s="1117">
        <v>0</v>
      </c>
      <c r="M34" s="1108"/>
    </row>
    <row r="35" spans="1:15" s="832" customFormat="1" ht="15" customHeight="1">
      <c r="A35" s="823"/>
      <c r="B35" s="823"/>
      <c r="C35" s="823"/>
      <c r="D35" s="1118"/>
      <c r="E35" s="826"/>
      <c r="F35" s="827"/>
      <c r="G35" s="1119"/>
      <c r="H35" s="829"/>
      <c r="I35" s="829"/>
      <c r="J35" s="1120"/>
      <c r="M35" s="1121"/>
      <c r="O35" s="750"/>
    </row>
    <row r="36" spans="1:13" s="750" customFormat="1" ht="15" customHeight="1">
      <c r="A36" s="815"/>
      <c r="B36" s="816" t="s">
        <v>771</v>
      </c>
      <c r="C36" s="817" t="s">
        <v>772</v>
      </c>
      <c r="D36" s="1115"/>
      <c r="E36" s="819"/>
      <c r="F36" s="819"/>
      <c r="G36" s="1116"/>
      <c r="H36" s="820">
        <f>H37+H38+H39</f>
        <v>0</v>
      </c>
      <c r="I36" s="820">
        <f>I37+I38+I39</f>
        <v>0</v>
      </c>
      <c r="J36" s="1117">
        <v>0</v>
      </c>
      <c r="M36" s="1108"/>
    </row>
    <row r="37" spans="1:15" s="832" customFormat="1" ht="15" customHeight="1">
      <c r="A37" s="823"/>
      <c r="B37" s="823"/>
      <c r="C37" s="823" t="s">
        <v>699</v>
      </c>
      <c r="D37" s="1118" t="s">
        <v>773</v>
      </c>
      <c r="E37" s="826"/>
      <c r="F37" s="827"/>
      <c r="G37" s="1119"/>
      <c r="H37" s="829">
        <v>0</v>
      </c>
      <c r="I37" s="829">
        <v>0</v>
      </c>
      <c r="J37" s="1120">
        <v>0</v>
      </c>
      <c r="M37" s="1121"/>
      <c r="O37" s="750"/>
    </row>
    <row r="38" spans="1:15" s="832" customFormat="1" ht="15" customHeight="1">
      <c r="A38" s="823"/>
      <c r="B38" s="823"/>
      <c r="C38" s="823" t="s">
        <v>703</v>
      </c>
      <c r="D38" s="1118" t="s">
        <v>775</v>
      </c>
      <c r="E38" s="826"/>
      <c r="F38" s="827"/>
      <c r="G38" s="1119"/>
      <c r="H38" s="829">
        <v>0</v>
      </c>
      <c r="I38" s="829">
        <v>0</v>
      </c>
      <c r="J38" s="1120">
        <v>0</v>
      </c>
      <c r="M38" s="1121"/>
      <c r="O38" s="750"/>
    </row>
    <row r="39" spans="1:15" s="832" customFormat="1" ht="15" customHeight="1">
      <c r="A39" s="823"/>
      <c r="B39" s="823"/>
      <c r="C39" s="823" t="s">
        <v>706</v>
      </c>
      <c r="D39" s="1118" t="s">
        <v>777</v>
      </c>
      <c r="E39" s="826"/>
      <c r="F39" s="827"/>
      <c r="G39" s="1119"/>
      <c r="H39" s="829">
        <v>0</v>
      </c>
      <c r="I39" s="829">
        <v>0</v>
      </c>
      <c r="J39" s="1120">
        <v>0</v>
      </c>
      <c r="M39" s="1121"/>
      <c r="O39" s="750"/>
    </row>
    <row r="40" spans="1:15" s="832" customFormat="1" ht="15" customHeight="1">
      <c r="A40" s="823"/>
      <c r="B40" s="823"/>
      <c r="C40" s="823"/>
      <c r="D40" s="1118"/>
      <c r="E40" s="826"/>
      <c r="F40" s="827"/>
      <c r="G40" s="1119"/>
      <c r="H40" s="829"/>
      <c r="I40" s="829"/>
      <c r="J40" s="1120"/>
      <c r="M40" s="1121"/>
      <c r="O40" s="750"/>
    </row>
    <row r="41" spans="1:13" s="750" customFormat="1" ht="15" customHeight="1">
      <c r="A41" s="815"/>
      <c r="B41" s="816" t="s">
        <v>780</v>
      </c>
      <c r="C41" s="817" t="s">
        <v>781</v>
      </c>
      <c r="D41" s="1115"/>
      <c r="E41" s="819"/>
      <c r="F41" s="819"/>
      <c r="G41" s="1116"/>
      <c r="H41" s="820">
        <f>H42+H43</f>
        <v>1300</v>
      </c>
      <c r="I41" s="820">
        <f>I42+I43</f>
        <v>1500</v>
      </c>
      <c r="J41" s="1117">
        <f>I41/H41</f>
        <v>1.1538461538461537</v>
      </c>
      <c r="M41" s="1108"/>
    </row>
    <row r="42" spans="1:15" s="854" customFormat="1" ht="15" customHeight="1">
      <c r="A42" s="853"/>
      <c r="B42" s="853"/>
      <c r="C42" s="853"/>
      <c r="D42" s="1009" t="s">
        <v>1097</v>
      </c>
      <c r="E42" s="858"/>
      <c r="F42" s="835"/>
      <c r="G42" s="1126"/>
      <c r="H42" s="835">
        <v>1000</v>
      </c>
      <c r="I42" s="835">
        <v>1000</v>
      </c>
      <c r="J42" s="1029">
        <f>I42/H42</f>
        <v>1</v>
      </c>
      <c r="M42" s="1127"/>
      <c r="O42" s="750" t="s">
        <v>1152</v>
      </c>
    </row>
    <row r="43" spans="1:15" s="854" customFormat="1" ht="15" customHeight="1">
      <c r="A43" s="853"/>
      <c r="B43" s="853"/>
      <c r="C43" s="853"/>
      <c r="D43" s="1009" t="s">
        <v>1098</v>
      </c>
      <c r="E43" s="858"/>
      <c r="F43" s="835"/>
      <c r="G43" s="1126"/>
      <c r="H43" s="835">
        <v>300</v>
      </c>
      <c r="I43" s="835">
        <v>500</v>
      </c>
      <c r="J43" s="1029">
        <f>I43/H43</f>
        <v>1.6666666666666667</v>
      </c>
      <c r="M43" s="1127"/>
      <c r="O43" s="1325" t="s">
        <v>1154</v>
      </c>
    </row>
    <row r="44" spans="1:15" s="832" customFormat="1" ht="15" customHeight="1">
      <c r="A44" s="823"/>
      <c r="B44" s="823"/>
      <c r="C44" s="823"/>
      <c r="D44" s="1118"/>
      <c r="E44" s="826"/>
      <c r="F44" s="827"/>
      <c r="G44" s="1119"/>
      <c r="H44" s="829"/>
      <c r="I44" s="829"/>
      <c r="J44" s="1120"/>
      <c r="M44" s="1121"/>
      <c r="O44" s="750"/>
    </row>
    <row r="45" spans="1:13" s="750" customFormat="1" ht="15" customHeight="1">
      <c r="A45" s="808" t="s">
        <v>786</v>
      </c>
      <c r="B45" s="809" t="s">
        <v>787</v>
      </c>
      <c r="C45" s="809"/>
      <c r="D45" s="1112"/>
      <c r="E45" s="811"/>
      <c r="F45" s="811"/>
      <c r="G45" s="1113"/>
      <c r="H45" s="812">
        <f>H46+H49+H56+H60+H62+H64+H66+H68+H71+H73</f>
        <v>178705</v>
      </c>
      <c r="I45" s="812">
        <f>I46+I49+I56+I60+I62+I64+I66+I68+I71+I73</f>
        <v>51456.91</v>
      </c>
      <c r="J45" s="1114">
        <f>I45/H45</f>
        <v>0.2879433144008282</v>
      </c>
      <c r="M45" s="1108"/>
    </row>
    <row r="46" spans="1:15" s="832" customFormat="1" ht="15" customHeight="1">
      <c r="A46" s="823"/>
      <c r="B46" s="823"/>
      <c r="C46" s="823" t="s">
        <v>699</v>
      </c>
      <c r="D46" s="1118" t="s">
        <v>1099</v>
      </c>
      <c r="E46" s="826"/>
      <c r="F46" s="827"/>
      <c r="G46" s="1119"/>
      <c r="H46" s="829">
        <f>H47</f>
        <v>5000</v>
      </c>
      <c r="I46" s="829">
        <f>I47</f>
        <v>6500</v>
      </c>
      <c r="J46" s="1120">
        <f>I46/H46</f>
        <v>1.3</v>
      </c>
      <c r="M46" s="1121"/>
      <c r="O46" s="750"/>
    </row>
    <row r="47" spans="1:15" s="854" customFormat="1" ht="15" customHeight="1">
      <c r="A47" s="853"/>
      <c r="B47" s="853"/>
      <c r="C47" s="853"/>
      <c r="D47" s="1009" t="s">
        <v>1100</v>
      </c>
      <c r="E47" s="858"/>
      <c r="F47" s="835"/>
      <c r="G47" s="1126"/>
      <c r="H47" s="835">
        <v>5000</v>
      </c>
      <c r="I47" s="835">
        <v>6500</v>
      </c>
      <c r="J47" s="1029">
        <f>I47/H47</f>
        <v>1.3</v>
      </c>
      <c r="M47" s="1127"/>
      <c r="O47" s="750" t="s">
        <v>1152</v>
      </c>
    </row>
    <row r="48" spans="1:15" s="854" customFormat="1" ht="15" customHeight="1">
      <c r="A48" s="853"/>
      <c r="B48" s="853"/>
      <c r="C48" s="853"/>
      <c r="D48" s="1009"/>
      <c r="E48" s="858"/>
      <c r="F48" s="835"/>
      <c r="G48" s="1126"/>
      <c r="H48" s="835"/>
      <c r="I48" s="835"/>
      <c r="J48" s="1029"/>
      <c r="M48" s="1127"/>
      <c r="O48" s="750"/>
    </row>
    <row r="49" spans="1:15" s="832" customFormat="1" ht="15" customHeight="1">
      <c r="A49" s="823"/>
      <c r="B49" s="823"/>
      <c r="C49" s="823" t="s">
        <v>703</v>
      </c>
      <c r="D49" s="1118" t="s">
        <v>789</v>
      </c>
      <c r="E49" s="826"/>
      <c r="F49" s="827"/>
      <c r="G49" s="1119"/>
      <c r="H49" s="829">
        <f>SUM(H50:H54)</f>
        <v>117127</v>
      </c>
      <c r="I49" s="829">
        <f>SUM(I50:I54)</f>
        <v>10533</v>
      </c>
      <c r="J49" s="1120">
        <f aca="true" t="shared" si="0" ref="J49:J54">I49/H49</f>
        <v>0.08992802684265797</v>
      </c>
      <c r="M49" s="1121">
        <f>(I49-I51)*0.27</f>
        <v>2843.9100000000003</v>
      </c>
      <c r="O49" s="750"/>
    </row>
    <row r="50" spans="1:15" s="854" customFormat="1" ht="15" customHeight="1">
      <c r="A50" s="853"/>
      <c r="B50" s="853"/>
      <c r="C50" s="853"/>
      <c r="D50" s="1009" t="s">
        <v>1101</v>
      </c>
      <c r="E50" s="858"/>
      <c r="F50" s="835"/>
      <c r="G50" s="1126"/>
      <c r="H50" s="835">
        <v>1500</v>
      </c>
      <c r="I50" s="835">
        <v>2000</v>
      </c>
      <c r="J50" s="1029">
        <f t="shared" si="0"/>
        <v>1.3333333333333333</v>
      </c>
      <c r="M50" s="1127"/>
      <c r="O50" s="1325" t="s">
        <v>1154</v>
      </c>
    </row>
    <row r="51" spans="1:15" s="854" customFormat="1" ht="15" customHeight="1">
      <c r="A51" s="853"/>
      <c r="B51" s="853"/>
      <c r="C51" s="853"/>
      <c r="D51" s="1009" t="s">
        <v>1102</v>
      </c>
      <c r="E51" s="858"/>
      <c r="F51" s="835"/>
      <c r="G51" s="1126"/>
      <c r="H51" s="835">
        <v>3127</v>
      </c>
      <c r="I51" s="835">
        <v>0</v>
      </c>
      <c r="J51" s="1029">
        <f t="shared" si="0"/>
        <v>0</v>
      </c>
      <c r="M51" s="1127"/>
      <c r="O51" s="750"/>
    </row>
    <row r="52" spans="1:15" s="854" customFormat="1" ht="15" customHeight="1">
      <c r="A52" s="853"/>
      <c r="B52" s="853"/>
      <c r="C52" s="853"/>
      <c r="D52" s="1125" t="s">
        <v>793</v>
      </c>
      <c r="E52" s="862"/>
      <c r="F52" s="863"/>
      <c r="G52" s="1133"/>
      <c r="H52" s="835">
        <v>92000</v>
      </c>
      <c r="I52" s="835">
        <v>0</v>
      </c>
      <c r="J52" s="1029">
        <f t="shared" si="0"/>
        <v>0</v>
      </c>
      <c r="M52" s="1127"/>
      <c r="O52" s="750"/>
    </row>
    <row r="53" spans="1:15" s="854" customFormat="1" ht="15" customHeight="1">
      <c r="A53" s="853"/>
      <c r="B53" s="853"/>
      <c r="C53" s="853"/>
      <c r="D53" s="1125" t="s">
        <v>1103</v>
      </c>
      <c r="E53" s="862"/>
      <c r="F53" s="863"/>
      <c r="G53" s="1133"/>
      <c r="H53" s="835">
        <v>20000</v>
      </c>
      <c r="I53" s="835">
        <v>8333</v>
      </c>
      <c r="J53" s="1029">
        <f t="shared" si="0"/>
        <v>0.41665</v>
      </c>
      <c r="M53" s="1127">
        <f>I53*0.27</f>
        <v>2249.9100000000003</v>
      </c>
      <c r="O53" s="750" t="s">
        <v>1152</v>
      </c>
    </row>
    <row r="54" spans="1:15" s="854" customFormat="1" ht="15" customHeight="1">
      <c r="A54" s="853"/>
      <c r="B54" s="853"/>
      <c r="C54" s="853"/>
      <c r="D54" s="1125" t="s">
        <v>1104</v>
      </c>
      <c r="E54" s="837"/>
      <c r="F54" s="840"/>
      <c r="G54" s="1126"/>
      <c r="H54" s="835">
        <v>500</v>
      </c>
      <c r="I54" s="835">
        <v>200</v>
      </c>
      <c r="J54" s="1029">
        <f t="shared" si="0"/>
        <v>0.4</v>
      </c>
      <c r="M54" s="1127"/>
      <c r="O54" s="750" t="s">
        <v>1152</v>
      </c>
    </row>
    <row r="55" spans="1:15" s="854" customFormat="1" ht="15" customHeight="1">
      <c r="A55" s="853"/>
      <c r="B55" s="853"/>
      <c r="C55" s="853"/>
      <c r="D55" s="1125"/>
      <c r="E55" s="837"/>
      <c r="F55" s="840"/>
      <c r="G55" s="1126"/>
      <c r="H55" s="835"/>
      <c r="I55" s="835"/>
      <c r="J55" s="1029"/>
      <c r="M55" s="1127"/>
      <c r="O55" s="750"/>
    </row>
    <row r="56" spans="1:15" s="832" customFormat="1" ht="15" customHeight="1">
      <c r="A56" s="823"/>
      <c r="B56" s="823"/>
      <c r="C56" s="823" t="s">
        <v>706</v>
      </c>
      <c r="D56" s="1118" t="s">
        <v>794</v>
      </c>
      <c r="E56" s="826"/>
      <c r="F56" s="827"/>
      <c r="G56" s="1119"/>
      <c r="H56" s="829">
        <f>H57+H58</f>
        <v>16000</v>
      </c>
      <c r="I56" s="829">
        <f>I57+I58</f>
        <v>20500</v>
      </c>
      <c r="J56" s="1120">
        <f>I56/H56</f>
        <v>1.28125</v>
      </c>
      <c r="M56" s="1121">
        <f>I56*0.27</f>
        <v>5535</v>
      </c>
      <c r="O56" s="750"/>
    </row>
    <row r="57" spans="1:15" s="832" customFormat="1" ht="15" customHeight="1">
      <c r="A57" s="823"/>
      <c r="B57" s="823"/>
      <c r="C57" s="823"/>
      <c r="D57" s="1009" t="s">
        <v>795</v>
      </c>
      <c r="E57" s="826"/>
      <c r="F57" s="827"/>
      <c r="G57" s="1119"/>
      <c r="H57" s="835">
        <v>11000</v>
      </c>
      <c r="I57" s="835">
        <v>15500</v>
      </c>
      <c r="J57" s="1029">
        <f>I57/H57</f>
        <v>1.4090909090909092</v>
      </c>
      <c r="M57" s="1121">
        <f>I57*0.27</f>
        <v>4185</v>
      </c>
      <c r="O57" s="750" t="s">
        <v>1152</v>
      </c>
    </row>
    <row r="58" spans="1:15" s="832" customFormat="1" ht="15" customHeight="1">
      <c r="A58" s="823"/>
      <c r="B58" s="823"/>
      <c r="C58" s="823"/>
      <c r="D58" s="1009" t="s">
        <v>1105</v>
      </c>
      <c r="E58" s="826"/>
      <c r="F58" s="827"/>
      <c r="G58" s="1119"/>
      <c r="H58" s="835">
        <v>5000</v>
      </c>
      <c r="I58" s="835">
        <v>5000</v>
      </c>
      <c r="J58" s="1029">
        <f>I58/H58</f>
        <v>1</v>
      </c>
      <c r="M58" s="1121"/>
      <c r="O58" s="750" t="s">
        <v>1152</v>
      </c>
    </row>
    <row r="59" spans="1:15" s="854" customFormat="1" ht="15" customHeight="1">
      <c r="A59" s="853"/>
      <c r="B59" s="853"/>
      <c r="C59" s="853"/>
      <c r="D59" s="1125"/>
      <c r="E59" s="837"/>
      <c r="F59" s="840"/>
      <c r="G59" s="1126"/>
      <c r="H59" s="835"/>
      <c r="I59" s="835"/>
      <c r="J59" s="1029"/>
      <c r="M59" s="1127"/>
      <c r="O59" s="750"/>
    </row>
    <row r="60" spans="1:15" s="832" customFormat="1" ht="15" customHeight="1">
      <c r="A60" s="823"/>
      <c r="B60" s="823"/>
      <c r="C60" s="823" t="s">
        <v>711</v>
      </c>
      <c r="D60" s="1118" t="s">
        <v>796</v>
      </c>
      <c r="E60" s="826"/>
      <c r="F60" s="827"/>
      <c r="G60" s="1119"/>
      <c r="H60" s="829">
        <f>H61</f>
        <v>0</v>
      </c>
      <c r="I60" s="829">
        <f>I61</f>
        <v>0</v>
      </c>
      <c r="J60" s="1120">
        <v>0</v>
      </c>
      <c r="M60" s="1121"/>
      <c r="O60" s="750"/>
    </row>
    <row r="61" spans="1:15" s="832" customFormat="1" ht="15" customHeight="1">
      <c r="A61" s="823"/>
      <c r="B61" s="823"/>
      <c r="C61" s="823"/>
      <c r="D61" s="1118"/>
      <c r="E61" s="826"/>
      <c r="F61" s="827"/>
      <c r="G61" s="1119"/>
      <c r="H61" s="829"/>
      <c r="I61" s="829"/>
      <c r="J61" s="1120"/>
      <c r="M61" s="1121"/>
      <c r="O61" s="750"/>
    </row>
    <row r="62" spans="1:15" s="832" customFormat="1" ht="15" customHeight="1">
      <c r="A62" s="823"/>
      <c r="B62" s="823"/>
      <c r="C62" s="823" t="s">
        <v>714</v>
      </c>
      <c r="D62" s="1118" t="s">
        <v>812</v>
      </c>
      <c r="E62" s="826"/>
      <c r="F62" s="827"/>
      <c r="G62" s="1119"/>
      <c r="H62" s="829">
        <v>0</v>
      </c>
      <c r="I62" s="829">
        <v>0</v>
      </c>
      <c r="J62" s="1120">
        <v>0</v>
      </c>
      <c r="M62" s="1121"/>
      <c r="O62" s="750"/>
    </row>
    <row r="63" spans="1:15" s="832" customFormat="1" ht="15" customHeight="1">
      <c r="A63" s="823"/>
      <c r="B63" s="823"/>
      <c r="C63" s="823"/>
      <c r="D63" s="1118"/>
      <c r="E63" s="826"/>
      <c r="F63" s="827"/>
      <c r="G63" s="1119"/>
      <c r="H63" s="829"/>
      <c r="I63" s="829"/>
      <c r="J63" s="1120"/>
      <c r="M63" s="1121"/>
      <c r="O63" s="750"/>
    </row>
    <row r="64" spans="1:15" s="832" customFormat="1" ht="15" customHeight="1">
      <c r="A64" s="823"/>
      <c r="B64" s="823"/>
      <c r="C64" s="823" t="s">
        <v>720</v>
      </c>
      <c r="D64" s="1118" t="s">
        <v>818</v>
      </c>
      <c r="E64" s="826"/>
      <c r="F64" s="827"/>
      <c r="G64" s="1119"/>
      <c r="H64" s="829">
        <f>30780+4320</f>
        <v>35100</v>
      </c>
      <c r="I64" s="829">
        <f>M49+M56</f>
        <v>8378.91</v>
      </c>
      <c r="J64" s="1120">
        <f>I64/H64</f>
        <v>0.2387153846153846</v>
      </c>
      <c r="M64" s="1121">
        <f>M49+M56</f>
        <v>8378.91</v>
      </c>
      <c r="O64" s="750" t="s">
        <v>1152</v>
      </c>
    </row>
    <row r="65" spans="1:15" s="832" customFormat="1" ht="15" customHeight="1">
      <c r="A65" s="823"/>
      <c r="B65" s="823"/>
      <c r="C65" s="823"/>
      <c r="D65" s="1118"/>
      <c r="E65" s="826"/>
      <c r="F65" s="827"/>
      <c r="G65" s="1119"/>
      <c r="H65" s="829"/>
      <c r="I65" s="829"/>
      <c r="J65" s="1120"/>
      <c r="M65" s="1121"/>
      <c r="O65" s="750"/>
    </row>
    <row r="66" spans="1:15" s="832" customFormat="1" ht="15" customHeight="1">
      <c r="A66" s="823"/>
      <c r="B66" s="823"/>
      <c r="C66" s="823" t="s">
        <v>819</v>
      </c>
      <c r="D66" s="1118" t="s">
        <v>820</v>
      </c>
      <c r="E66" s="826"/>
      <c r="F66" s="827"/>
      <c r="G66" s="1119"/>
      <c r="H66" s="829">
        <f>4320+1148</f>
        <v>5468</v>
      </c>
      <c r="I66" s="829">
        <f>M56</f>
        <v>5535</v>
      </c>
      <c r="J66" s="1120">
        <f>I66/H66</f>
        <v>1.0122531089978055</v>
      </c>
      <c r="M66" s="1121"/>
      <c r="O66" s="750" t="s">
        <v>1152</v>
      </c>
    </row>
    <row r="67" spans="1:15" s="832" customFormat="1" ht="15" customHeight="1">
      <c r="A67" s="823"/>
      <c r="B67" s="823"/>
      <c r="C67" s="823"/>
      <c r="D67" s="1118"/>
      <c r="E67" s="826"/>
      <c r="F67" s="827"/>
      <c r="G67" s="1119"/>
      <c r="H67" s="829"/>
      <c r="I67" s="829"/>
      <c r="J67" s="1120"/>
      <c r="M67" s="1121"/>
      <c r="O67" s="750"/>
    </row>
    <row r="68" spans="1:15" s="832" customFormat="1" ht="15" customHeight="1">
      <c r="A68" s="823"/>
      <c r="B68" s="823"/>
      <c r="C68" s="823" t="s">
        <v>821</v>
      </c>
      <c r="D68" s="1118" t="s">
        <v>822</v>
      </c>
      <c r="E68" s="826"/>
      <c r="F68" s="827"/>
      <c r="G68" s="1119"/>
      <c r="H68" s="829">
        <f>SUM(H69:H69)</f>
        <v>10</v>
      </c>
      <c r="I68" s="829">
        <f>SUM(I69:I69)</f>
        <v>10</v>
      </c>
      <c r="J68" s="1120">
        <f>I68/H68</f>
        <v>1</v>
      </c>
      <c r="M68" s="1121"/>
      <c r="O68" s="750"/>
    </row>
    <row r="69" spans="1:15" s="832" customFormat="1" ht="15" customHeight="1">
      <c r="A69" s="823"/>
      <c r="B69" s="823"/>
      <c r="C69" s="823"/>
      <c r="D69" s="1125" t="s">
        <v>823</v>
      </c>
      <c r="E69" s="837"/>
      <c r="F69" s="835"/>
      <c r="G69" s="1126"/>
      <c r="H69" s="837">
        <v>10</v>
      </c>
      <c r="I69" s="835">
        <v>10</v>
      </c>
      <c r="J69" s="1029">
        <f>I69/H69</f>
        <v>1</v>
      </c>
      <c r="M69" s="1121"/>
      <c r="O69" s="750" t="s">
        <v>1152</v>
      </c>
    </row>
    <row r="70" spans="1:15" s="832" customFormat="1" ht="15" customHeight="1">
      <c r="A70" s="823"/>
      <c r="B70" s="823"/>
      <c r="C70" s="823"/>
      <c r="D70" s="1125"/>
      <c r="E70" s="837"/>
      <c r="F70" s="835"/>
      <c r="G70" s="1126"/>
      <c r="H70" s="837"/>
      <c r="I70" s="829"/>
      <c r="J70" s="1120"/>
      <c r="M70" s="1121"/>
      <c r="O70" s="750"/>
    </row>
    <row r="71" spans="1:15" s="832" customFormat="1" ht="15" customHeight="1">
      <c r="A71" s="823"/>
      <c r="B71" s="823"/>
      <c r="C71" s="823" t="s">
        <v>825</v>
      </c>
      <c r="D71" s="1118" t="s">
        <v>826</v>
      </c>
      <c r="E71" s="826"/>
      <c r="F71" s="827"/>
      <c r="G71" s="1119"/>
      <c r="H71" s="829">
        <v>0</v>
      </c>
      <c r="I71" s="829">
        <v>0</v>
      </c>
      <c r="J71" s="1120">
        <v>0</v>
      </c>
      <c r="M71" s="1121"/>
      <c r="O71" s="750"/>
    </row>
    <row r="72" spans="1:15" s="832" customFormat="1" ht="15" customHeight="1">
      <c r="A72" s="823"/>
      <c r="B72" s="823"/>
      <c r="C72" s="823"/>
      <c r="D72" s="1118"/>
      <c r="E72" s="826"/>
      <c r="F72" s="827"/>
      <c r="G72" s="1119"/>
      <c r="H72" s="829"/>
      <c r="I72" s="829"/>
      <c r="J72" s="1120"/>
      <c r="M72" s="1121"/>
      <c r="O72" s="750"/>
    </row>
    <row r="73" spans="1:15" s="832" customFormat="1" ht="15" customHeight="1">
      <c r="A73" s="823"/>
      <c r="B73" s="823"/>
      <c r="C73" s="823" t="s">
        <v>827</v>
      </c>
      <c r="D73" s="1118" t="s">
        <v>828</v>
      </c>
      <c r="E73" s="826"/>
      <c r="F73" s="827"/>
      <c r="G73" s="1119"/>
      <c r="H73" s="829">
        <v>0</v>
      </c>
      <c r="I73" s="829">
        <v>0</v>
      </c>
      <c r="J73" s="1120">
        <v>0</v>
      </c>
      <c r="M73" s="1121"/>
      <c r="O73" s="750"/>
    </row>
    <row r="74" spans="1:15" s="832" customFormat="1" ht="15" customHeight="1">
      <c r="A74" s="823"/>
      <c r="B74" s="823"/>
      <c r="C74" s="823"/>
      <c r="D74" s="1118"/>
      <c r="E74" s="826"/>
      <c r="F74" s="827"/>
      <c r="G74" s="1119"/>
      <c r="H74" s="829"/>
      <c r="I74" s="829"/>
      <c r="J74" s="1120"/>
      <c r="M74" s="1121"/>
      <c r="O74" s="750"/>
    </row>
    <row r="75" spans="1:15" s="832" customFormat="1" ht="15" customHeight="1">
      <c r="A75" s="823"/>
      <c r="B75" s="823"/>
      <c r="C75" s="823" t="s">
        <v>829</v>
      </c>
      <c r="D75" s="1118" t="s">
        <v>1144</v>
      </c>
      <c r="E75" s="826"/>
      <c r="F75" s="827"/>
      <c r="G75" s="1119"/>
      <c r="H75" s="829">
        <v>0</v>
      </c>
      <c r="I75" s="829">
        <v>0</v>
      </c>
      <c r="J75" s="1120">
        <v>0</v>
      </c>
      <c r="M75" s="1121"/>
      <c r="O75" s="750"/>
    </row>
    <row r="76" spans="1:15" s="832" customFormat="1" ht="15" customHeight="1">
      <c r="A76" s="823"/>
      <c r="B76" s="823"/>
      <c r="C76" s="823"/>
      <c r="D76" s="1118"/>
      <c r="E76" s="826"/>
      <c r="F76" s="827"/>
      <c r="G76" s="1119"/>
      <c r="H76" s="829"/>
      <c r="I76" s="829"/>
      <c r="J76" s="1120"/>
      <c r="M76" s="1121"/>
      <c r="O76" s="750"/>
    </row>
    <row r="77" spans="1:13" s="750" customFormat="1" ht="15" customHeight="1">
      <c r="A77" s="808" t="s">
        <v>833</v>
      </c>
      <c r="B77" s="809" t="s">
        <v>834</v>
      </c>
      <c r="C77" s="809"/>
      <c r="D77" s="1112"/>
      <c r="E77" s="811">
        <f>E78</f>
        <v>0</v>
      </c>
      <c r="F77" s="812">
        <f>F78</f>
        <v>0</v>
      </c>
      <c r="G77" s="1128">
        <v>0</v>
      </c>
      <c r="H77" s="811"/>
      <c r="I77" s="812"/>
      <c r="J77" s="1129"/>
      <c r="M77" s="1108"/>
    </row>
    <row r="78" spans="1:13" s="750" customFormat="1" ht="15" customHeight="1">
      <c r="A78" s="815"/>
      <c r="B78" s="816" t="s">
        <v>697</v>
      </c>
      <c r="C78" s="817" t="s">
        <v>835</v>
      </c>
      <c r="D78" s="1115"/>
      <c r="E78" s="819">
        <f>E79</f>
        <v>0</v>
      </c>
      <c r="F78" s="820">
        <f>F79</f>
        <v>0</v>
      </c>
      <c r="G78" s="1130">
        <v>0</v>
      </c>
      <c r="H78" s="819"/>
      <c r="I78" s="820"/>
      <c r="J78" s="1131"/>
      <c r="M78" s="1108"/>
    </row>
    <row r="79" spans="1:15" s="832" customFormat="1" ht="15" customHeight="1">
      <c r="A79" s="823"/>
      <c r="B79" s="823"/>
      <c r="C79" s="823"/>
      <c r="D79" s="1125"/>
      <c r="E79" s="837"/>
      <c r="F79" s="835"/>
      <c r="G79" s="1119"/>
      <c r="H79" s="837"/>
      <c r="I79" s="835"/>
      <c r="J79" s="1120"/>
      <c r="M79" s="1121"/>
      <c r="O79" s="750"/>
    </row>
    <row r="80" spans="1:13" s="750" customFormat="1" ht="15" customHeight="1">
      <c r="A80" s="808" t="s">
        <v>838</v>
      </c>
      <c r="B80" s="809" t="s">
        <v>839</v>
      </c>
      <c r="C80" s="809"/>
      <c r="D80" s="1112"/>
      <c r="E80" s="811"/>
      <c r="F80" s="811"/>
      <c r="G80" s="1113"/>
      <c r="H80" s="811">
        <f>H81</f>
        <v>0</v>
      </c>
      <c r="I80" s="811">
        <f>I81</f>
        <v>0</v>
      </c>
      <c r="J80" s="1114">
        <v>0</v>
      </c>
      <c r="M80" s="1108"/>
    </row>
    <row r="81" spans="1:13" s="750" customFormat="1" ht="15" customHeight="1">
      <c r="A81" s="815"/>
      <c r="B81" s="816" t="s">
        <v>697</v>
      </c>
      <c r="C81" s="817" t="s">
        <v>1106</v>
      </c>
      <c r="D81" s="1115"/>
      <c r="E81" s="819"/>
      <c r="F81" s="819"/>
      <c r="G81" s="1116"/>
      <c r="H81" s="820">
        <f>H82+H83</f>
        <v>0</v>
      </c>
      <c r="I81" s="820">
        <f>I82+I83</f>
        <v>0</v>
      </c>
      <c r="J81" s="1117">
        <v>0</v>
      </c>
      <c r="M81" s="1108"/>
    </row>
    <row r="82" spans="1:15" s="832" customFormat="1" ht="15" customHeight="1" hidden="1">
      <c r="A82" s="823"/>
      <c r="B82" s="823"/>
      <c r="C82" s="823"/>
      <c r="D82" s="1125"/>
      <c r="E82" s="837"/>
      <c r="F82" s="835"/>
      <c r="G82" s="1126"/>
      <c r="H82" s="835"/>
      <c r="I82" s="835"/>
      <c r="J82" s="1029"/>
      <c r="M82" s="1121"/>
      <c r="O82" s="750"/>
    </row>
    <row r="83" spans="1:15" s="832" customFormat="1" ht="15" customHeight="1" hidden="1">
      <c r="A83" s="823"/>
      <c r="B83" s="823"/>
      <c r="C83" s="823"/>
      <c r="D83" s="1125"/>
      <c r="E83" s="837"/>
      <c r="F83" s="835"/>
      <c r="G83" s="1126"/>
      <c r="H83" s="835"/>
      <c r="I83" s="835"/>
      <c r="J83" s="1029"/>
      <c r="M83" s="1121"/>
      <c r="O83" s="750"/>
    </row>
    <row r="84" spans="1:15" s="832" customFormat="1" ht="15" customHeight="1">
      <c r="A84" s="823"/>
      <c r="B84" s="823"/>
      <c r="C84" s="823"/>
      <c r="D84" s="1125"/>
      <c r="E84" s="837"/>
      <c r="F84" s="835"/>
      <c r="G84" s="1126"/>
      <c r="H84" s="835"/>
      <c r="I84" s="835"/>
      <c r="J84" s="1120"/>
      <c r="M84" s="1121"/>
      <c r="O84" s="750"/>
    </row>
    <row r="85" spans="1:13" s="750" customFormat="1" ht="15" customHeight="1">
      <c r="A85" s="808" t="s">
        <v>845</v>
      </c>
      <c r="B85" s="809" t="s">
        <v>846</v>
      </c>
      <c r="C85" s="809"/>
      <c r="D85" s="1112"/>
      <c r="E85" s="811">
        <f>E86+E88</f>
        <v>0</v>
      </c>
      <c r="F85" s="811">
        <f>F86+F88</f>
        <v>0</v>
      </c>
      <c r="G85" s="1128">
        <v>0</v>
      </c>
      <c r="H85" s="811"/>
      <c r="I85" s="811"/>
      <c r="J85" s="1129"/>
      <c r="M85" s="1108"/>
    </row>
    <row r="86" spans="1:13" s="750" customFormat="1" ht="15" customHeight="1">
      <c r="A86" s="815"/>
      <c r="B86" s="816" t="s">
        <v>697</v>
      </c>
      <c r="C86" s="817" t="s">
        <v>1107</v>
      </c>
      <c r="D86" s="1115"/>
      <c r="E86" s="819">
        <f>E87</f>
        <v>0</v>
      </c>
      <c r="F86" s="819">
        <f>F87</f>
        <v>0</v>
      </c>
      <c r="G86" s="1130">
        <v>0</v>
      </c>
      <c r="H86" s="820"/>
      <c r="I86" s="820"/>
      <c r="J86" s="1131"/>
      <c r="M86" s="1108"/>
    </row>
    <row r="87" spans="1:15" s="832" customFormat="1" ht="15" customHeight="1">
      <c r="A87" s="823"/>
      <c r="B87" s="823"/>
      <c r="C87" s="823"/>
      <c r="D87" s="1125"/>
      <c r="E87" s="837"/>
      <c r="F87" s="835"/>
      <c r="G87" s="1126"/>
      <c r="H87" s="835"/>
      <c r="I87" s="835"/>
      <c r="J87" s="1120"/>
      <c r="M87" s="1121"/>
      <c r="O87" s="750"/>
    </row>
    <row r="88" spans="1:13" s="750" customFormat="1" ht="15" customHeight="1">
      <c r="A88" s="815"/>
      <c r="B88" s="816" t="s">
        <v>722</v>
      </c>
      <c r="C88" s="817" t="s">
        <v>1108</v>
      </c>
      <c r="D88" s="1115"/>
      <c r="E88" s="819">
        <f>E89</f>
        <v>0</v>
      </c>
      <c r="F88" s="819">
        <f>F89</f>
        <v>0</v>
      </c>
      <c r="G88" s="1130">
        <v>0</v>
      </c>
      <c r="H88" s="820"/>
      <c r="I88" s="820"/>
      <c r="J88" s="1131"/>
      <c r="M88" s="1108"/>
    </row>
    <row r="89" spans="1:15" s="832" customFormat="1" ht="15" customHeight="1" thickBot="1">
      <c r="A89" s="823"/>
      <c r="B89" s="823"/>
      <c r="C89" s="823"/>
      <c r="D89" s="1125"/>
      <c r="E89" s="837"/>
      <c r="F89" s="835"/>
      <c r="G89" s="1126"/>
      <c r="H89" s="835"/>
      <c r="I89" s="835"/>
      <c r="J89" s="1120"/>
      <c r="M89" s="1121"/>
      <c r="O89" s="750"/>
    </row>
    <row r="90" spans="1:15" s="870" customFormat="1" ht="15" customHeight="1" thickBot="1">
      <c r="A90" s="1469" t="s">
        <v>855</v>
      </c>
      <c r="B90" s="1470"/>
      <c r="C90" s="1470"/>
      <c r="D90" s="1471"/>
      <c r="E90" s="867">
        <f>E11+E25+E30+E45+E77+E80+E85</f>
        <v>0</v>
      </c>
      <c r="F90" s="865">
        <f>F11+F25+F30+F45+F77+F80+F85</f>
        <v>0</v>
      </c>
      <c r="G90" s="876">
        <v>0</v>
      </c>
      <c r="H90" s="865">
        <f>H11+H25+H30+H45+H77+H80+H85</f>
        <v>187119</v>
      </c>
      <c r="I90" s="865">
        <f>I11+I25+I30+I45+I77+I80+I85</f>
        <v>53316.91</v>
      </c>
      <c r="J90" s="876">
        <f>I90/H90</f>
        <v>0.28493584296624075</v>
      </c>
      <c r="L90" s="869">
        <f>E90+H90</f>
        <v>187119</v>
      </c>
      <c r="M90" s="877">
        <f>F90+I90</f>
        <v>53316.91</v>
      </c>
      <c r="O90" s="1012"/>
    </row>
    <row r="91" spans="1:13" s="750" customFormat="1" ht="15" customHeight="1">
      <c r="A91" s="808" t="s">
        <v>856</v>
      </c>
      <c r="B91" s="809" t="s">
        <v>857</v>
      </c>
      <c r="C91" s="809"/>
      <c r="D91" s="1112"/>
      <c r="E91" s="811">
        <f>E92</f>
        <v>0</v>
      </c>
      <c r="F91" s="811">
        <f>F92</f>
        <v>0</v>
      </c>
      <c r="G91" s="1128">
        <v>0</v>
      </c>
      <c r="H91" s="811">
        <f>H92</f>
        <v>719276</v>
      </c>
      <c r="I91" s="811">
        <f>I92</f>
        <v>786549</v>
      </c>
      <c r="J91" s="1114">
        <f>I91/H91</f>
        <v>1.0935287705971004</v>
      </c>
      <c r="M91" s="1108"/>
    </row>
    <row r="92" spans="1:13" s="750" customFormat="1" ht="15" customHeight="1">
      <c r="A92" s="815"/>
      <c r="B92" s="816" t="s">
        <v>697</v>
      </c>
      <c r="C92" s="817" t="s">
        <v>858</v>
      </c>
      <c r="D92" s="1115"/>
      <c r="E92" s="819">
        <f>E93+E95</f>
        <v>0</v>
      </c>
      <c r="F92" s="819">
        <f>F93+F95</f>
        <v>0</v>
      </c>
      <c r="G92" s="1130">
        <v>0</v>
      </c>
      <c r="H92" s="819">
        <f>H93+H95</f>
        <v>719276</v>
      </c>
      <c r="I92" s="819">
        <f>I93+I95</f>
        <v>786549</v>
      </c>
      <c r="J92" s="1117">
        <f>I92/H92</f>
        <v>1.0935287705971004</v>
      </c>
      <c r="M92" s="1108"/>
    </row>
    <row r="93" spans="1:15" s="832" customFormat="1" ht="15" customHeight="1">
      <c r="A93" s="823"/>
      <c r="B93" s="823"/>
      <c r="C93" s="823" t="s">
        <v>699</v>
      </c>
      <c r="D93" s="1118" t="s">
        <v>859</v>
      </c>
      <c r="E93" s="838">
        <f>E94</f>
        <v>0</v>
      </c>
      <c r="F93" s="838">
        <f>F94</f>
        <v>0</v>
      </c>
      <c r="G93" s="1119">
        <v>0</v>
      </c>
      <c r="H93" s="838">
        <f>H94</f>
        <v>0</v>
      </c>
      <c r="I93" s="838">
        <f>I94</f>
        <v>3666</v>
      </c>
      <c r="J93" s="1120">
        <v>0</v>
      </c>
      <c r="M93" s="1121"/>
      <c r="O93" s="750"/>
    </row>
    <row r="94" spans="1:15" s="832" customFormat="1" ht="15" customHeight="1">
      <c r="A94" s="823"/>
      <c r="B94" s="823"/>
      <c r="C94" s="823"/>
      <c r="D94" s="1125" t="s">
        <v>860</v>
      </c>
      <c r="E94" s="837">
        <v>0</v>
      </c>
      <c r="F94" s="835">
        <v>0</v>
      </c>
      <c r="G94" s="1126">
        <v>0</v>
      </c>
      <c r="H94" s="837">
        <v>0</v>
      </c>
      <c r="I94" s="835">
        <v>3666</v>
      </c>
      <c r="J94" s="1029">
        <v>0</v>
      </c>
      <c r="K94" s="1134"/>
      <c r="M94" s="1121"/>
      <c r="O94" s="750"/>
    </row>
    <row r="95" spans="1:15" s="832" customFormat="1" ht="15" customHeight="1">
      <c r="A95" s="823"/>
      <c r="B95" s="823"/>
      <c r="C95" s="823" t="s">
        <v>703</v>
      </c>
      <c r="D95" s="1118" t="s">
        <v>1109</v>
      </c>
      <c r="E95" s="838"/>
      <c r="F95" s="838"/>
      <c r="G95" s="1119"/>
      <c r="H95" s="829">
        <f>H96</f>
        <v>719276</v>
      </c>
      <c r="I95" s="829">
        <f>I96</f>
        <v>782883</v>
      </c>
      <c r="J95" s="1120">
        <f>I95/H95</f>
        <v>1.08843197882315</v>
      </c>
      <c r="M95" s="1121"/>
      <c r="O95" s="750"/>
    </row>
    <row r="96" spans="1:15" s="832" customFormat="1" ht="15" customHeight="1" thickBot="1">
      <c r="A96" s="823"/>
      <c r="B96" s="823"/>
      <c r="C96" s="823"/>
      <c r="D96" s="1125" t="s">
        <v>1110</v>
      </c>
      <c r="E96" s="837"/>
      <c r="F96" s="835"/>
      <c r="G96" s="1126"/>
      <c r="H96" s="835">
        <v>719276</v>
      </c>
      <c r="I96" s="835">
        <f>777892+1588+3403</f>
        <v>782883</v>
      </c>
      <c r="J96" s="1029">
        <f>I96/H96</f>
        <v>1.08843197882315</v>
      </c>
      <c r="M96" s="1121"/>
      <c r="O96" s="750" t="s">
        <v>1152</v>
      </c>
    </row>
    <row r="97" spans="1:15" s="870" customFormat="1" ht="15" customHeight="1" thickBot="1">
      <c r="A97" s="1469" t="s">
        <v>865</v>
      </c>
      <c r="B97" s="1470"/>
      <c r="C97" s="1470"/>
      <c r="D97" s="1471"/>
      <c r="E97" s="867">
        <f>E90+E91</f>
        <v>0</v>
      </c>
      <c r="F97" s="867">
        <f>F90+F91</f>
        <v>0</v>
      </c>
      <c r="G97" s="876">
        <v>0</v>
      </c>
      <c r="H97" s="865">
        <f>H90+H91</f>
        <v>906395</v>
      </c>
      <c r="I97" s="865">
        <f>I90+I91</f>
        <v>839865.91</v>
      </c>
      <c r="J97" s="876">
        <f>I97/H97</f>
        <v>0.926600334291341</v>
      </c>
      <c r="L97" s="869"/>
      <c r="M97" s="877"/>
      <c r="O97" s="1012"/>
    </row>
    <row r="99" spans="9:10" ht="15.75">
      <c r="I99" s="735">
        <f>I19+I42+I47+I53+I54+I57+I58+I64+I66+I69+I96+I94</f>
        <v>837365.91</v>
      </c>
      <c r="J99" s="795" t="s">
        <v>1152</v>
      </c>
    </row>
    <row r="100" spans="9:10" ht="15.75">
      <c r="I100" s="735"/>
      <c r="J100" s="795" t="s">
        <v>1153</v>
      </c>
    </row>
    <row r="101" spans="9:10" ht="15.75">
      <c r="I101" s="735">
        <f>I43+I50</f>
        <v>2500</v>
      </c>
      <c r="J101" s="795" t="s">
        <v>1154</v>
      </c>
    </row>
    <row r="102" spans="9:10" ht="15.75">
      <c r="I102" s="735">
        <f>SUM(I99:I101)</f>
        <v>839865.91</v>
      </c>
      <c r="J102" s="795"/>
    </row>
    <row r="103" spans="9:10" ht="15.75">
      <c r="I103" s="1231">
        <f>I102-I97-F97</f>
        <v>0</v>
      </c>
      <c r="J103" s="795"/>
    </row>
    <row r="104" ht="15.75">
      <c r="I104" s="1231"/>
    </row>
  </sheetData>
  <sheetProtection/>
  <mergeCells count="10">
    <mergeCell ref="G8:G9"/>
    <mergeCell ref="J8:J9"/>
    <mergeCell ref="A90:D90"/>
    <mergeCell ref="A97:D97"/>
    <mergeCell ref="A1:J1"/>
    <mergeCell ref="A3:J3"/>
    <mergeCell ref="A4:J4"/>
    <mergeCell ref="A5:J5"/>
    <mergeCell ref="E7:G7"/>
    <mergeCell ref="H7:J7"/>
  </mergeCells>
  <printOptions/>
  <pageMargins left="0.7" right="0.7" top="0.75" bottom="0.75" header="0.3" footer="0.3"/>
  <pageSetup horizontalDpi="600" verticalDpi="600" orientation="landscape" paperSize="9" scale="73" r:id="rId2"/>
  <rowBreaks count="2" manualBreakCount="2">
    <brk id="40" max="14" man="1"/>
    <brk id="7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25">
      <selection activeCell="S50" sqref="S50"/>
    </sheetView>
  </sheetViews>
  <sheetFormatPr defaultColWidth="9.375" defaultRowHeight="12.75"/>
  <cols>
    <col min="1" max="1" width="2.50390625" style="881" customWidth="1"/>
    <col min="2" max="2" width="31.625" style="966" customWidth="1"/>
    <col min="3" max="3" width="9.625" style="879" customWidth="1"/>
    <col min="4" max="4" width="12.125" style="879" bestFit="1" customWidth="1"/>
    <col min="5" max="5" width="9.625" style="1167" customWidth="1"/>
    <col min="6" max="10" width="9.625" style="879" customWidth="1"/>
    <col min="11" max="11" width="9.625" style="1167" customWidth="1"/>
    <col min="12" max="27" width="9.625" style="879" customWidth="1"/>
    <col min="28" max="16384" width="9.375" style="879" customWidth="1"/>
  </cols>
  <sheetData>
    <row r="1" spans="1:23" s="878" customFormat="1" ht="9" customHeight="1">
      <c r="A1" s="1483" t="s">
        <v>1111</v>
      </c>
      <c r="B1" s="1483"/>
      <c r="C1" s="1483"/>
      <c r="D1" s="1483"/>
      <c r="E1" s="1483"/>
      <c r="F1" s="1483"/>
      <c r="G1" s="1483"/>
      <c r="H1" s="1483"/>
      <c r="I1" s="1483"/>
      <c r="J1" s="1483"/>
      <c r="K1" s="1483"/>
      <c r="L1" s="1483"/>
      <c r="M1" s="1483"/>
      <c r="N1" s="1483"/>
      <c r="O1" s="1483"/>
      <c r="P1" s="1483"/>
      <c r="Q1" s="1483"/>
      <c r="R1" s="1483"/>
      <c r="S1" s="1483"/>
      <c r="T1" s="1483"/>
      <c r="U1" s="1483"/>
      <c r="V1" s="1483"/>
      <c r="W1" s="1484"/>
    </row>
    <row r="2" spans="1:23" ht="15" customHeight="1">
      <c r="A2" s="1485" t="str">
        <f>'[4]2'!A2:E2</f>
        <v>SIÓFOKI KÖZÖS ÖNKORMÁNYZATI HIVATAL MŰKÖDÉSI KIADÁSAI</v>
      </c>
      <c r="B2" s="1485"/>
      <c r="C2" s="1485"/>
      <c r="D2" s="1485"/>
      <c r="E2" s="1485"/>
      <c r="F2" s="1485"/>
      <c r="G2" s="1485"/>
      <c r="H2" s="1485"/>
      <c r="I2" s="1485"/>
      <c r="J2" s="1485"/>
      <c r="K2" s="1485"/>
      <c r="L2" s="1485"/>
      <c r="M2" s="1485"/>
      <c r="N2" s="1485"/>
      <c r="O2" s="1485"/>
      <c r="P2" s="1485"/>
      <c r="Q2" s="1485"/>
      <c r="R2" s="1485"/>
      <c r="S2" s="1485"/>
      <c r="T2" s="1485"/>
      <c r="U2" s="1485"/>
      <c r="V2" s="1485"/>
      <c r="W2" s="1485"/>
    </row>
    <row r="3" spans="1:23" s="880" customFormat="1" ht="15" customHeight="1">
      <c r="A3" s="1486" t="s">
        <v>1112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</row>
    <row r="4" spans="1:23" s="881" customFormat="1" ht="12" customHeight="1" thickBot="1">
      <c r="A4" s="1516" t="s">
        <v>869</v>
      </c>
      <c r="B4" s="1516"/>
      <c r="C4" s="1516"/>
      <c r="D4" s="1516"/>
      <c r="E4" s="1516"/>
      <c r="F4" s="1516"/>
      <c r="G4" s="1516"/>
      <c r="H4" s="1516"/>
      <c r="I4" s="1516"/>
      <c r="J4" s="1516"/>
      <c r="K4" s="1516"/>
      <c r="L4" s="1516"/>
      <c r="M4" s="1516"/>
      <c r="N4" s="1516"/>
      <c r="O4" s="1516"/>
      <c r="P4" s="1516"/>
      <c r="Q4" s="1516"/>
      <c r="R4" s="1516"/>
      <c r="S4" s="1516"/>
      <c r="T4" s="1516"/>
      <c r="U4" s="1516"/>
      <c r="V4" s="1516"/>
      <c r="W4" s="1517"/>
    </row>
    <row r="5" spans="1:23" s="882" customFormat="1" ht="24" customHeight="1">
      <c r="A5" s="883"/>
      <c r="B5" s="1135"/>
      <c r="C5" s="1518" t="s">
        <v>1113</v>
      </c>
      <c r="D5" s="1519"/>
      <c r="E5" s="1520"/>
      <c r="F5" s="1518" t="s">
        <v>1114</v>
      </c>
      <c r="G5" s="1519"/>
      <c r="H5" s="1520"/>
      <c r="I5" s="1518" t="s">
        <v>1115</v>
      </c>
      <c r="J5" s="1519"/>
      <c r="K5" s="1520"/>
      <c r="L5" s="1518" t="s">
        <v>1116</v>
      </c>
      <c r="M5" s="1519"/>
      <c r="N5" s="1520"/>
      <c r="O5" s="1521" t="s">
        <v>1117</v>
      </c>
      <c r="P5" s="1522"/>
      <c r="Q5" s="1522"/>
      <c r="R5" s="1522"/>
      <c r="S5" s="1522"/>
      <c r="T5" s="1523"/>
      <c r="U5" s="1518" t="s">
        <v>875</v>
      </c>
      <c r="V5" s="1519"/>
      <c r="W5" s="1520"/>
    </row>
    <row r="6" spans="1:23" s="882" customFormat="1" ht="36.75" customHeight="1">
      <c r="A6" s="885"/>
      <c r="B6" s="1136"/>
      <c r="C6" s="1508"/>
      <c r="D6" s="1509"/>
      <c r="E6" s="1510"/>
      <c r="F6" s="1508"/>
      <c r="G6" s="1509"/>
      <c r="H6" s="1510"/>
      <c r="I6" s="1508"/>
      <c r="J6" s="1509"/>
      <c r="K6" s="1510"/>
      <c r="L6" s="1508"/>
      <c r="M6" s="1509"/>
      <c r="N6" s="1510"/>
      <c r="O6" s="1508" t="s">
        <v>1118</v>
      </c>
      <c r="P6" s="1509"/>
      <c r="Q6" s="1510"/>
      <c r="R6" s="1511" t="s">
        <v>877</v>
      </c>
      <c r="S6" s="1512"/>
      <c r="T6" s="1513"/>
      <c r="U6" s="1524"/>
      <c r="V6" s="1525"/>
      <c r="W6" s="1526"/>
    </row>
    <row r="7" spans="1:23" s="882" customFormat="1" ht="11.25" customHeight="1">
      <c r="A7" s="885"/>
      <c r="B7" s="1136"/>
      <c r="C7" s="891" t="s">
        <v>691</v>
      </c>
      <c r="D7" s="891" t="s">
        <v>692</v>
      </c>
      <c r="E7" s="1514" t="s">
        <v>693</v>
      </c>
      <c r="F7" s="892" t="str">
        <f aca="true" t="shared" si="0" ref="F7:M7">C7</f>
        <v>2014. évi</v>
      </c>
      <c r="G7" s="891" t="str">
        <f t="shared" si="0"/>
        <v>2015. évi</v>
      </c>
      <c r="H7" s="1506" t="str">
        <f t="shared" si="0"/>
        <v>%</v>
      </c>
      <c r="I7" s="892" t="str">
        <f t="shared" si="0"/>
        <v>2014. évi</v>
      </c>
      <c r="J7" s="891" t="str">
        <f t="shared" si="0"/>
        <v>2015. évi</v>
      </c>
      <c r="K7" s="1514" t="str">
        <f t="shared" si="0"/>
        <v>%</v>
      </c>
      <c r="L7" s="892" t="str">
        <f t="shared" si="0"/>
        <v>2014. évi</v>
      </c>
      <c r="M7" s="891" t="str">
        <f t="shared" si="0"/>
        <v>2015. évi</v>
      </c>
      <c r="N7" s="1506" t="str">
        <f>K7</f>
        <v>%</v>
      </c>
      <c r="O7" s="892" t="str">
        <f>C7</f>
        <v>2014. évi</v>
      </c>
      <c r="P7" s="1137" t="str">
        <f>J7</f>
        <v>2015. évi</v>
      </c>
      <c r="Q7" s="1506" t="str">
        <f>N7</f>
        <v>%</v>
      </c>
      <c r="R7" s="892" t="str">
        <f>C7</f>
        <v>2014. évi</v>
      </c>
      <c r="S7" s="891" t="str">
        <f>P7</f>
        <v>2015. évi</v>
      </c>
      <c r="T7" s="1506" t="str">
        <f>Q7</f>
        <v>%</v>
      </c>
      <c r="U7" s="892" t="str">
        <f>F7</f>
        <v>2014. évi</v>
      </c>
      <c r="V7" s="894" t="str">
        <f>S7</f>
        <v>2015. évi</v>
      </c>
      <c r="W7" s="1506" t="str">
        <f>T7</f>
        <v>%</v>
      </c>
    </row>
    <row r="8" spans="1:23" s="887" customFormat="1" ht="9.75" customHeight="1" thickBot="1">
      <c r="A8" s="1138"/>
      <c r="B8" s="1139"/>
      <c r="C8" s="898" t="s">
        <v>694</v>
      </c>
      <c r="D8" s="898" t="s">
        <v>694</v>
      </c>
      <c r="E8" s="1515"/>
      <c r="F8" s="897" t="str">
        <f>C8</f>
        <v>terv</v>
      </c>
      <c r="G8" s="899" t="str">
        <f>D8</f>
        <v>terv</v>
      </c>
      <c r="H8" s="1507"/>
      <c r="I8" s="897" t="str">
        <f>C8</f>
        <v>terv</v>
      </c>
      <c r="J8" s="899" t="str">
        <f>G8</f>
        <v>terv</v>
      </c>
      <c r="K8" s="1515">
        <f>E8</f>
        <v>0</v>
      </c>
      <c r="L8" s="897" t="str">
        <f>I8</f>
        <v>terv</v>
      </c>
      <c r="M8" s="898" t="str">
        <f>J8</f>
        <v>terv</v>
      </c>
      <c r="N8" s="1507">
        <f>E8</f>
        <v>0</v>
      </c>
      <c r="O8" s="897" t="str">
        <f>C8</f>
        <v>terv</v>
      </c>
      <c r="P8" s="899" t="str">
        <f>J8</f>
        <v>terv</v>
      </c>
      <c r="Q8" s="1507">
        <f>E8</f>
        <v>0</v>
      </c>
      <c r="R8" s="897" t="str">
        <f>C8</f>
        <v>terv</v>
      </c>
      <c r="S8" s="898" t="str">
        <f>P8</f>
        <v>terv</v>
      </c>
      <c r="T8" s="1507">
        <f>E8</f>
        <v>0</v>
      </c>
      <c r="U8" s="897" t="str">
        <f>C8</f>
        <v>terv</v>
      </c>
      <c r="V8" s="901" t="str">
        <f>S8</f>
        <v>terv</v>
      </c>
      <c r="W8" s="1507"/>
    </row>
    <row r="9" spans="1:23" s="926" customFormat="1" ht="12.75" customHeight="1">
      <c r="A9" s="1140" t="s">
        <v>17</v>
      </c>
      <c r="B9" s="1141" t="s">
        <v>1119</v>
      </c>
      <c r="C9" s="921"/>
      <c r="D9" s="920"/>
      <c r="E9" s="1142"/>
      <c r="F9" s="921"/>
      <c r="G9" s="920"/>
      <c r="H9" s="1142"/>
      <c r="I9" s="921"/>
      <c r="J9" s="920"/>
      <c r="K9" s="1142"/>
      <c r="L9" s="921"/>
      <c r="M9" s="920"/>
      <c r="N9" s="1143"/>
      <c r="O9" s="921"/>
      <c r="P9" s="920"/>
      <c r="Q9" s="1142"/>
      <c r="R9" s="921"/>
      <c r="S9" s="920"/>
      <c r="T9" s="1143"/>
      <c r="U9" s="921"/>
      <c r="V9" s="920"/>
      <c r="W9" s="1144"/>
    </row>
    <row r="10" spans="1:23" s="926" customFormat="1" ht="12.75" customHeight="1">
      <c r="A10" s="908" t="s">
        <v>1152</v>
      </c>
      <c r="B10" s="1145" t="s">
        <v>1120</v>
      </c>
      <c r="C10" s="910">
        <v>62206</v>
      </c>
      <c r="D10" s="910">
        <f>58912+479</f>
        <v>59391</v>
      </c>
      <c r="E10" s="1146">
        <f>D10/C10</f>
        <v>0.9547471305018809</v>
      </c>
      <c r="F10" s="910">
        <v>18126</v>
      </c>
      <c r="G10" s="910">
        <f>17276+130</f>
        <v>17406</v>
      </c>
      <c r="H10" s="1146">
        <f>G10/F10</f>
        <v>0.9602780536246276</v>
      </c>
      <c r="I10" s="910">
        <v>32827</v>
      </c>
      <c r="J10" s="910">
        <v>22000</v>
      </c>
      <c r="K10" s="1146">
        <f aca="true" t="shared" si="1" ref="K10:K23">J10/I10</f>
        <v>0.6701800347275109</v>
      </c>
      <c r="L10" s="929"/>
      <c r="M10" s="928"/>
      <c r="N10" s="1146"/>
      <c r="O10" s="929"/>
      <c r="P10" s="928"/>
      <c r="Q10" s="1146"/>
      <c r="R10" s="929"/>
      <c r="S10" s="928"/>
      <c r="T10" s="1146"/>
      <c r="U10" s="1147">
        <f aca="true" t="shared" si="2" ref="U10:V27">C10+F10+I10+L10+O10+R10</f>
        <v>113159</v>
      </c>
      <c r="V10" s="913">
        <f t="shared" si="2"/>
        <v>98797</v>
      </c>
      <c r="W10" s="1148">
        <f>V10/U10</f>
        <v>0.8730812396716126</v>
      </c>
    </row>
    <row r="11" spans="1:23" s="926" customFormat="1" ht="12.75" customHeight="1">
      <c r="A11" s="908"/>
      <c r="B11" s="1233" t="s">
        <v>1121</v>
      </c>
      <c r="C11" s="910">
        <v>344500</v>
      </c>
      <c r="D11" s="910">
        <f>332329+1598</f>
        <v>333927</v>
      </c>
      <c r="E11" s="1146">
        <f>D11/C11</f>
        <v>0.9693091436865022</v>
      </c>
      <c r="F11" s="910">
        <v>103545</v>
      </c>
      <c r="G11" s="910">
        <f>102139+432</f>
        <v>102571</v>
      </c>
      <c r="H11" s="1146">
        <f>G11/F11</f>
        <v>0.9905934617799025</v>
      </c>
      <c r="I11" s="910">
        <v>142529</v>
      </c>
      <c r="J11" s="910">
        <v>129141</v>
      </c>
      <c r="K11" s="1146">
        <f t="shared" si="1"/>
        <v>0.9060682387443959</v>
      </c>
      <c r="L11" s="929"/>
      <c r="M11" s="928"/>
      <c r="N11" s="1146"/>
      <c r="O11" s="929"/>
      <c r="P11" s="928"/>
      <c r="Q11" s="1146"/>
      <c r="R11" s="910">
        <v>500</v>
      </c>
      <c r="S11" s="910">
        <v>500</v>
      </c>
      <c r="T11" s="1146">
        <f>S11/R11</f>
        <v>1</v>
      </c>
      <c r="U11" s="1147">
        <f t="shared" si="2"/>
        <v>591074</v>
      </c>
      <c r="V11" s="913">
        <f t="shared" si="2"/>
        <v>566139</v>
      </c>
      <c r="W11" s="1148">
        <f aca="true" t="shared" si="3" ref="W11:W23">V11/U11</f>
        <v>0.9578140808088327</v>
      </c>
    </row>
    <row r="12" spans="1:23" s="926" customFormat="1" ht="12.75" customHeight="1">
      <c r="A12" s="908" t="s">
        <v>1152</v>
      </c>
      <c r="B12" s="1145" t="s">
        <v>1122</v>
      </c>
      <c r="C12" s="910">
        <v>44036</v>
      </c>
      <c r="D12" s="910">
        <f>45593+469</f>
        <v>46062</v>
      </c>
      <c r="E12" s="1146">
        <f>D12/C12</f>
        <v>1.0460078117903533</v>
      </c>
      <c r="F12" s="910">
        <v>12613</v>
      </c>
      <c r="G12" s="910">
        <f>13033+126</f>
        <v>13159</v>
      </c>
      <c r="H12" s="1146">
        <f>G12/F12</f>
        <v>1.0432886704194086</v>
      </c>
      <c r="I12" s="910">
        <v>931</v>
      </c>
      <c r="J12" s="910">
        <v>931</v>
      </c>
      <c r="K12" s="1146">
        <f t="shared" si="1"/>
        <v>1</v>
      </c>
      <c r="L12" s="929"/>
      <c r="M12" s="928"/>
      <c r="N12" s="1146"/>
      <c r="O12" s="929"/>
      <c r="P12" s="928"/>
      <c r="Q12" s="1146"/>
      <c r="R12" s="928"/>
      <c r="S12" s="928"/>
      <c r="T12" s="1146"/>
      <c r="U12" s="1147">
        <f t="shared" si="2"/>
        <v>57580</v>
      </c>
      <c r="V12" s="913">
        <f t="shared" si="2"/>
        <v>60152</v>
      </c>
      <c r="W12" s="1148">
        <f t="shared" si="3"/>
        <v>1.044668287599861</v>
      </c>
    </row>
    <row r="13" spans="1:23" s="926" customFormat="1" ht="12.75" customHeight="1">
      <c r="A13" s="1239" t="s">
        <v>1153</v>
      </c>
      <c r="B13" s="1145" t="s">
        <v>1123</v>
      </c>
      <c r="C13" s="910">
        <v>700</v>
      </c>
      <c r="D13" s="910">
        <v>700</v>
      </c>
      <c r="E13" s="1146">
        <f>D13/C13</f>
        <v>1</v>
      </c>
      <c r="F13" s="910">
        <v>350</v>
      </c>
      <c r="G13" s="910">
        <v>350</v>
      </c>
      <c r="H13" s="1146">
        <f>G13/F13</f>
        <v>1</v>
      </c>
      <c r="I13" s="910">
        <v>140</v>
      </c>
      <c r="J13" s="910">
        <v>140</v>
      </c>
      <c r="K13" s="1146">
        <f t="shared" si="1"/>
        <v>1</v>
      </c>
      <c r="L13" s="929"/>
      <c r="M13" s="928"/>
      <c r="N13" s="1146"/>
      <c r="O13" s="929"/>
      <c r="P13" s="928"/>
      <c r="Q13" s="1146"/>
      <c r="R13" s="928"/>
      <c r="S13" s="928"/>
      <c r="T13" s="1146"/>
      <c r="U13" s="1147">
        <f t="shared" si="2"/>
        <v>1190</v>
      </c>
      <c r="V13" s="913">
        <f t="shared" si="2"/>
        <v>1190</v>
      </c>
      <c r="W13" s="1148">
        <f t="shared" si="3"/>
        <v>1</v>
      </c>
    </row>
    <row r="14" spans="1:23" s="926" customFormat="1" ht="12.75" customHeight="1">
      <c r="A14" s="908" t="s">
        <v>1152</v>
      </c>
      <c r="B14" s="1145" t="s">
        <v>1124</v>
      </c>
      <c r="C14" s="910">
        <v>16500</v>
      </c>
      <c r="D14" s="910">
        <v>17000</v>
      </c>
      <c r="E14" s="1146">
        <f>D14/C14</f>
        <v>1.0303030303030303</v>
      </c>
      <c r="F14" s="910">
        <v>4955</v>
      </c>
      <c r="G14" s="910">
        <v>5090</v>
      </c>
      <c r="H14" s="1146">
        <f>G14/F14</f>
        <v>1.027245206861756</v>
      </c>
      <c r="I14" s="910"/>
      <c r="J14" s="910"/>
      <c r="K14" s="1146"/>
      <c r="L14" s="929"/>
      <c r="M14" s="928"/>
      <c r="N14" s="1146"/>
      <c r="O14" s="929"/>
      <c r="P14" s="928"/>
      <c r="Q14" s="1146"/>
      <c r="R14" s="928"/>
      <c r="S14" s="928"/>
      <c r="T14" s="1146"/>
      <c r="U14" s="1147">
        <f t="shared" si="2"/>
        <v>21455</v>
      </c>
      <c r="V14" s="913">
        <f t="shared" si="2"/>
        <v>22090</v>
      </c>
      <c r="W14" s="1148">
        <f t="shared" si="3"/>
        <v>1.0295968305756233</v>
      </c>
    </row>
    <row r="15" spans="1:23" s="926" customFormat="1" ht="12.75" customHeight="1">
      <c r="A15" s="908" t="s">
        <v>1152</v>
      </c>
      <c r="B15" s="1145" t="s">
        <v>893</v>
      </c>
      <c r="C15" s="910"/>
      <c r="D15" s="910"/>
      <c r="E15" s="1146"/>
      <c r="F15" s="910"/>
      <c r="G15" s="910"/>
      <c r="H15" s="1146"/>
      <c r="I15" s="910">
        <v>2000</v>
      </c>
      <c r="J15" s="910">
        <v>2000</v>
      </c>
      <c r="K15" s="1146">
        <f t="shared" si="1"/>
        <v>1</v>
      </c>
      <c r="L15" s="929"/>
      <c r="M15" s="928"/>
      <c r="N15" s="1146"/>
      <c r="O15" s="929"/>
      <c r="P15" s="928"/>
      <c r="Q15" s="1146"/>
      <c r="R15" s="928"/>
      <c r="S15" s="928"/>
      <c r="T15" s="1146"/>
      <c r="U15" s="1147">
        <f t="shared" si="2"/>
        <v>2000</v>
      </c>
      <c r="V15" s="913">
        <f t="shared" si="2"/>
        <v>2000</v>
      </c>
      <c r="W15" s="1148">
        <f t="shared" si="3"/>
        <v>1</v>
      </c>
    </row>
    <row r="16" spans="1:23" s="926" customFormat="1" ht="12.75" customHeight="1">
      <c r="A16" s="908" t="s">
        <v>1152</v>
      </c>
      <c r="B16" s="1145" t="s">
        <v>894</v>
      </c>
      <c r="C16" s="910"/>
      <c r="D16" s="910"/>
      <c r="E16" s="1146"/>
      <c r="F16" s="910"/>
      <c r="G16" s="910"/>
      <c r="H16" s="1146"/>
      <c r="I16" s="910">
        <f>'[4]1a'!H64</f>
        <v>35100</v>
      </c>
      <c r="J16" s="910">
        <v>11529</v>
      </c>
      <c r="K16" s="1146">
        <f t="shared" si="1"/>
        <v>0.32846153846153847</v>
      </c>
      <c r="L16" s="929"/>
      <c r="M16" s="928"/>
      <c r="N16" s="1146"/>
      <c r="O16" s="929"/>
      <c r="P16" s="928"/>
      <c r="Q16" s="1146"/>
      <c r="R16" s="928"/>
      <c r="S16" s="928"/>
      <c r="T16" s="1146"/>
      <c r="U16" s="1147">
        <f t="shared" si="2"/>
        <v>35100</v>
      </c>
      <c r="V16" s="913">
        <f t="shared" si="2"/>
        <v>11529</v>
      </c>
      <c r="W16" s="1148">
        <f t="shared" si="3"/>
        <v>0.32846153846153847</v>
      </c>
    </row>
    <row r="17" spans="1:23" s="926" customFormat="1" ht="12.75" customHeight="1">
      <c r="A17" s="908" t="s">
        <v>1152</v>
      </c>
      <c r="B17" s="909" t="s">
        <v>1125</v>
      </c>
      <c r="C17" s="910"/>
      <c r="D17" s="910"/>
      <c r="E17" s="1146"/>
      <c r="F17" s="910"/>
      <c r="G17" s="910"/>
      <c r="H17" s="1146"/>
      <c r="I17" s="910">
        <v>5000</v>
      </c>
      <c r="J17" s="910">
        <v>6500</v>
      </c>
      <c r="K17" s="1146">
        <f t="shared" si="1"/>
        <v>1.3</v>
      </c>
      <c r="L17" s="929"/>
      <c r="M17" s="928"/>
      <c r="N17" s="1146"/>
      <c r="O17" s="929"/>
      <c r="P17" s="928"/>
      <c r="Q17" s="1146"/>
      <c r="R17" s="928"/>
      <c r="S17" s="928"/>
      <c r="T17" s="1146"/>
      <c r="U17" s="1147">
        <f t="shared" si="2"/>
        <v>5000</v>
      </c>
      <c r="V17" s="913">
        <f t="shared" si="2"/>
        <v>6500</v>
      </c>
      <c r="W17" s="1148">
        <f t="shared" si="3"/>
        <v>1.3</v>
      </c>
    </row>
    <row r="18" spans="1:23" s="926" customFormat="1" ht="12.75" customHeight="1">
      <c r="A18" s="908" t="s">
        <v>1152</v>
      </c>
      <c r="B18" s="909" t="s">
        <v>905</v>
      </c>
      <c r="C18" s="910"/>
      <c r="D18" s="910"/>
      <c r="E18" s="1146"/>
      <c r="F18" s="910"/>
      <c r="G18" s="910"/>
      <c r="H18" s="1146"/>
      <c r="I18" s="910">
        <v>11000</v>
      </c>
      <c r="J18" s="910">
        <v>15500</v>
      </c>
      <c r="K18" s="1146">
        <f t="shared" si="1"/>
        <v>1.4090909090909092</v>
      </c>
      <c r="L18" s="929"/>
      <c r="M18" s="928"/>
      <c r="N18" s="1146"/>
      <c r="O18" s="929"/>
      <c r="P18" s="928"/>
      <c r="Q18" s="1146"/>
      <c r="R18" s="928"/>
      <c r="S18" s="928"/>
      <c r="T18" s="1146"/>
      <c r="U18" s="1147">
        <f t="shared" si="2"/>
        <v>11000</v>
      </c>
      <c r="V18" s="913">
        <f t="shared" si="2"/>
        <v>15500</v>
      </c>
      <c r="W18" s="1148">
        <f t="shared" si="3"/>
        <v>1.4090909090909092</v>
      </c>
    </row>
    <row r="19" spans="1:23" s="926" customFormat="1" ht="12.75" customHeight="1">
      <c r="A19" s="908" t="s">
        <v>1152</v>
      </c>
      <c r="B19" s="909" t="s">
        <v>1092</v>
      </c>
      <c r="C19" s="910">
        <v>3960</v>
      </c>
      <c r="D19" s="910">
        <v>0</v>
      </c>
      <c r="E19" s="1146">
        <v>0</v>
      </c>
      <c r="F19" s="910">
        <v>1170</v>
      </c>
      <c r="G19" s="910">
        <v>0</v>
      </c>
      <c r="H19" s="1146">
        <v>0</v>
      </c>
      <c r="I19" s="910">
        <v>1670</v>
      </c>
      <c r="J19" s="910">
        <v>0</v>
      </c>
      <c r="K19" s="1146">
        <f t="shared" si="1"/>
        <v>0</v>
      </c>
      <c r="L19" s="929"/>
      <c r="M19" s="928"/>
      <c r="N19" s="1146"/>
      <c r="O19" s="929"/>
      <c r="P19" s="928"/>
      <c r="Q19" s="1146"/>
      <c r="R19" s="928"/>
      <c r="S19" s="928"/>
      <c r="T19" s="1146"/>
      <c r="U19" s="1147">
        <f t="shared" si="2"/>
        <v>6800</v>
      </c>
      <c r="V19" s="913">
        <f t="shared" si="2"/>
        <v>0</v>
      </c>
      <c r="W19" s="1148">
        <f t="shared" si="3"/>
        <v>0</v>
      </c>
    </row>
    <row r="20" spans="1:23" s="926" customFormat="1" ht="12.75" customHeight="1">
      <c r="A20" s="908" t="s">
        <v>1152</v>
      </c>
      <c r="B20" s="909" t="s">
        <v>1093</v>
      </c>
      <c r="C20" s="910">
        <v>3960</v>
      </c>
      <c r="D20" s="910">
        <v>0</v>
      </c>
      <c r="E20" s="1146">
        <v>0</v>
      </c>
      <c r="F20" s="910">
        <v>1170</v>
      </c>
      <c r="G20" s="910">
        <v>0</v>
      </c>
      <c r="H20" s="1146">
        <v>0</v>
      </c>
      <c r="I20" s="910">
        <v>1670</v>
      </c>
      <c r="J20" s="910">
        <v>0</v>
      </c>
      <c r="K20" s="1146">
        <f t="shared" si="1"/>
        <v>0</v>
      </c>
      <c r="L20" s="929"/>
      <c r="M20" s="928"/>
      <c r="N20" s="1146"/>
      <c r="O20" s="929"/>
      <c r="P20" s="928"/>
      <c r="Q20" s="1146"/>
      <c r="R20" s="928"/>
      <c r="S20" s="928"/>
      <c r="T20" s="1146"/>
      <c r="U20" s="1147">
        <f t="shared" si="2"/>
        <v>6800</v>
      </c>
      <c r="V20" s="913">
        <f t="shared" si="2"/>
        <v>0</v>
      </c>
      <c r="W20" s="1148">
        <f t="shared" si="3"/>
        <v>0</v>
      </c>
    </row>
    <row r="21" spans="1:23" s="926" customFormat="1" ht="12.75" customHeight="1">
      <c r="A21" s="908" t="s">
        <v>1152</v>
      </c>
      <c r="B21" s="909" t="s">
        <v>1126</v>
      </c>
      <c r="C21" s="910">
        <v>3960</v>
      </c>
      <c r="D21" s="910">
        <v>0</v>
      </c>
      <c r="E21" s="1146">
        <v>0</v>
      </c>
      <c r="F21" s="910">
        <v>1170</v>
      </c>
      <c r="G21" s="910">
        <v>0</v>
      </c>
      <c r="H21" s="1146">
        <v>0</v>
      </c>
      <c r="I21" s="910">
        <v>1670</v>
      </c>
      <c r="J21" s="910">
        <v>0</v>
      </c>
      <c r="K21" s="1146">
        <f t="shared" si="1"/>
        <v>0</v>
      </c>
      <c r="L21" s="929"/>
      <c r="M21" s="928"/>
      <c r="N21" s="1146"/>
      <c r="O21" s="929"/>
      <c r="P21" s="928"/>
      <c r="Q21" s="1146"/>
      <c r="R21" s="928"/>
      <c r="S21" s="928"/>
      <c r="T21" s="1146"/>
      <c r="U21" s="1147">
        <f t="shared" si="2"/>
        <v>6800</v>
      </c>
      <c r="V21" s="913">
        <f t="shared" si="2"/>
        <v>0</v>
      </c>
      <c r="W21" s="1148">
        <f t="shared" si="3"/>
        <v>0</v>
      </c>
    </row>
    <row r="22" spans="1:23" s="926" customFormat="1" ht="12.75" customHeight="1">
      <c r="A22" s="1236" t="s">
        <v>1154</v>
      </c>
      <c r="B22" s="1145" t="s">
        <v>1127</v>
      </c>
      <c r="C22" s="910"/>
      <c r="D22" s="910"/>
      <c r="E22" s="1146"/>
      <c r="F22" s="910"/>
      <c r="G22" s="910"/>
      <c r="H22" s="1146"/>
      <c r="I22" s="910">
        <v>1000</v>
      </c>
      <c r="J22" s="910">
        <v>1500</v>
      </c>
      <c r="K22" s="1146">
        <f t="shared" si="1"/>
        <v>1.5</v>
      </c>
      <c r="L22" s="929"/>
      <c r="M22" s="928"/>
      <c r="N22" s="1146"/>
      <c r="O22" s="929"/>
      <c r="P22" s="928"/>
      <c r="Q22" s="1146"/>
      <c r="R22" s="928"/>
      <c r="S22" s="928"/>
      <c r="T22" s="1146"/>
      <c r="U22" s="1147">
        <f t="shared" si="2"/>
        <v>1000</v>
      </c>
      <c r="V22" s="913">
        <f t="shared" si="2"/>
        <v>1500</v>
      </c>
      <c r="W22" s="1148">
        <f t="shared" si="3"/>
        <v>1.5</v>
      </c>
    </row>
    <row r="23" spans="1:23" s="926" customFormat="1" ht="12.75" customHeight="1">
      <c r="A23" s="908" t="s">
        <v>1152</v>
      </c>
      <c r="B23" s="1145" t="s">
        <v>1128</v>
      </c>
      <c r="C23" s="910"/>
      <c r="D23" s="910"/>
      <c r="E23" s="1146"/>
      <c r="F23" s="910"/>
      <c r="G23" s="910"/>
      <c r="H23" s="1146"/>
      <c r="I23" s="910">
        <v>2936</v>
      </c>
      <c r="J23" s="910">
        <v>3500</v>
      </c>
      <c r="K23" s="1146">
        <f t="shared" si="1"/>
        <v>1.1920980926430518</v>
      </c>
      <c r="L23" s="929"/>
      <c r="M23" s="928"/>
      <c r="N23" s="1146"/>
      <c r="O23" s="929"/>
      <c r="P23" s="928"/>
      <c r="Q23" s="1146"/>
      <c r="R23" s="928"/>
      <c r="S23" s="928"/>
      <c r="T23" s="1146"/>
      <c r="U23" s="1147">
        <f t="shared" si="2"/>
        <v>2936</v>
      </c>
      <c r="V23" s="913">
        <f t="shared" si="2"/>
        <v>3500</v>
      </c>
      <c r="W23" s="1148">
        <f t="shared" si="3"/>
        <v>1.1920980926430518</v>
      </c>
    </row>
    <row r="24" spans="1:23" s="951" customFormat="1" ht="12.75" customHeight="1">
      <c r="A24" s="1236" t="s">
        <v>1154</v>
      </c>
      <c r="B24" s="1145" t="s">
        <v>1129</v>
      </c>
      <c r="C24" s="910"/>
      <c r="D24" s="910"/>
      <c r="E24" s="1146"/>
      <c r="F24" s="910"/>
      <c r="G24" s="910"/>
      <c r="H24" s="1146"/>
      <c r="I24" s="910">
        <v>0</v>
      </c>
      <c r="J24" s="910">
        <v>1200</v>
      </c>
      <c r="K24" s="1146">
        <v>0</v>
      </c>
      <c r="L24" s="929"/>
      <c r="M24" s="928"/>
      <c r="N24" s="1146"/>
      <c r="O24" s="929"/>
      <c r="P24" s="928"/>
      <c r="Q24" s="1146"/>
      <c r="R24" s="928"/>
      <c r="S24" s="928"/>
      <c r="T24" s="1146"/>
      <c r="U24" s="1147">
        <f t="shared" si="2"/>
        <v>0</v>
      </c>
      <c r="V24" s="913">
        <f t="shared" si="2"/>
        <v>1200</v>
      </c>
      <c r="W24" s="1148">
        <v>0</v>
      </c>
    </row>
    <row r="25" spans="1:23" s="951" customFormat="1" ht="12.75" customHeight="1">
      <c r="A25" s="908" t="s">
        <v>1152</v>
      </c>
      <c r="B25" s="1145" t="s">
        <v>1226</v>
      </c>
      <c r="C25" s="910"/>
      <c r="D25" s="910"/>
      <c r="E25" s="1146"/>
      <c r="F25" s="910"/>
      <c r="G25" s="910"/>
      <c r="H25" s="1146"/>
      <c r="I25" s="910">
        <v>0</v>
      </c>
      <c r="J25" s="910">
        <v>1588</v>
      </c>
      <c r="K25" s="1146"/>
      <c r="L25" s="929"/>
      <c r="M25" s="928"/>
      <c r="N25" s="1146"/>
      <c r="O25" s="929"/>
      <c r="P25" s="928"/>
      <c r="Q25" s="1146"/>
      <c r="R25" s="928"/>
      <c r="S25" s="928"/>
      <c r="T25" s="1146"/>
      <c r="U25" s="1147">
        <f t="shared" si="2"/>
        <v>0</v>
      </c>
      <c r="V25" s="913">
        <f t="shared" si="2"/>
        <v>1588</v>
      </c>
      <c r="W25" s="1148"/>
    </row>
    <row r="26" spans="1:23" s="951" customFormat="1" ht="12.75" customHeight="1" thickBot="1">
      <c r="A26" s="908"/>
      <c r="B26" s="1149"/>
      <c r="C26" s="910"/>
      <c r="D26" s="910"/>
      <c r="E26" s="1146"/>
      <c r="F26" s="910"/>
      <c r="G26" s="910"/>
      <c r="H26" s="1146"/>
      <c r="I26" s="910"/>
      <c r="J26" s="910"/>
      <c r="K26" s="1146"/>
      <c r="L26" s="929"/>
      <c r="M26" s="928"/>
      <c r="N26" s="1146"/>
      <c r="O26" s="929"/>
      <c r="P26" s="928"/>
      <c r="Q26" s="1146"/>
      <c r="R26" s="928"/>
      <c r="S26" s="928"/>
      <c r="T26" s="1146"/>
      <c r="U26" s="1147">
        <f t="shared" si="2"/>
        <v>0</v>
      </c>
      <c r="V26" s="913">
        <f t="shared" si="2"/>
        <v>0</v>
      </c>
      <c r="W26" s="1148">
        <f>E26+H26+K26+N26+Q26+T26</f>
        <v>0</v>
      </c>
    </row>
    <row r="27" spans="1:23" s="932" customFormat="1" ht="12.75" customHeight="1" thickBot="1">
      <c r="A27" s="908"/>
      <c r="B27" s="934" t="s">
        <v>1130</v>
      </c>
      <c r="C27" s="936">
        <f>SUM(C9:C26)</f>
        <v>479822</v>
      </c>
      <c r="D27" s="936">
        <f>SUM(D9:D26)</f>
        <v>457080</v>
      </c>
      <c r="E27" s="1150">
        <f>D27/C27</f>
        <v>0.9526032570411528</v>
      </c>
      <c r="F27" s="936">
        <f>SUM(F9:F26)</f>
        <v>143099</v>
      </c>
      <c r="G27" s="936">
        <f>SUM(G9:G26)</f>
        <v>138576</v>
      </c>
      <c r="H27" s="1150">
        <f>G27/F27</f>
        <v>0.9683925114780676</v>
      </c>
      <c r="I27" s="936">
        <f>SUM(I9:I26)</f>
        <v>238473</v>
      </c>
      <c r="J27" s="936">
        <f>SUM(J9:J26)</f>
        <v>195529</v>
      </c>
      <c r="K27" s="1150">
        <f>J27/I27</f>
        <v>0.8199209134786747</v>
      </c>
      <c r="L27" s="936">
        <f>SUM(L9:L26)</f>
        <v>0</v>
      </c>
      <c r="M27" s="936">
        <f>SUM(M9:M26)</f>
        <v>0</v>
      </c>
      <c r="N27" s="1150">
        <f>SUM(N10:N26)</f>
        <v>0</v>
      </c>
      <c r="O27" s="936">
        <f>SUM(O9:O26)</f>
        <v>0</v>
      </c>
      <c r="P27" s="936">
        <f>SUM(P9:P26)</f>
        <v>0</v>
      </c>
      <c r="Q27" s="1150">
        <f>SUM(Q10:Q26)</f>
        <v>0</v>
      </c>
      <c r="R27" s="936">
        <f>SUM(R9:R26)</f>
        <v>500</v>
      </c>
      <c r="S27" s="936">
        <f>SUM(S9:S26)</f>
        <v>500</v>
      </c>
      <c r="T27" s="1150">
        <f>SUM(T10:T26)</f>
        <v>1</v>
      </c>
      <c r="U27" s="935">
        <f t="shared" si="2"/>
        <v>861894</v>
      </c>
      <c r="V27" s="947">
        <f t="shared" si="2"/>
        <v>791685</v>
      </c>
      <c r="W27" s="1150">
        <f>V27/U27</f>
        <v>0.9185410270868576</v>
      </c>
    </row>
    <row r="28" spans="1:23" s="932" customFormat="1" ht="9" customHeight="1">
      <c r="A28" s="908"/>
      <c r="B28" s="1151"/>
      <c r="C28" s="972"/>
      <c r="D28" s="972"/>
      <c r="E28" s="1152"/>
      <c r="F28" s="1153"/>
      <c r="G28" s="1153"/>
      <c r="H28" s="1152"/>
      <c r="I28" s="972"/>
      <c r="J28" s="972"/>
      <c r="K28" s="1152"/>
      <c r="L28" s="1154"/>
      <c r="M28" s="1155"/>
      <c r="N28" s="1152"/>
      <c r="O28" s="1154"/>
      <c r="P28" s="1156"/>
      <c r="Q28" s="1152"/>
      <c r="R28" s="1156"/>
      <c r="S28" s="1156"/>
      <c r="T28" s="1152"/>
      <c r="U28" s="1157"/>
      <c r="V28" s="976"/>
      <c r="W28" s="1152"/>
    </row>
    <row r="29" spans="1:23" s="926" customFormat="1" ht="13.5" customHeight="1">
      <c r="A29" s="908" t="s">
        <v>1152</v>
      </c>
      <c r="B29" s="909" t="s">
        <v>1131</v>
      </c>
      <c r="C29" s="910">
        <v>3942</v>
      </c>
      <c r="D29" s="910">
        <f>5649-14+1</f>
        <v>5636</v>
      </c>
      <c r="E29" s="1146">
        <f>D29/C29</f>
        <v>1.4297311009639777</v>
      </c>
      <c r="F29" s="910">
        <v>1240</v>
      </c>
      <c r="G29" s="910">
        <f>1647-4+1</f>
        <v>1644</v>
      </c>
      <c r="H29" s="1146">
        <f>G29/F29</f>
        <v>1.3258064516129033</v>
      </c>
      <c r="I29" s="910">
        <v>321</v>
      </c>
      <c r="J29" s="910">
        <v>0</v>
      </c>
      <c r="K29" s="1146">
        <f>J29/I29</f>
        <v>0</v>
      </c>
      <c r="L29" s="929"/>
      <c r="M29" s="928"/>
      <c r="N29" s="1146"/>
      <c r="O29" s="929"/>
      <c r="P29" s="928"/>
      <c r="Q29" s="1146"/>
      <c r="R29" s="928"/>
      <c r="S29" s="928"/>
      <c r="T29" s="1146"/>
      <c r="U29" s="1147">
        <f>C29+F29+I29+L29+O29+R29</f>
        <v>5503</v>
      </c>
      <c r="V29" s="913">
        <f>D29+G29+J29+M29+P29+S29</f>
        <v>7280</v>
      </c>
      <c r="W29" s="1148">
        <f>V29/U29</f>
        <v>1.3229147737597673</v>
      </c>
    </row>
    <row r="30" spans="1:23" s="926" customFormat="1" ht="13.5" customHeight="1" thickBot="1">
      <c r="A30" s="908"/>
      <c r="B30" s="909"/>
      <c r="C30" s="910"/>
      <c r="D30" s="910"/>
      <c r="E30" s="1146"/>
      <c r="F30" s="910"/>
      <c r="G30" s="910"/>
      <c r="H30" s="1146"/>
      <c r="I30" s="910"/>
      <c r="J30" s="910"/>
      <c r="K30" s="1146"/>
      <c r="L30" s="929"/>
      <c r="M30" s="928"/>
      <c r="N30" s="1146"/>
      <c r="O30" s="929"/>
      <c r="P30" s="928"/>
      <c r="Q30" s="1146"/>
      <c r="R30" s="928"/>
      <c r="S30" s="928"/>
      <c r="T30" s="1146"/>
      <c r="U30" s="1147"/>
      <c r="V30" s="913"/>
      <c r="W30" s="1148"/>
    </row>
    <row r="31" spans="1:23" s="932" customFormat="1" ht="14.25" customHeight="1" thickBot="1">
      <c r="A31" s="908"/>
      <c r="B31" s="934" t="s">
        <v>1132</v>
      </c>
      <c r="C31" s="936">
        <f>C29</f>
        <v>3942</v>
      </c>
      <c r="D31" s="936">
        <f>D29</f>
        <v>5636</v>
      </c>
      <c r="E31" s="1150">
        <f>D31/C31</f>
        <v>1.4297311009639777</v>
      </c>
      <c r="F31" s="936">
        <f>F29</f>
        <v>1240</v>
      </c>
      <c r="G31" s="936">
        <f>G29</f>
        <v>1644</v>
      </c>
      <c r="H31" s="1150">
        <f>G31/F31</f>
        <v>1.3258064516129033</v>
      </c>
      <c r="I31" s="936">
        <f>I29</f>
        <v>321</v>
      </c>
      <c r="J31" s="936">
        <f>J29</f>
        <v>0</v>
      </c>
      <c r="K31" s="1150">
        <f>J31/I31</f>
        <v>0</v>
      </c>
      <c r="L31" s="936">
        <f>L29</f>
        <v>0</v>
      </c>
      <c r="M31" s="936">
        <f>M29</f>
        <v>0</v>
      </c>
      <c r="N31" s="1150">
        <f>SUM(N29)</f>
        <v>0</v>
      </c>
      <c r="O31" s="936">
        <f>O29</f>
        <v>0</v>
      </c>
      <c r="P31" s="936">
        <f>P29</f>
        <v>0</v>
      </c>
      <c r="Q31" s="1150">
        <f>SUM(Q29)</f>
        <v>0</v>
      </c>
      <c r="R31" s="936">
        <f>R29</f>
        <v>0</v>
      </c>
      <c r="S31" s="936">
        <f>S29</f>
        <v>0</v>
      </c>
      <c r="T31" s="1150">
        <f>SUM(T29)</f>
        <v>0</v>
      </c>
      <c r="U31" s="935">
        <f>C31+F31+I31+L31+O31+R31</f>
        <v>5503</v>
      </c>
      <c r="V31" s="947">
        <f>D31+G31+J31+M31+P31+S31</f>
        <v>7280</v>
      </c>
      <c r="W31" s="1150">
        <f>V31/U31</f>
        <v>1.3229147737597673</v>
      </c>
    </row>
    <row r="32" spans="1:23" s="926" customFormat="1" ht="9.75" customHeight="1">
      <c r="A32" s="908"/>
      <c r="B32" s="1145"/>
      <c r="C32" s="910"/>
      <c r="D32" s="910"/>
      <c r="E32" s="1146"/>
      <c r="F32" s="910"/>
      <c r="G32" s="910"/>
      <c r="H32" s="1146"/>
      <c r="I32" s="910"/>
      <c r="J32" s="910"/>
      <c r="K32" s="1146"/>
      <c r="L32" s="1154"/>
      <c r="M32" s="928"/>
      <c r="N32" s="1146"/>
      <c r="O32" s="1154"/>
      <c r="P32" s="928"/>
      <c r="Q32" s="1146"/>
      <c r="R32" s="928"/>
      <c r="S32" s="928"/>
      <c r="T32" s="1146"/>
      <c r="U32" s="1147"/>
      <c r="V32" s="913"/>
      <c r="W32" s="1148"/>
    </row>
    <row r="33" spans="1:23" s="926" customFormat="1" ht="15" customHeight="1">
      <c r="A33" s="908" t="s">
        <v>1152</v>
      </c>
      <c r="B33" s="909" t="s">
        <v>1133</v>
      </c>
      <c r="C33" s="910">
        <v>21525</v>
      </c>
      <c r="D33" s="910">
        <f>24083+296+132</f>
        <v>24511</v>
      </c>
      <c r="E33" s="1146">
        <f>D33/C33</f>
        <v>1.1387224157955864</v>
      </c>
      <c r="F33" s="910">
        <v>6265</v>
      </c>
      <c r="G33" s="910">
        <f>6637+81+35</f>
        <v>6753</v>
      </c>
      <c r="H33" s="1146">
        <f>G33/F33</f>
        <v>1.0778930566640064</v>
      </c>
      <c r="I33" s="910">
        <v>4089</v>
      </c>
      <c r="J33" s="910">
        <f>2847+20</f>
        <v>2867</v>
      </c>
      <c r="K33" s="1146">
        <f>J33/I33</f>
        <v>0.7011494252873564</v>
      </c>
      <c r="L33" s="929"/>
      <c r="M33" s="928"/>
      <c r="N33" s="1146"/>
      <c r="O33" s="929"/>
      <c r="P33" s="928"/>
      <c r="Q33" s="1146"/>
      <c r="R33" s="928"/>
      <c r="S33" s="928"/>
      <c r="T33" s="1146"/>
      <c r="U33" s="1147">
        <f>C33+F33+I33+L33+O33+R33</f>
        <v>31879</v>
      </c>
      <c r="V33" s="913">
        <f>D33+G33+J33+M33+P33+S33</f>
        <v>34131</v>
      </c>
      <c r="W33" s="1148">
        <f>V33/U33</f>
        <v>1.0706421154992314</v>
      </c>
    </row>
    <row r="34" spans="1:23" s="926" customFormat="1" ht="15" customHeight="1">
      <c r="A34" s="908" t="s">
        <v>1152</v>
      </c>
      <c r="B34" s="909" t="s">
        <v>1134</v>
      </c>
      <c r="C34" s="910">
        <v>4749</v>
      </c>
      <c r="D34" s="910">
        <v>4873</v>
      </c>
      <c r="E34" s="1146">
        <f>D34/C34</f>
        <v>1.0261107601600337</v>
      </c>
      <c r="F34" s="910">
        <v>1296</v>
      </c>
      <c r="G34" s="910">
        <v>1319</v>
      </c>
      <c r="H34" s="1146">
        <f>G34/F34</f>
        <v>1.0177469135802468</v>
      </c>
      <c r="I34" s="910">
        <v>1074</v>
      </c>
      <c r="J34" s="910">
        <v>578</v>
      </c>
      <c r="K34" s="1146">
        <f>J34/I34</f>
        <v>0.5381750465549349</v>
      </c>
      <c r="L34" s="929"/>
      <c r="M34" s="928"/>
      <c r="N34" s="1146"/>
      <c r="O34" s="929"/>
      <c r="P34" s="928"/>
      <c r="Q34" s="1146"/>
      <c r="R34" s="928"/>
      <c r="S34" s="928"/>
      <c r="T34" s="1146"/>
      <c r="U34" s="1147">
        <f>C34+F34+I34+L34+O34+R34</f>
        <v>7119</v>
      </c>
      <c r="V34" s="913">
        <f>D34+G34+J34+M34+P34+S34</f>
        <v>6770</v>
      </c>
      <c r="W34" s="1148">
        <f>V34/U34</f>
        <v>0.950976260710774</v>
      </c>
    </row>
    <row r="35" spans="1:23" s="926" customFormat="1" ht="11.25" customHeight="1" thickBot="1">
      <c r="A35" s="908"/>
      <c r="B35" s="1145"/>
      <c r="C35" s="910"/>
      <c r="D35" s="910"/>
      <c r="E35" s="1146"/>
      <c r="F35" s="910"/>
      <c r="G35" s="910"/>
      <c r="H35" s="1146"/>
      <c r="I35" s="910"/>
      <c r="J35" s="910"/>
      <c r="K35" s="1146"/>
      <c r="L35" s="929"/>
      <c r="M35" s="928"/>
      <c r="N35" s="1146"/>
      <c r="O35" s="929"/>
      <c r="P35" s="928"/>
      <c r="Q35" s="1146"/>
      <c r="R35" s="928"/>
      <c r="S35" s="928"/>
      <c r="T35" s="1146"/>
      <c r="U35" s="1147"/>
      <c r="V35" s="913"/>
      <c r="W35" s="1146"/>
    </row>
    <row r="36" spans="1:23" s="932" customFormat="1" ht="25.5" customHeight="1" thickBot="1">
      <c r="A36" s="908"/>
      <c r="B36" s="934" t="s">
        <v>1135</v>
      </c>
      <c r="C36" s="936">
        <f>C33+C34</f>
        <v>26274</v>
      </c>
      <c r="D36" s="936">
        <f>D33+D34</f>
        <v>29384</v>
      </c>
      <c r="E36" s="1150">
        <f>D36/C36</f>
        <v>1.118367968333714</v>
      </c>
      <c r="F36" s="936">
        <f>F33+F34</f>
        <v>7561</v>
      </c>
      <c r="G36" s="936">
        <f>G33+G34</f>
        <v>8072</v>
      </c>
      <c r="H36" s="1150">
        <f>G36/F36</f>
        <v>1.0675836529559581</v>
      </c>
      <c r="I36" s="936">
        <f>I33+I34</f>
        <v>5163</v>
      </c>
      <c r="J36" s="936">
        <f>J33+J34</f>
        <v>3445</v>
      </c>
      <c r="K36" s="1150">
        <f>J36/I36</f>
        <v>0.6672477241913616</v>
      </c>
      <c r="L36" s="936">
        <f>L33+L34</f>
        <v>0</v>
      </c>
      <c r="M36" s="936">
        <f>M33+M34</f>
        <v>0</v>
      </c>
      <c r="N36" s="1150">
        <f>SUM(N33)</f>
        <v>0</v>
      </c>
      <c r="O36" s="936">
        <f>O33+O34</f>
        <v>0</v>
      </c>
      <c r="P36" s="936">
        <f>P33+P34</f>
        <v>0</v>
      </c>
      <c r="Q36" s="1150">
        <f>SUM(Q33)</f>
        <v>0</v>
      </c>
      <c r="R36" s="936">
        <f>R33+R34</f>
        <v>0</v>
      </c>
      <c r="S36" s="936">
        <f>S33+S34</f>
        <v>0</v>
      </c>
      <c r="T36" s="1150">
        <f>SUM(T33)</f>
        <v>0</v>
      </c>
      <c r="U36" s="936">
        <f>U33+U34</f>
        <v>38998</v>
      </c>
      <c r="V36" s="936">
        <f>V33+V34</f>
        <v>40901</v>
      </c>
      <c r="W36" s="1150">
        <f>V36/U36</f>
        <v>1.0487973742243193</v>
      </c>
    </row>
    <row r="37" spans="1:23" s="926" customFormat="1" ht="10.5" customHeight="1" thickBot="1">
      <c r="A37" s="908"/>
      <c r="B37" s="979"/>
      <c r="C37" s="1158"/>
      <c r="D37" s="1158"/>
      <c r="E37" s="1159"/>
      <c r="F37" s="1160"/>
      <c r="G37" s="1160"/>
      <c r="H37" s="1159"/>
      <c r="I37" s="1160"/>
      <c r="J37" s="1160"/>
      <c r="K37" s="1159"/>
      <c r="L37" s="1161"/>
      <c r="M37" s="1162"/>
      <c r="N37" s="1159"/>
      <c r="O37" s="1163"/>
      <c r="P37" s="985"/>
      <c r="Q37" s="1159"/>
      <c r="R37" s="1164"/>
      <c r="S37" s="1164"/>
      <c r="T37" s="1159"/>
      <c r="U37" s="1165"/>
      <c r="V37" s="986"/>
      <c r="W37" s="1159"/>
    </row>
    <row r="38" spans="1:23" s="932" customFormat="1" ht="26.25" thickBot="1">
      <c r="A38" s="1232"/>
      <c r="B38" s="960" t="s">
        <v>1136</v>
      </c>
      <c r="C38" s="962">
        <f>C27+C31+C36</f>
        <v>510038</v>
      </c>
      <c r="D38" s="962">
        <f aca="true" t="shared" si="4" ref="D38:V38">D27+D31+D36</f>
        <v>492100</v>
      </c>
      <c r="E38" s="1166">
        <f>D38/C38</f>
        <v>0.9648300714848698</v>
      </c>
      <c r="F38" s="962">
        <f>F27+F31+F36</f>
        <v>151900</v>
      </c>
      <c r="G38" s="962">
        <f t="shared" si="4"/>
        <v>148292</v>
      </c>
      <c r="H38" s="1166">
        <f>G38/F38</f>
        <v>0.9762475312705727</v>
      </c>
      <c r="I38" s="962">
        <f>I27+I31+I36</f>
        <v>243957</v>
      </c>
      <c r="J38" s="962">
        <f t="shared" si="4"/>
        <v>198974</v>
      </c>
      <c r="K38" s="1166">
        <f>J38/I38</f>
        <v>0.8156109478309702</v>
      </c>
      <c r="L38" s="962">
        <f t="shared" si="4"/>
        <v>0</v>
      </c>
      <c r="M38" s="962">
        <f t="shared" si="4"/>
        <v>0</v>
      </c>
      <c r="N38" s="1166">
        <f t="shared" si="4"/>
        <v>0</v>
      </c>
      <c r="O38" s="962">
        <f t="shared" si="4"/>
        <v>0</v>
      </c>
      <c r="P38" s="962">
        <f t="shared" si="4"/>
        <v>0</v>
      </c>
      <c r="Q38" s="1166">
        <f t="shared" si="4"/>
        <v>0</v>
      </c>
      <c r="R38" s="962">
        <f>R27+R31+R36</f>
        <v>500</v>
      </c>
      <c r="S38" s="962">
        <f t="shared" si="4"/>
        <v>500</v>
      </c>
      <c r="T38" s="1166">
        <f t="shared" si="4"/>
        <v>1</v>
      </c>
      <c r="U38" s="961">
        <f t="shared" si="4"/>
        <v>906395</v>
      </c>
      <c r="V38" s="962">
        <f t="shared" si="4"/>
        <v>839866</v>
      </c>
      <c r="W38" s="1166">
        <f>V38/U38</f>
        <v>0.9266004335857987</v>
      </c>
    </row>
    <row r="39" ht="15.75" thickBot="1"/>
    <row r="40" spans="3:23" ht="15">
      <c r="C40" s="1234" t="s">
        <v>1152</v>
      </c>
      <c r="D40" s="1205">
        <f>(D10+D12+D14+D15+D16+D17+D18+D19+D20+D21+D23+D29+D33+D34)+284940</f>
        <v>442413</v>
      </c>
      <c r="E40" s="1205"/>
      <c r="F40" s="1205"/>
      <c r="G40" s="1205">
        <f>(G10+G12+G14+G15+G16+G17+G18+G19+G20+G21+G23+G29+G33+G34)+87524</f>
        <v>132895</v>
      </c>
      <c r="H40" s="1205"/>
      <c r="I40" s="1205"/>
      <c r="J40" s="1205">
        <f>(J10+J12+J14+J15+J16+J17+J18+J19+J20+J21+J23+J29+J33+J34+J25)+110196</f>
        <v>177189</v>
      </c>
      <c r="K40" s="1205"/>
      <c r="L40" s="1205"/>
      <c r="M40" s="1205">
        <f>(M10+M12+M14+M15+M16+M17+M18+M19+M20+M21+M23+M29+M33+M34)+M11*0.8533</f>
        <v>0</v>
      </c>
      <c r="N40" s="1205"/>
      <c r="O40" s="1205"/>
      <c r="P40" s="1205">
        <f>(P10+P12+P14+P15+P16+P17+P18+P19+P20+P21+P23+P29+P33+P34)+P11*0.8533</f>
        <v>0</v>
      </c>
      <c r="Q40" s="1205"/>
      <c r="R40" s="1205"/>
      <c r="S40" s="1205">
        <v>426</v>
      </c>
      <c r="T40" s="1205"/>
      <c r="U40" s="1205"/>
      <c r="V40" s="1205">
        <f>(V10+V12+V14+V15+V16+V17+V18+V19+V20+V21+V23+V25+V29+V33+V34)+V11*0.8533</f>
        <v>752923.4087</v>
      </c>
      <c r="W40" s="1206"/>
    </row>
    <row r="41" spans="3:23" ht="15">
      <c r="C41" s="1240" t="s">
        <v>1153</v>
      </c>
      <c r="D41" s="1209">
        <f>(D13)+3773</f>
        <v>4473</v>
      </c>
      <c r="E41" s="1209"/>
      <c r="F41" s="1209"/>
      <c r="G41" s="1209">
        <f>(G13)+1159</f>
        <v>1509</v>
      </c>
      <c r="H41" s="1209"/>
      <c r="I41" s="1209"/>
      <c r="J41" s="1209">
        <f>(J13)+1459</f>
        <v>1599</v>
      </c>
      <c r="K41" s="1209"/>
      <c r="L41" s="1209"/>
      <c r="M41" s="1209">
        <f>(M13)+M11*0.0113</f>
        <v>0</v>
      </c>
      <c r="N41" s="1209"/>
      <c r="O41" s="1209"/>
      <c r="P41" s="1209">
        <f>(P13)+P11*0.0113</f>
        <v>0</v>
      </c>
      <c r="Q41" s="1209"/>
      <c r="R41" s="1209"/>
      <c r="S41" s="1209">
        <f>(S13)+6</f>
        <v>6</v>
      </c>
      <c r="T41" s="1209"/>
      <c r="U41" s="1209"/>
      <c r="V41" s="1209">
        <f>(V13)+V11*0.0113</f>
        <v>7587.3706999999995</v>
      </c>
      <c r="W41" s="1210"/>
    </row>
    <row r="42" spans="3:23" ht="15">
      <c r="C42" s="1238" t="s">
        <v>1154</v>
      </c>
      <c r="D42" s="1209">
        <f>(D22+D24)+45214</f>
        <v>45214</v>
      </c>
      <c r="E42" s="1209"/>
      <c r="F42" s="1209"/>
      <c r="G42" s="1209">
        <f>(G22+G24)+13888</f>
        <v>13888</v>
      </c>
      <c r="H42" s="1209"/>
      <c r="I42" s="1209"/>
      <c r="J42" s="1209">
        <f>(J22+J24)+17486</f>
        <v>20186</v>
      </c>
      <c r="K42" s="1209"/>
      <c r="L42" s="1209"/>
      <c r="M42" s="1209">
        <f>(M22+M24)+M11*0.1354</f>
        <v>0</v>
      </c>
      <c r="N42" s="1209"/>
      <c r="O42" s="1209"/>
      <c r="P42" s="1209">
        <f>(P22+P24)+P11*0.1354</f>
        <v>0</v>
      </c>
      <c r="Q42" s="1209"/>
      <c r="R42" s="1209"/>
      <c r="S42" s="1209">
        <f>(S22+S24)+68</f>
        <v>68</v>
      </c>
      <c r="T42" s="1209"/>
      <c r="U42" s="1209"/>
      <c r="V42" s="1209">
        <f>(V22+V24)+V11*0.1354</f>
        <v>79355.2206</v>
      </c>
      <c r="W42" s="1211"/>
    </row>
    <row r="43" spans="3:23" ht="15.75" thickBot="1">
      <c r="C43" s="1235"/>
      <c r="D43" s="1216">
        <f>SUM(D40:D42)</f>
        <v>492100</v>
      </c>
      <c r="E43" s="1216"/>
      <c r="F43" s="1216"/>
      <c r="G43" s="1216">
        <f>SUM(G40:G42)</f>
        <v>148292</v>
      </c>
      <c r="H43" s="1216"/>
      <c r="I43" s="1216"/>
      <c r="J43" s="1216">
        <f>SUM(J40:J42)</f>
        <v>198974</v>
      </c>
      <c r="K43" s="1216"/>
      <c r="L43" s="1216"/>
      <c r="M43" s="1216">
        <f>SUM(M40:M42)</f>
        <v>0</v>
      </c>
      <c r="N43" s="1216"/>
      <c r="O43" s="1216"/>
      <c r="P43" s="1216">
        <f>SUM(P40:P42)</f>
        <v>0</v>
      </c>
      <c r="Q43" s="1216"/>
      <c r="R43" s="1216"/>
      <c r="S43" s="1216">
        <f>SUM(S40:S42)</f>
        <v>500</v>
      </c>
      <c r="T43" s="1216"/>
      <c r="U43" s="1216"/>
      <c r="V43" s="1216">
        <f>SUM(V40:V42)</f>
        <v>839866</v>
      </c>
      <c r="W43" s="1217"/>
    </row>
    <row r="45" spans="4:22" ht="15">
      <c r="D45" s="1230">
        <f>D38-D43</f>
        <v>0</v>
      </c>
      <c r="E45" s="1230"/>
      <c r="F45" s="1230"/>
      <c r="G45" s="1230">
        <f>G38-G43</f>
        <v>0</v>
      </c>
      <c r="H45" s="1230"/>
      <c r="I45" s="1230"/>
      <c r="J45" s="1230">
        <f>J38-J43</f>
        <v>0</v>
      </c>
      <c r="K45" s="1230"/>
      <c r="L45" s="1230"/>
      <c r="M45" s="1230">
        <f>M38-M43</f>
        <v>0</v>
      </c>
      <c r="N45" s="1230"/>
      <c r="O45" s="1230"/>
      <c r="P45" s="1230">
        <f>P38-P43</f>
        <v>0</v>
      </c>
      <c r="Q45" s="1230"/>
      <c r="R45" s="1230"/>
      <c r="S45" s="1230">
        <f>S38-S43</f>
        <v>0</v>
      </c>
      <c r="T45" s="1230"/>
      <c r="U45" s="1230"/>
      <c r="V45" s="1230">
        <f>V38-V43</f>
        <v>0</v>
      </c>
    </row>
    <row r="47" spans="4:5" ht="15">
      <c r="D47" s="1394">
        <f>$D$11*0.8533</f>
        <v>284939.9091</v>
      </c>
      <c r="E47" s="1167" t="s">
        <v>1262</v>
      </c>
    </row>
    <row r="48" ht="15">
      <c r="D48" s="1394">
        <f>$D$11*0.0113</f>
        <v>3773.3750999999997</v>
      </c>
    </row>
    <row r="49" ht="15">
      <c r="D49" s="1394">
        <f>$D$11*0.1354</f>
        <v>45213.7158</v>
      </c>
    </row>
    <row r="50" spans="19:20" ht="15">
      <c r="S50" s="1394">
        <f>$S$11*0.8533</f>
        <v>426.65</v>
      </c>
      <c r="T50" s="1167" t="s">
        <v>1230</v>
      </c>
    </row>
    <row r="51" spans="7:19" ht="15">
      <c r="G51" s="1394">
        <f>$G$11*0.8533</f>
        <v>87523.83429999999</v>
      </c>
      <c r="J51" s="1394">
        <f>$J$11*0.8533</f>
        <v>110196.0153</v>
      </c>
      <c r="S51" s="1394">
        <f>$S$11*0.0113</f>
        <v>5.6499999999999995</v>
      </c>
    </row>
    <row r="52" spans="7:19" ht="15">
      <c r="G52" s="1394">
        <f>$G$11*0.0113</f>
        <v>1159.0522999999998</v>
      </c>
      <c r="J52" s="1394">
        <f>$J$11*0.0113</f>
        <v>1459.2932999999998</v>
      </c>
      <c r="S52" s="1394">
        <f>$S$11*0.1354</f>
        <v>67.7</v>
      </c>
    </row>
    <row r="53" spans="7:10" ht="15">
      <c r="G53" s="1394">
        <f>$G$11*0.1354</f>
        <v>13888.113399999998</v>
      </c>
      <c r="J53" s="1394">
        <f>$J$11*0.1354</f>
        <v>17485.6914</v>
      </c>
    </row>
    <row r="100" ht="15">
      <c r="J100" s="1167"/>
    </row>
    <row r="101" ht="15">
      <c r="J101" s="1167"/>
    </row>
    <row r="102" ht="15">
      <c r="J102" s="1167"/>
    </row>
    <row r="103" ht="15">
      <c r="J103" s="1167"/>
    </row>
    <row r="104" ht="15">
      <c r="J104" s="1167"/>
    </row>
  </sheetData>
  <sheetProtection/>
  <mergeCells count="19">
    <mergeCell ref="A1:W1"/>
    <mergeCell ref="A2:W2"/>
    <mergeCell ref="A3:W3"/>
    <mergeCell ref="A4:W4"/>
    <mergeCell ref="C5:E6"/>
    <mergeCell ref="F5:H6"/>
    <mergeCell ref="I5:K6"/>
    <mergeCell ref="L5:N6"/>
    <mergeCell ref="O5:T5"/>
    <mergeCell ref="U5:W6"/>
    <mergeCell ref="W7:W8"/>
    <mergeCell ref="O6:Q6"/>
    <mergeCell ref="R6:T6"/>
    <mergeCell ref="E7:E8"/>
    <mergeCell ref="H7:H8"/>
    <mergeCell ref="K7:K8"/>
    <mergeCell ref="N7:N8"/>
    <mergeCell ref="Q7:Q8"/>
    <mergeCell ref="T7:T8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E1"/>
    </sheetView>
  </sheetViews>
  <sheetFormatPr defaultColWidth="9.375" defaultRowHeight="12" customHeight="1"/>
  <cols>
    <col min="1" max="1" width="4.50390625" style="990" customWidth="1"/>
    <col min="2" max="2" width="77.125" style="1101" customWidth="1"/>
    <col min="3" max="4" width="12.50390625" style="998" customWidth="1"/>
    <col min="5" max="5" width="12.125" style="990" customWidth="1"/>
    <col min="6" max="6" width="9.375" style="990" customWidth="1"/>
    <col min="7" max="7" width="11.875" style="990" customWidth="1"/>
    <col min="8" max="9" width="10.625" style="990" customWidth="1"/>
    <col min="10" max="16384" width="9.375" style="990" customWidth="1"/>
  </cols>
  <sheetData>
    <row r="1" spans="1:5" ht="15.75">
      <c r="A1" s="1527" t="s">
        <v>955</v>
      </c>
      <c r="B1" s="1527"/>
      <c r="C1" s="1527"/>
      <c r="D1" s="1527"/>
      <c r="E1" s="1499"/>
    </row>
    <row r="2" spans="1:5" ht="15.75">
      <c r="A2" s="1500" t="s">
        <v>1137</v>
      </c>
      <c r="B2" s="1500"/>
      <c r="C2" s="1500"/>
      <c r="D2" s="1500"/>
      <c r="E2" s="1528"/>
    </row>
    <row r="3" spans="1:7" ht="15.75">
      <c r="A3" s="1500" t="s">
        <v>868</v>
      </c>
      <c r="B3" s="1500"/>
      <c r="C3" s="1500"/>
      <c r="D3" s="1500"/>
      <c r="E3" s="1528"/>
      <c r="G3" s="992"/>
    </row>
    <row r="4" spans="1:7" s="993" customFormat="1" ht="15.75">
      <c r="A4" s="1529" t="s">
        <v>869</v>
      </c>
      <c r="B4" s="1529"/>
      <c r="C4" s="1529"/>
      <c r="D4" s="1529"/>
      <c r="E4" s="1528"/>
      <c r="G4" s="992"/>
    </row>
    <row r="5" spans="1:5" s="1000" customFormat="1" ht="15.75">
      <c r="A5" s="995" t="s">
        <v>957</v>
      </c>
      <c r="B5" s="996"/>
      <c r="C5" s="1168"/>
      <c r="D5" s="1168"/>
      <c r="E5" s="1055"/>
    </row>
    <row r="6" spans="1:5" s="553" customFormat="1" ht="36" customHeight="1">
      <c r="A6" s="1001"/>
      <c r="B6" s="1001"/>
      <c r="C6" s="1169" t="s">
        <v>1138</v>
      </c>
      <c r="D6" s="1169" t="s">
        <v>1139</v>
      </c>
      <c r="E6" s="1170" t="s">
        <v>693</v>
      </c>
    </row>
    <row r="7" spans="1:5" s="1000" customFormat="1" ht="15.75">
      <c r="A7" s="1171" t="s">
        <v>1140</v>
      </c>
      <c r="B7" s="1071"/>
      <c r="C7" s="1172"/>
      <c r="D7" s="1172"/>
      <c r="E7" s="1055"/>
    </row>
    <row r="8" spans="1:5" s="1000" customFormat="1" ht="15.75">
      <c r="A8" s="840" t="s">
        <v>17</v>
      </c>
      <c r="B8" s="1009"/>
      <c r="C8" s="835"/>
      <c r="D8" s="835"/>
      <c r="E8" s="1173"/>
    </row>
    <row r="9" spans="1:5" s="1000" customFormat="1" ht="16.5" thickBot="1">
      <c r="A9" s="840" t="s">
        <v>18</v>
      </c>
      <c r="B9" s="840"/>
      <c r="C9" s="1009"/>
      <c r="D9" s="835"/>
      <c r="E9" s="1173"/>
    </row>
    <row r="10" spans="1:5" s="1000" customFormat="1" ht="16.5" hidden="1" thickBot="1">
      <c r="A10" s="840" t="s">
        <v>19</v>
      </c>
      <c r="B10" s="840"/>
      <c r="C10" s="1009"/>
      <c r="D10" s="835"/>
      <c r="E10" s="1173"/>
    </row>
    <row r="11" spans="1:5" s="1000" customFormat="1" ht="16.5" hidden="1" thickBot="1">
      <c r="A11" s="840" t="s">
        <v>20</v>
      </c>
      <c r="B11" s="1009"/>
      <c r="C11" s="835"/>
      <c r="D11" s="835"/>
      <c r="E11" s="1173"/>
    </row>
    <row r="12" spans="1:5" s="1000" customFormat="1" ht="16.5" hidden="1" thickBot="1">
      <c r="A12" s="840" t="s">
        <v>21</v>
      </c>
      <c r="B12" s="1009"/>
      <c r="C12" s="835"/>
      <c r="D12" s="835"/>
      <c r="E12" s="1173"/>
    </row>
    <row r="13" spans="1:5" s="1000" customFormat="1" ht="16.5" hidden="1" thickBot="1">
      <c r="A13" s="840" t="s">
        <v>22</v>
      </c>
      <c r="B13" s="1009"/>
      <c r="C13" s="835"/>
      <c r="D13" s="835"/>
      <c r="E13" s="1173"/>
    </row>
    <row r="14" spans="1:5" s="1000" customFormat="1" ht="16.5" hidden="1" thickBot="1">
      <c r="A14" s="840" t="s">
        <v>23</v>
      </c>
      <c r="B14" s="1009"/>
      <c r="C14" s="835"/>
      <c r="D14" s="835"/>
      <c r="E14" s="1173"/>
    </row>
    <row r="15" spans="1:5" s="1000" customFormat="1" ht="16.5" hidden="1" thickBot="1">
      <c r="A15" s="840" t="s">
        <v>24</v>
      </c>
      <c r="B15" s="1009"/>
      <c r="C15" s="835"/>
      <c r="D15" s="835"/>
      <c r="E15" s="1173"/>
    </row>
    <row r="16" spans="1:5" s="1000" customFormat="1" ht="16.5" hidden="1" thickBot="1">
      <c r="A16" s="840" t="s">
        <v>25</v>
      </c>
      <c r="B16" s="1009"/>
      <c r="C16" s="835"/>
      <c r="D16" s="835"/>
      <c r="E16" s="1173"/>
    </row>
    <row r="17" spans="1:5" s="1000" customFormat="1" ht="16.5" hidden="1" thickBot="1">
      <c r="A17" s="840" t="s">
        <v>26</v>
      </c>
      <c r="B17" s="1009"/>
      <c r="C17" s="835"/>
      <c r="D17" s="835"/>
      <c r="E17" s="1173"/>
    </row>
    <row r="18" spans="1:5" s="1000" customFormat="1" ht="16.5" hidden="1" thickBot="1">
      <c r="A18" s="840" t="s">
        <v>27</v>
      </c>
      <c r="B18" s="1009"/>
      <c r="C18" s="835"/>
      <c r="D18" s="835"/>
      <c r="E18" s="1173"/>
    </row>
    <row r="19" spans="1:5" s="1000" customFormat="1" ht="16.5" hidden="1" thickBot="1">
      <c r="A19" s="840" t="s">
        <v>28</v>
      </c>
      <c r="B19" s="1009"/>
      <c r="C19" s="835"/>
      <c r="D19" s="835"/>
      <c r="E19" s="1173"/>
    </row>
    <row r="20" spans="1:5" s="1000" customFormat="1" ht="16.5" hidden="1" thickBot="1">
      <c r="A20" s="840" t="s">
        <v>29</v>
      </c>
      <c r="B20" s="1009"/>
      <c r="C20" s="835"/>
      <c r="D20" s="835"/>
      <c r="E20" s="1173"/>
    </row>
    <row r="21" spans="1:5" s="1000" customFormat="1" ht="16.5" hidden="1" thickBot="1">
      <c r="A21" s="840" t="s">
        <v>30</v>
      </c>
      <c r="B21" s="1009"/>
      <c r="C21" s="835"/>
      <c r="D21" s="835"/>
      <c r="E21" s="1173"/>
    </row>
    <row r="22" spans="1:5" s="1000" customFormat="1" ht="16.5" hidden="1" thickBot="1">
      <c r="A22" s="840" t="s">
        <v>31</v>
      </c>
      <c r="B22" s="1018"/>
      <c r="C22" s="841"/>
      <c r="D22" s="841"/>
      <c r="E22" s="1174"/>
    </row>
    <row r="23" spans="1:5" s="1074" customFormat="1" ht="16.5" hidden="1" thickBot="1">
      <c r="A23" s="840" t="s">
        <v>19</v>
      </c>
      <c r="B23" s="1018"/>
      <c r="C23" s="835"/>
      <c r="D23" s="835"/>
      <c r="E23" s="1173">
        <v>0</v>
      </c>
    </row>
    <row r="24" spans="1:5" s="1000" customFormat="1" ht="16.5" hidden="1" thickBot="1">
      <c r="A24" s="840" t="s">
        <v>20</v>
      </c>
      <c r="B24" s="1018"/>
      <c r="C24" s="835"/>
      <c r="D24" s="835"/>
      <c r="E24" s="1173">
        <v>0</v>
      </c>
    </row>
    <row r="25" spans="1:5" s="1000" customFormat="1" ht="16.5" hidden="1" thickBot="1">
      <c r="A25" s="840" t="s">
        <v>21</v>
      </c>
      <c r="B25" s="1009"/>
      <c r="C25" s="841"/>
      <c r="D25" s="841"/>
      <c r="E25" s="1174">
        <v>0</v>
      </c>
    </row>
    <row r="26" spans="1:5" s="1000" customFormat="1" ht="16.5" hidden="1" thickBot="1">
      <c r="A26" s="840" t="s">
        <v>22</v>
      </c>
      <c r="B26" s="1009"/>
      <c r="C26" s="841"/>
      <c r="D26" s="841"/>
      <c r="E26" s="1174">
        <v>0</v>
      </c>
    </row>
    <row r="27" spans="1:5" s="1000" customFormat="1" ht="16.5" hidden="1" thickBot="1">
      <c r="A27" s="840" t="s">
        <v>23</v>
      </c>
      <c r="B27" s="1009"/>
      <c r="C27" s="841"/>
      <c r="D27" s="841"/>
      <c r="E27" s="1174">
        <v>0</v>
      </c>
    </row>
    <row r="28" spans="1:5" s="1000" customFormat="1" ht="16.5" hidden="1" thickBot="1">
      <c r="A28" s="840" t="s">
        <v>24</v>
      </c>
      <c r="B28" s="1009"/>
      <c r="C28" s="841"/>
      <c r="D28" s="841"/>
      <c r="E28" s="1174">
        <v>0</v>
      </c>
    </row>
    <row r="29" spans="1:5" s="1000" customFormat="1" ht="16.5" hidden="1" thickBot="1">
      <c r="A29" s="840" t="s">
        <v>25</v>
      </c>
      <c r="B29" s="1009"/>
      <c r="C29" s="841"/>
      <c r="D29" s="841"/>
      <c r="E29" s="1174">
        <v>0</v>
      </c>
    </row>
    <row r="30" spans="1:5" s="1000" customFormat="1" ht="16.5" hidden="1" thickBot="1">
      <c r="A30" s="840" t="s">
        <v>26</v>
      </c>
      <c r="B30" s="1009"/>
      <c r="C30" s="841"/>
      <c r="D30" s="841"/>
      <c r="E30" s="1174">
        <v>0</v>
      </c>
    </row>
    <row r="31" spans="1:5" s="1000" customFormat="1" ht="16.5" hidden="1" thickBot="1">
      <c r="A31" s="840" t="s">
        <v>27</v>
      </c>
      <c r="B31" s="1018"/>
      <c r="C31" s="835"/>
      <c r="D31" s="835"/>
      <c r="E31" s="1173">
        <v>0</v>
      </c>
    </row>
    <row r="32" spans="1:5" s="1000" customFormat="1" ht="16.5" hidden="1" thickBot="1">
      <c r="A32" s="840" t="s">
        <v>28</v>
      </c>
      <c r="B32" s="1009"/>
      <c r="C32" s="835"/>
      <c r="D32" s="835"/>
      <c r="E32" s="1173">
        <v>0</v>
      </c>
    </row>
    <row r="33" spans="1:5" s="1000" customFormat="1" ht="16.5" hidden="1" thickBot="1">
      <c r="A33" s="840" t="s">
        <v>29</v>
      </c>
      <c r="B33" s="1009"/>
      <c r="C33" s="835"/>
      <c r="D33" s="835"/>
      <c r="E33" s="1173">
        <v>0</v>
      </c>
    </row>
    <row r="34" spans="1:5" s="1012" customFormat="1" ht="15.75">
      <c r="A34" s="1175" t="s">
        <v>50</v>
      </c>
      <c r="B34" s="1020"/>
      <c r="C34" s="1176">
        <f>SUM(C8:C33)</f>
        <v>0</v>
      </c>
      <c r="D34" s="1176">
        <f>SUM(D8:D33)</f>
        <v>0</v>
      </c>
      <c r="E34" s="1177">
        <v>0</v>
      </c>
    </row>
    <row r="35" spans="1:5" s="1012" customFormat="1" ht="15.75">
      <c r="A35" s="816"/>
      <c r="B35" s="1030"/>
      <c r="C35" s="1178"/>
      <c r="D35" s="1178"/>
      <c r="E35" s="1179"/>
    </row>
    <row r="36" spans="1:5" s="1000" customFormat="1" ht="15.75">
      <c r="A36" s="1055"/>
      <c r="B36" s="1023"/>
      <c r="C36" s="1168"/>
      <c r="D36" s="1168"/>
      <c r="E36" s="1180"/>
    </row>
    <row r="37" spans="1:5" s="1000" customFormat="1" ht="15.75">
      <c r="A37" s="1080" t="s">
        <v>1141</v>
      </c>
      <c r="B37" s="1081"/>
      <c r="C37" s="1181">
        <f>C34</f>
        <v>0</v>
      </c>
      <c r="D37" s="1181">
        <f>D34</f>
        <v>0</v>
      </c>
      <c r="E37" s="1182">
        <v>0</v>
      </c>
    </row>
    <row r="38" spans="1:5" s="1074" customFormat="1" ht="15.75">
      <c r="A38" s="1183"/>
      <c r="B38" s="1035"/>
      <c r="C38" s="1184"/>
      <c r="D38" s="1184"/>
      <c r="E38" s="1185"/>
    </row>
    <row r="39" spans="1:5" s="1074" customFormat="1" ht="15.75">
      <c r="A39" s="1183"/>
      <c r="B39" s="1035"/>
      <c r="C39" s="1184"/>
      <c r="D39" s="1184"/>
      <c r="E39" s="1185"/>
    </row>
    <row r="40" spans="1:5" s="1000" customFormat="1" ht="15.75">
      <c r="A40" s="1085" t="s">
        <v>1067</v>
      </c>
      <c r="B40" s="1001"/>
      <c r="C40" s="1168"/>
      <c r="D40" s="1168"/>
      <c r="E40" s="1180"/>
    </row>
    <row r="41" spans="1:5" s="1000" customFormat="1" ht="31.5">
      <c r="A41" s="1085"/>
      <c r="B41" s="1001"/>
      <c r="C41" s="1186" t="str">
        <f>C6</f>
        <v>2014. évi        terv</v>
      </c>
      <c r="D41" s="1169" t="str">
        <f>D6</f>
        <v>2015. évi        terv</v>
      </c>
      <c r="E41" s="1187" t="str">
        <f>E6</f>
        <v>%</v>
      </c>
    </row>
    <row r="42" spans="1:5" s="1000" customFormat="1" ht="15.75">
      <c r="A42" s="1085" t="s">
        <v>1142</v>
      </c>
      <c r="B42" s="1001"/>
      <c r="C42" s="1172"/>
      <c r="D42" s="1172"/>
      <c r="E42" s="1055"/>
    </row>
    <row r="43" spans="1:5" s="1000" customFormat="1" ht="15.75">
      <c r="A43" s="1038" t="s">
        <v>17</v>
      </c>
      <c r="B43" s="1018"/>
      <c r="C43" s="835"/>
      <c r="D43" s="835"/>
      <c r="E43" s="1173"/>
    </row>
    <row r="44" spans="1:5" s="1000" customFormat="1" ht="16.5" thickBot="1">
      <c r="A44" s="1038" t="s">
        <v>18</v>
      </c>
      <c r="B44" s="1018"/>
      <c r="C44" s="835"/>
      <c r="D44" s="835"/>
      <c r="E44" s="1173"/>
    </row>
    <row r="45" spans="1:5" s="1000" customFormat="1" ht="16.5" hidden="1" thickBot="1">
      <c r="A45" s="1055" t="s">
        <v>19</v>
      </c>
      <c r="B45" s="1001"/>
      <c r="C45" s="1168"/>
      <c r="D45" s="1168"/>
      <c r="E45" s="1179"/>
    </row>
    <row r="46" spans="1:5" s="1000" customFormat="1" ht="16.5" hidden="1" thickBot="1">
      <c r="A46" s="1055" t="s">
        <v>20</v>
      </c>
      <c r="B46" s="1001"/>
      <c r="C46" s="1168"/>
      <c r="D46" s="1168"/>
      <c r="E46" s="1179"/>
    </row>
    <row r="47" spans="1:5" s="1000" customFormat="1" ht="16.5" hidden="1" thickBot="1">
      <c r="A47" s="1055" t="s">
        <v>21</v>
      </c>
      <c r="B47" s="1001"/>
      <c r="C47" s="1168"/>
      <c r="D47" s="1168"/>
      <c r="E47" s="1179"/>
    </row>
    <row r="48" spans="1:5" s="1000" customFormat="1" ht="16.5" hidden="1" thickBot="1">
      <c r="A48" s="1055" t="s">
        <v>22</v>
      </c>
      <c r="B48" s="1001"/>
      <c r="C48" s="1168"/>
      <c r="D48" s="1168"/>
      <c r="E48" s="1179"/>
    </row>
    <row r="49" spans="1:5" s="1000" customFormat="1" ht="15.75">
      <c r="A49" s="1175" t="s">
        <v>50</v>
      </c>
      <c r="B49" s="1020"/>
      <c r="C49" s="1176">
        <f>SUM(C43:C48)</f>
        <v>0</v>
      </c>
      <c r="D49" s="1176">
        <f>SUM(D43:D48)</f>
        <v>0</v>
      </c>
      <c r="E49" s="1177">
        <v>0</v>
      </c>
    </row>
    <row r="50" spans="1:5" s="1000" customFormat="1" ht="15.75">
      <c r="A50" s="1085"/>
      <c r="B50" s="1001"/>
      <c r="C50" s="1168"/>
      <c r="D50" s="1168"/>
      <c r="E50" s="1179"/>
    </row>
    <row r="51" spans="1:5" s="1012" customFormat="1" ht="15.75">
      <c r="A51" s="1188"/>
      <c r="B51" s="1023"/>
      <c r="C51" s="1168"/>
      <c r="D51" s="1168"/>
      <c r="E51" s="1179"/>
    </row>
    <row r="52" spans="1:7" s="1012" customFormat="1" ht="15.75">
      <c r="A52" s="1080" t="s">
        <v>1143</v>
      </c>
      <c r="B52" s="1081"/>
      <c r="C52" s="1181">
        <f>C49</f>
        <v>0</v>
      </c>
      <c r="D52" s="1181">
        <f>D49</f>
        <v>0</v>
      </c>
      <c r="E52" s="1182">
        <f>E49</f>
        <v>0</v>
      </c>
      <c r="G52" s="868"/>
    </row>
    <row r="53" spans="1:5" s="1012" customFormat="1" ht="16.5" thickBot="1">
      <c r="A53" s="1090"/>
      <c r="B53" s="1023"/>
      <c r="C53" s="1168"/>
      <c r="D53" s="1168"/>
      <c r="E53" s="1179"/>
    </row>
    <row r="54" spans="1:5" s="1012" customFormat="1" ht="16.5" thickBot="1">
      <c r="A54" s="1092" t="s">
        <v>1086</v>
      </c>
      <c r="B54" s="1093"/>
      <c r="C54" s="1189">
        <f>C37+C52</f>
        <v>0</v>
      </c>
      <c r="D54" s="1189">
        <f>D37+D52</f>
        <v>0</v>
      </c>
      <c r="E54" s="1190">
        <f>E37+E52</f>
        <v>0</v>
      </c>
    </row>
    <row r="55" spans="1:5" s="1012" customFormat="1" ht="15.75">
      <c r="A55" s="1171"/>
      <c r="B55" s="1098"/>
      <c r="C55" s="1168"/>
      <c r="D55" s="1168"/>
      <c r="E55" s="1188"/>
    </row>
    <row r="56" spans="1:5" s="1000" customFormat="1" ht="15.75">
      <c r="A56" s="1188"/>
      <c r="B56" s="1001"/>
      <c r="C56" s="1172"/>
      <c r="D56" s="1172"/>
      <c r="E56" s="1055"/>
    </row>
    <row r="57" spans="1:5" s="1000" customFormat="1" ht="15.75">
      <c r="A57" s="1188"/>
      <c r="B57" s="1001"/>
      <c r="C57" s="1172"/>
      <c r="D57" s="1172"/>
      <c r="E57" s="1055"/>
    </row>
    <row r="58" spans="1:5" s="1012" customFormat="1" ht="15.75">
      <c r="A58" s="1188"/>
      <c r="B58" s="1023"/>
      <c r="C58" s="1168"/>
      <c r="D58" s="1168"/>
      <c r="E58" s="1188"/>
    </row>
    <row r="59" spans="1:5" s="1012" customFormat="1" ht="15.75">
      <c r="A59" s="1188"/>
      <c r="B59" s="1023"/>
      <c r="C59" s="1168"/>
      <c r="D59" s="1168"/>
      <c r="E59" s="1188"/>
    </row>
    <row r="60" spans="1:5" s="1012" customFormat="1" ht="15.75">
      <c r="A60" s="1188"/>
      <c r="B60" s="1023"/>
      <c r="C60" s="1168"/>
      <c r="D60" s="1168"/>
      <c r="E60" s="1188"/>
    </row>
    <row r="61" spans="1:5" s="1012" customFormat="1" ht="15.75">
      <c r="A61" s="1191"/>
      <c r="B61" s="1099"/>
      <c r="C61" s="1184"/>
      <c r="D61" s="1184"/>
      <c r="E61" s="1188"/>
    </row>
    <row r="62" spans="1:5" s="1012" customFormat="1" ht="15.75">
      <c r="A62" s="1191"/>
      <c r="B62" s="1099"/>
      <c r="C62" s="1168"/>
      <c r="D62" s="1168"/>
      <c r="E62" s="1188"/>
    </row>
    <row r="63" spans="1:5" s="1012" customFormat="1" ht="15.75">
      <c r="A63" s="1171"/>
      <c r="B63" s="1023"/>
      <c r="C63" s="1168"/>
      <c r="D63" s="1168"/>
      <c r="E63" s="1188"/>
    </row>
    <row r="64" spans="1:5" s="1012" customFormat="1" ht="15.75">
      <c r="A64" s="1188"/>
      <c r="B64" s="1023"/>
      <c r="C64" s="1168"/>
      <c r="D64" s="1168"/>
      <c r="E64" s="1188"/>
    </row>
    <row r="65" spans="1:5" s="1000" customFormat="1" ht="15.75">
      <c r="A65" s="1055"/>
      <c r="B65" s="1001"/>
      <c r="C65" s="1168"/>
      <c r="D65" s="1168"/>
      <c r="E65" s="1055"/>
    </row>
    <row r="66" spans="1:5" s="1000" customFormat="1" ht="15.75">
      <c r="A66" s="1191"/>
      <c r="B66" s="1099"/>
      <c r="C66" s="1184"/>
      <c r="D66" s="1184"/>
      <c r="E66" s="1055"/>
    </row>
    <row r="67" spans="1:5" s="1000" customFormat="1" ht="15.75">
      <c r="A67" s="1055"/>
      <c r="B67" s="1001"/>
      <c r="C67" s="1168"/>
      <c r="D67" s="1168"/>
      <c r="E67" s="1055"/>
    </row>
    <row r="68" spans="1:5" s="1000" customFormat="1" ht="15.75">
      <c r="A68" s="1085"/>
      <c r="B68" s="1001"/>
      <c r="C68" s="1184"/>
      <c r="D68" s="1184"/>
      <c r="E68" s="1055"/>
    </row>
    <row r="69" spans="1:5" s="1000" customFormat="1" ht="15.75">
      <c r="A69" s="1055"/>
      <c r="B69" s="1001"/>
      <c r="C69" s="1168"/>
      <c r="D69" s="1168"/>
      <c r="E69" s="1055"/>
    </row>
    <row r="70" spans="1:5" s="1000" customFormat="1" ht="15.75">
      <c r="A70" s="1183"/>
      <c r="B70" s="1035"/>
      <c r="C70" s="1184"/>
      <c r="D70" s="1184"/>
      <c r="E70" s="1055"/>
    </row>
    <row r="71" spans="1:5" s="1000" customFormat="1" ht="15.75">
      <c r="A71" s="1055"/>
      <c r="B71" s="1100"/>
      <c r="C71" s="1168"/>
      <c r="D71" s="1168"/>
      <c r="E71" s="1055"/>
    </row>
    <row r="72" spans="1:5" s="1000" customFormat="1" ht="15.75">
      <c r="A72" s="1055"/>
      <c r="B72" s="1030"/>
      <c r="C72" s="1184"/>
      <c r="D72" s="1184"/>
      <c r="E72" s="1055"/>
    </row>
    <row r="73" spans="1:5" s="1000" customFormat="1" ht="15.75">
      <c r="A73" s="1055"/>
      <c r="B73" s="1099"/>
      <c r="C73" s="1184"/>
      <c r="D73" s="1184"/>
      <c r="E73" s="1055"/>
    </row>
    <row r="74" spans="1:5" s="1000" customFormat="1" ht="15.75">
      <c r="A74" s="1055"/>
      <c r="B74" s="1099"/>
      <c r="C74" s="1184"/>
      <c r="D74" s="1184"/>
      <c r="E74" s="1055"/>
    </row>
    <row r="75" spans="1:5" s="1000" customFormat="1" ht="15.75">
      <c r="A75" s="1055"/>
      <c r="B75" s="1099"/>
      <c r="C75" s="1184"/>
      <c r="D75" s="1184"/>
      <c r="E75" s="1192"/>
    </row>
    <row r="76" spans="1:5" s="1000" customFormat="1" ht="15.75">
      <c r="A76" s="1055"/>
      <c r="B76" s="1001"/>
      <c r="C76" s="1184"/>
      <c r="D76" s="1184"/>
      <c r="E76" s="1055"/>
    </row>
    <row r="77" spans="1:5" s="1000" customFormat="1" ht="15.75">
      <c r="A77" s="1055"/>
      <c r="B77" s="1001"/>
      <c r="C77" s="1168"/>
      <c r="D77" s="1168"/>
      <c r="E77" s="1055"/>
    </row>
    <row r="78" spans="1:5" s="1000" customFormat="1" ht="15.75">
      <c r="A78" s="1055"/>
      <c r="B78" s="1001"/>
      <c r="C78" s="1168"/>
      <c r="D78" s="1168"/>
      <c r="E78" s="1055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625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49457</v>
      </c>
    </row>
    <row r="9" spans="1:3" s="272" customFormat="1" ht="12.75" customHeight="1">
      <c r="A9" s="654" t="s">
        <v>94</v>
      </c>
      <c r="B9" s="394" t="s">
        <v>276</v>
      </c>
      <c r="C9" s="655">
        <v>6500</v>
      </c>
    </row>
    <row r="10" spans="1:3" s="272" customFormat="1" ht="12.75" customHeight="1">
      <c r="A10" s="656" t="s">
        <v>95</v>
      </c>
      <c r="B10" s="395" t="s">
        <v>277</v>
      </c>
      <c r="C10" s="657">
        <f>20200-11667</f>
        <v>8533</v>
      </c>
    </row>
    <row r="11" spans="1:3" s="272" customFormat="1" ht="12.75" customHeight="1">
      <c r="A11" s="656" t="s">
        <v>96</v>
      </c>
      <c r="B11" s="395" t="s">
        <v>278</v>
      </c>
      <c r="C11" s="657">
        <v>20500</v>
      </c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f>11529-3150</f>
        <v>8379</v>
      </c>
    </row>
    <row r="15" spans="1:3" s="272" customFormat="1" ht="12.75" customHeight="1">
      <c r="A15" s="656" t="s">
        <v>99</v>
      </c>
      <c r="B15" s="399" t="s">
        <v>402</v>
      </c>
      <c r="C15" s="657">
        <f>5535</f>
        <v>5535</v>
      </c>
    </row>
    <row r="16" spans="1:3" s="272" customFormat="1" ht="12.75" customHeight="1">
      <c r="A16" s="656" t="s">
        <v>109</v>
      </c>
      <c r="B16" s="395" t="s">
        <v>283</v>
      </c>
      <c r="C16" s="658">
        <v>10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360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v>360</v>
      </c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>
        <v>1000</v>
      </c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50817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786549</v>
      </c>
    </row>
    <row r="39" spans="1:3" s="272" customFormat="1" ht="12.75" customHeight="1">
      <c r="A39" s="662" t="s">
        <v>412</v>
      </c>
      <c r="B39" s="663" t="s">
        <v>237</v>
      </c>
      <c r="C39" s="511">
        <f>'K1'!I94</f>
        <v>3666</v>
      </c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>
        <f>'K1'!I96</f>
        <v>782883</v>
      </c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837366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752923</v>
      </c>
    </row>
    <row r="47" spans="1:3" ht="13.5" customHeight="1">
      <c r="A47" s="656" t="s">
        <v>94</v>
      </c>
      <c r="B47" s="398" t="s">
        <v>48</v>
      </c>
      <c r="C47" s="511">
        <f>'K2'!D40</f>
        <v>442413</v>
      </c>
    </row>
    <row r="48" spans="1:3" ht="13.5" customHeight="1">
      <c r="A48" s="656" t="s">
        <v>95</v>
      </c>
      <c r="B48" s="395" t="s">
        <v>180</v>
      </c>
      <c r="C48" s="517">
        <f>'K2'!G40</f>
        <v>132895</v>
      </c>
    </row>
    <row r="49" spans="1:3" ht="13.5" customHeight="1">
      <c r="A49" s="656" t="s">
        <v>96</v>
      </c>
      <c r="B49" s="395" t="s">
        <v>137</v>
      </c>
      <c r="C49" s="517">
        <f>'K2'!J40</f>
        <v>177189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'K2'!S40</f>
        <v>426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752923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124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626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0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0</v>
      </c>
    </row>
    <row r="39" spans="1:3" s="272" customFormat="1" ht="12.75" customHeight="1">
      <c r="A39" s="662" t="s">
        <v>412</v>
      </c>
      <c r="B39" s="663" t="s">
        <v>237</v>
      </c>
      <c r="C39" s="511"/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/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7587</v>
      </c>
    </row>
    <row r="47" spans="1:3" ht="13.5" customHeight="1">
      <c r="A47" s="656" t="s">
        <v>94</v>
      </c>
      <c r="B47" s="398" t="s">
        <v>48</v>
      </c>
      <c r="C47" s="511">
        <f>'K2'!D41</f>
        <v>4473</v>
      </c>
    </row>
    <row r="48" spans="1:3" ht="13.5" customHeight="1">
      <c r="A48" s="656" t="s">
        <v>95</v>
      </c>
      <c r="B48" s="395" t="s">
        <v>180</v>
      </c>
      <c r="C48" s="517">
        <f>'K2'!G41</f>
        <v>1509</v>
      </c>
    </row>
    <row r="49" spans="1:3" ht="13.5" customHeight="1">
      <c r="A49" s="656" t="s">
        <v>96</v>
      </c>
      <c r="B49" s="395" t="s">
        <v>137</v>
      </c>
      <c r="C49" s="517">
        <f>'K2'!J41</f>
        <v>1599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'K2'!S41</f>
        <v>6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7587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61"/>
  <sheetViews>
    <sheetView zoomScale="130" zoomScaleNormal="130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21" customHeight="1" thickBot="1">
      <c r="A1" s="208"/>
      <c r="B1" s="210"/>
      <c r="C1" s="648" t="s">
        <v>628</v>
      </c>
    </row>
    <row r="2" spans="1:3" s="311" customFormat="1" ht="25.5" customHeight="1">
      <c r="A2" s="571" t="s">
        <v>201</v>
      </c>
      <c r="B2" s="572" t="s">
        <v>549</v>
      </c>
      <c r="C2" s="649" t="s">
        <v>59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2000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2000</v>
      </c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519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>
        <v>500</v>
      </c>
    </row>
    <row r="26" spans="1:3" s="314" customFormat="1" ht="12.75" customHeight="1" thickBot="1">
      <c r="A26" s="660" t="s">
        <v>20</v>
      </c>
      <c r="B26" s="397" t="s">
        <v>520</v>
      </c>
      <c r="C26" s="524">
        <f>+C27+C28+C29</f>
        <v>0</v>
      </c>
    </row>
    <row r="27" spans="1:3" s="314" customFormat="1" ht="12.75" customHeight="1">
      <c r="A27" s="662" t="s">
        <v>269</v>
      </c>
      <c r="B27" s="663" t="s">
        <v>264</v>
      </c>
      <c r="C27" s="511"/>
    </row>
    <row r="28" spans="1:3" s="314" customFormat="1" ht="12.75" customHeight="1">
      <c r="A28" s="662" t="s">
        <v>270</v>
      </c>
      <c r="B28" s="663" t="s">
        <v>404</v>
      </c>
      <c r="C28" s="657"/>
    </row>
    <row r="29" spans="1:3" s="314" customFormat="1" ht="12.75" customHeight="1">
      <c r="A29" s="662" t="s">
        <v>271</v>
      </c>
      <c r="B29" s="664" t="s">
        <v>407</v>
      </c>
      <c r="C29" s="657"/>
    </row>
    <row r="30" spans="1:3" s="314" customFormat="1" ht="12.75" customHeight="1" thickBot="1">
      <c r="A30" s="656" t="s">
        <v>272</v>
      </c>
      <c r="B30" s="665" t="s">
        <v>521</v>
      </c>
      <c r="C30" s="666"/>
    </row>
    <row r="31" spans="1:3" s="314" customFormat="1" ht="12.75" customHeight="1" thickBot="1">
      <c r="A31" s="660" t="s">
        <v>21</v>
      </c>
      <c r="B31" s="397" t="s">
        <v>408</v>
      </c>
      <c r="C31" s="524">
        <f>+C32+C33+C34</f>
        <v>0</v>
      </c>
    </row>
    <row r="32" spans="1:3" s="314" customFormat="1" ht="12.75" customHeight="1">
      <c r="A32" s="662" t="s">
        <v>87</v>
      </c>
      <c r="B32" s="663" t="s">
        <v>290</v>
      </c>
      <c r="C32" s="511"/>
    </row>
    <row r="33" spans="1:3" s="314" customFormat="1" ht="12.75" customHeight="1">
      <c r="A33" s="662" t="s">
        <v>88</v>
      </c>
      <c r="B33" s="664" t="s">
        <v>291</v>
      </c>
      <c r="C33" s="528"/>
    </row>
    <row r="34" spans="1:3" s="314" customFormat="1" ht="12.75" customHeight="1" thickBot="1">
      <c r="A34" s="656" t="s">
        <v>89</v>
      </c>
      <c r="B34" s="665" t="s">
        <v>292</v>
      </c>
      <c r="C34" s="666"/>
    </row>
    <row r="35" spans="1:3" s="272" customFormat="1" ht="12.75" customHeight="1" thickBot="1">
      <c r="A35" s="660" t="s">
        <v>22</v>
      </c>
      <c r="B35" s="397" t="s">
        <v>377</v>
      </c>
      <c r="C35" s="661"/>
    </row>
    <row r="36" spans="1:3" s="272" customFormat="1" ht="12.75" customHeight="1" thickBot="1">
      <c r="A36" s="660" t="s">
        <v>23</v>
      </c>
      <c r="B36" s="397" t="s">
        <v>409</v>
      </c>
      <c r="C36" s="667"/>
    </row>
    <row r="37" spans="1:3" s="272" customFormat="1" ht="12.75" customHeight="1" thickBot="1">
      <c r="A37" s="577" t="s">
        <v>24</v>
      </c>
      <c r="B37" s="397" t="s">
        <v>410</v>
      </c>
      <c r="C37" s="268">
        <f>+C8+C20+C25+C26+C31+C35+C36</f>
        <v>2500</v>
      </c>
    </row>
    <row r="38" spans="1:3" s="272" customFormat="1" ht="12.75" customHeight="1" thickBot="1">
      <c r="A38" s="486" t="s">
        <v>25</v>
      </c>
      <c r="B38" s="397" t="s">
        <v>411</v>
      </c>
      <c r="C38" s="268">
        <f>+C39+C40+C41</f>
        <v>0</v>
      </c>
    </row>
    <row r="39" spans="1:3" s="272" customFormat="1" ht="12.75" customHeight="1">
      <c r="A39" s="662" t="s">
        <v>412</v>
      </c>
      <c r="B39" s="663" t="s">
        <v>237</v>
      </c>
      <c r="C39" s="511"/>
    </row>
    <row r="40" spans="1:3" s="272" customFormat="1" ht="12.75" customHeight="1">
      <c r="A40" s="662" t="s">
        <v>413</v>
      </c>
      <c r="B40" s="664" t="s">
        <v>0</v>
      </c>
      <c r="C40" s="528"/>
    </row>
    <row r="41" spans="1:3" s="314" customFormat="1" ht="12.75" customHeight="1" thickBot="1">
      <c r="A41" s="656" t="s">
        <v>414</v>
      </c>
      <c r="B41" s="665" t="s">
        <v>415</v>
      </c>
      <c r="C41" s="666"/>
    </row>
    <row r="42" spans="1:3" s="314" customFormat="1" ht="15" customHeight="1" thickBot="1">
      <c r="A42" s="486" t="s">
        <v>26</v>
      </c>
      <c r="B42" s="668" t="s">
        <v>416</v>
      </c>
      <c r="C42" s="586">
        <f>+C37+C38</f>
        <v>2500</v>
      </c>
    </row>
    <row r="43" spans="1:3" s="314" customFormat="1" ht="7.5" customHeight="1">
      <c r="A43" s="582"/>
      <c r="B43" s="583"/>
      <c r="C43" s="584"/>
    </row>
    <row r="44" spans="1:3" ht="7.5" customHeight="1" thickBot="1">
      <c r="A44" s="669"/>
      <c r="B44" s="670"/>
      <c r="C44" s="671"/>
    </row>
    <row r="45" spans="1:3" s="313" customFormat="1" ht="16.5" customHeight="1" thickBot="1">
      <c r="A45" s="575"/>
      <c r="B45" s="585" t="s">
        <v>57</v>
      </c>
      <c r="C45" s="586"/>
    </row>
    <row r="46" spans="1:3" s="315" customFormat="1" ht="13.5" customHeight="1" thickBot="1">
      <c r="A46" s="660" t="s">
        <v>17</v>
      </c>
      <c r="B46" s="397" t="s">
        <v>417</v>
      </c>
      <c r="C46" s="524">
        <f>SUM(C47:C51)</f>
        <v>79356</v>
      </c>
    </row>
    <row r="47" spans="1:3" ht="13.5" customHeight="1">
      <c r="A47" s="656" t="s">
        <v>94</v>
      </c>
      <c r="B47" s="398" t="s">
        <v>48</v>
      </c>
      <c r="C47" s="511">
        <f>'K2'!D42</f>
        <v>45214</v>
      </c>
    </row>
    <row r="48" spans="1:3" ht="13.5" customHeight="1">
      <c r="A48" s="656" t="s">
        <v>95</v>
      </c>
      <c r="B48" s="395" t="s">
        <v>180</v>
      </c>
      <c r="C48" s="517">
        <f>'K2'!G42</f>
        <v>13888</v>
      </c>
    </row>
    <row r="49" spans="1:3" ht="13.5" customHeight="1">
      <c r="A49" s="656" t="s">
        <v>96</v>
      </c>
      <c r="B49" s="395" t="s">
        <v>137</v>
      </c>
      <c r="C49" s="517">
        <f>'K2'!J42</f>
        <v>20186</v>
      </c>
    </row>
    <row r="50" spans="1:3" ht="13.5" customHeight="1">
      <c r="A50" s="656" t="s">
        <v>97</v>
      </c>
      <c r="B50" s="395" t="s">
        <v>181</v>
      </c>
      <c r="C50" s="517"/>
    </row>
    <row r="51" spans="1:3" ht="13.5" customHeight="1" thickBot="1">
      <c r="A51" s="656" t="s">
        <v>145</v>
      </c>
      <c r="B51" s="395" t="s">
        <v>182</v>
      </c>
      <c r="C51" s="517">
        <f>'K2'!S42</f>
        <v>68</v>
      </c>
    </row>
    <row r="52" spans="1:3" ht="13.5" customHeight="1" thickBot="1">
      <c r="A52" s="660" t="s">
        <v>18</v>
      </c>
      <c r="B52" s="397" t="s">
        <v>418</v>
      </c>
      <c r="C52" s="524">
        <f>SUM(C53:C55)</f>
        <v>0</v>
      </c>
    </row>
    <row r="53" spans="1:3" s="315" customFormat="1" ht="13.5" customHeight="1">
      <c r="A53" s="656" t="s">
        <v>100</v>
      </c>
      <c r="B53" s="398" t="s">
        <v>228</v>
      </c>
      <c r="C53" s="511"/>
    </row>
    <row r="54" spans="1:3" ht="13.5" customHeight="1">
      <c r="A54" s="656" t="s">
        <v>101</v>
      </c>
      <c r="B54" s="395" t="s">
        <v>184</v>
      </c>
      <c r="C54" s="517"/>
    </row>
    <row r="55" spans="1:3" ht="13.5" customHeight="1">
      <c r="A55" s="656" t="s">
        <v>102</v>
      </c>
      <c r="B55" s="395" t="s">
        <v>58</v>
      </c>
      <c r="C55" s="517"/>
    </row>
    <row r="56" spans="1:3" ht="13.5" customHeight="1" thickBot="1">
      <c r="A56" s="656" t="s">
        <v>103</v>
      </c>
      <c r="B56" s="395" t="s">
        <v>522</v>
      </c>
      <c r="C56" s="517"/>
    </row>
    <row r="57" spans="1:3" ht="15" customHeight="1" thickBot="1">
      <c r="A57" s="660" t="s">
        <v>19</v>
      </c>
      <c r="B57" s="397" t="s">
        <v>11</v>
      </c>
      <c r="C57" s="661"/>
    </row>
    <row r="58" spans="1:3" ht="13.5" thickBot="1">
      <c r="A58" s="660" t="s">
        <v>20</v>
      </c>
      <c r="B58" s="672" t="s">
        <v>526</v>
      </c>
      <c r="C58" s="673">
        <f>+C46+C52+C57</f>
        <v>79356</v>
      </c>
    </row>
    <row r="59" spans="1:3" ht="15" customHeight="1" thickBot="1">
      <c r="A59" s="587"/>
      <c r="B59" s="588"/>
      <c r="C59" s="589"/>
    </row>
    <row r="60" spans="1:3" ht="14.25" customHeight="1" thickBot="1">
      <c r="A60" s="214" t="s">
        <v>517</v>
      </c>
      <c r="B60" s="215"/>
      <c r="C60" s="105">
        <v>12</v>
      </c>
    </row>
    <row r="61" spans="1:3" ht="13.5" thickBot="1">
      <c r="A61" s="214" t="s">
        <v>203</v>
      </c>
      <c r="B61" s="215"/>
      <c r="C61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629</v>
      </c>
    </row>
    <row r="2" spans="1:3" s="311" customFormat="1" ht="25.5" customHeight="1">
      <c r="A2" s="571" t="s">
        <v>201</v>
      </c>
      <c r="B2" s="572" t="s">
        <v>551</v>
      </c>
      <c r="C2" s="649" t="s">
        <v>60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62418</v>
      </c>
      <c r="E8" s="272">
        <f>'11.1'!C8+'11.2'!C8+'11.3'!C8</f>
        <v>62418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'11.1'!C9+'11.2'!C9+'11.3'!C9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/>
      <c r="E10" s="272">
        <f>'11.1'!C10+'11.2'!C10+'11.3'!C10</f>
        <v>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'11.1'!C11+'11.2'!C11+'11.3'!C11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'11.1'!C12+'11.2'!C12+'11.3'!C12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1363">
        <v>49148</v>
      </c>
      <c r="E13" s="272">
        <f>'11.1'!C13+'11.2'!C13+'11.3'!C13</f>
        <v>49148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1363">
        <v>13270</v>
      </c>
      <c r="E14" s="272">
        <f>'11.1'!C14+'11.2'!C14+'11.3'!C14</f>
        <v>13270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/>
      <c r="E15" s="272">
        <f>'11.1'!C15+'11.2'!C15+'11.3'!C15</f>
        <v>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/>
      <c r="E16" s="272">
        <f>'11.1'!C16+'11.2'!C16+'11.3'!C16</f>
        <v>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'11.1'!C17+'11.2'!C17+'11.3'!C17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'11.1'!C18+'11.2'!C18+'11.3'!C18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/>
      <c r="E19" s="272">
        <f>'11.1'!C19+'11.2'!C19+'11.3'!C19</f>
        <v>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0</v>
      </c>
      <c r="E20" s="272">
        <f>'11.1'!C20+'11.2'!C20+'11.3'!C20</f>
        <v>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'11.1'!C21+'11.2'!C21+'11.3'!C21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'11.1'!C22+'11.2'!C22+'11.3'!C22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/>
      <c r="E23" s="272">
        <f>'11.1'!C23+'11.2'!C23+'11.3'!C23</f>
        <v>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'11.1'!C24+'11.2'!C24+'11.3'!C24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'11.1'!C25+'11.2'!C25+'11.3'!C25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'11.1'!C26+'11.2'!C26+'11.3'!C26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'11.1'!C27+'11.2'!C27+'11.3'!C27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'11.1'!C28+'11.2'!C28+'11.3'!C28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'11.1'!C29+'11.2'!C29+'11.3'!C29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'11.1'!C30+'11.2'!C30+'11.3'!C30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'11.1'!C31+'11.2'!C31+'11.3'!C31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'11.1'!C32+'11.2'!C32+'11.3'!C32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'11.1'!C33+'11.2'!C33+'11.3'!C33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'11.1'!C34+'11.2'!C34+'11.3'!C34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'11.1'!C35+'11.2'!C35+'11.3'!C35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62418</v>
      </c>
      <c r="E36" s="272">
        <f>'11.1'!C36+'11.2'!C36+'11.3'!C36</f>
        <v>62418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853373</v>
      </c>
      <c r="E37" s="272">
        <f>'11.1'!C37+'11.2'!C37+'11.3'!C37</f>
        <v>853373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3161</v>
      </c>
      <c r="E38" s="272">
        <f>'11.1'!C38+'11.2'!C38+'11.3'!C38</f>
        <v>3161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'11.1'!C39+'11.2'!C39+'11.3'!C39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839155-3161+9779+4439</f>
        <v>850212</v>
      </c>
      <c r="E40" s="272">
        <f>'11.1'!C40+'11.2'!C40+'11.3'!C40</f>
        <v>850212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915791</v>
      </c>
      <c r="E41" s="272">
        <f>'11.1'!C41+'11.2'!C41+'11.3'!C41</f>
        <v>915791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'11.1'!C44+'11.2'!C44+'11.3'!C44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915791</v>
      </c>
      <c r="E45" s="272">
        <f>'11.1'!C45+'11.2'!C45+'11.3'!C45</f>
        <v>915791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487936+7700+3495</f>
        <v>499131</v>
      </c>
      <c r="E46" s="272">
        <f>'11.1'!C46+'11.2'!C46+'11.3'!C46</f>
        <v>499131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150963+2079+944</f>
        <v>153986</v>
      </c>
      <c r="E47" s="272">
        <f>'11.1'!C47+'11.2'!C47+'11.3'!C47</f>
        <v>153986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v>262674</v>
      </c>
      <c r="E48" s="272">
        <f>'11.1'!C48+'11.2'!C48+'11.3'!C48</f>
        <v>262674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'11.1'!C49+'11.2'!C49+'11.3'!C49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/>
      <c r="E50" s="272">
        <f>'11.1'!C50+'11.2'!C50+'11.3'!C50</f>
        <v>0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'11.1'!C51+'11.2'!C51+'11.3'!C51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'11.1'!C52+'11.2'!C52+'11.3'!C52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'11.1'!C53+'11.2'!C53+'11.3'!C53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'11.1'!C54+'11.2'!C54+'11.3'!C54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'11.1'!C55+'11.2'!C55+'11.3'!C55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'11.1'!C56+'11.2'!C56+'11.3'!C56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915791</v>
      </c>
      <c r="E57" s="272">
        <f>'11.1'!C57+'11.2'!C57+'11.3'!C57</f>
        <v>915791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192</v>
      </c>
      <c r="E59" s="272">
        <f>'11.1'!C59+'11.2'!C59+'11.3'!C59</f>
        <v>192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'11.1'!C60+'11.2'!C60+'11.3'!C60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3"/>
  <sheetViews>
    <sheetView tabSelected="1" zoomScalePageLayoutView="0" workbookViewId="0" topLeftCell="A1">
      <selection activeCell="A1" sqref="A1"/>
    </sheetView>
  </sheetViews>
  <sheetFormatPr defaultColWidth="9.375" defaultRowHeight="12.75"/>
  <cols>
    <col min="1" max="1" width="11.00390625" style="348" customWidth="1"/>
    <col min="2" max="2" width="9.375" style="348" customWidth="1"/>
    <col min="3" max="3" width="43.00390625" style="348" customWidth="1"/>
    <col min="4" max="4" width="16.875" style="348" customWidth="1"/>
    <col min="5" max="5" width="13.375" style="348" customWidth="1"/>
    <col min="6" max="6" width="9.375" style="348" customWidth="1"/>
    <col min="7" max="16384" width="9.375" style="348" customWidth="1"/>
  </cols>
  <sheetData>
    <row r="1" ht="15">
      <c r="E1" s="349" t="s">
        <v>556</v>
      </c>
    </row>
    <row r="2" ht="50.25" customHeight="1"/>
    <row r="3" spans="1:5" ht="15.75">
      <c r="A3" s="1425" t="s">
        <v>557</v>
      </c>
      <c r="B3" s="1426"/>
      <c r="C3" s="1426"/>
      <c r="D3" s="1426"/>
      <c r="E3" s="1426"/>
    </row>
    <row r="4" ht="66" customHeight="1" thickBot="1">
      <c r="D4" s="352" t="s">
        <v>558</v>
      </c>
    </row>
    <row r="5" spans="2:4" ht="13.5" thickBot="1">
      <c r="B5" s="353" t="s">
        <v>559</v>
      </c>
      <c r="C5" s="354"/>
      <c r="D5" s="355" t="s">
        <v>560</v>
      </c>
    </row>
    <row r="6" spans="2:4" ht="12.75">
      <c r="B6" s="1417" t="s">
        <v>864</v>
      </c>
      <c r="C6" s="1419"/>
      <c r="D6" s="356">
        <f>4!C73</f>
        <v>464671</v>
      </c>
    </row>
    <row r="7" spans="2:4" ht="12.75">
      <c r="B7" s="1408"/>
      <c r="C7" s="1410"/>
      <c r="D7" s="357"/>
    </row>
    <row r="8" spans="2:4" ht="13.5" thickBot="1">
      <c r="B8" s="1423" t="s">
        <v>50</v>
      </c>
      <c r="C8" s="1424"/>
      <c r="D8" s="358">
        <f>SUM(D6:D7)</f>
        <v>464671</v>
      </c>
    </row>
    <row r="9" spans="2:4" ht="13.5" thickBot="1">
      <c r="B9" s="351"/>
      <c r="C9" s="351"/>
      <c r="D9" s="351"/>
    </row>
    <row r="10" spans="2:4" ht="13.5" thickBot="1">
      <c r="B10" s="353" t="s">
        <v>561</v>
      </c>
      <c r="C10" s="354"/>
      <c r="D10" s="359" t="s">
        <v>560</v>
      </c>
    </row>
    <row r="11" spans="2:4" ht="12.75">
      <c r="B11" s="1427"/>
      <c r="C11" s="1428"/>
      <c r="D11" s="356"/>
    </row>
    <row r="12" spans="2:4" ht="12.75">
      <c r="B12" s="1408"/>
      <c r="C12" s="1410"/>
      <c r="D12" s="360"/>
    </row>
    <row r="13" spans="2:4" ht="13.5" thickBot="1">
      <c r="B13" s="1423" t="s">
        <v>50</v>
      </c>
      <c r="C13" s="1424"/>
      <c r="D13" s="358">
        <f>SUM(D11:D12)</f>
        <v>0</v>
      </c>
    </row>
  </sheetData>
  <sheetProtection/>
  <mergeCells count="7">
    <mergeCell ref="B13:C13"/>
    <mergeCell ref="A3:E3"/>
    <mergeCell ref="B6:C6"/>
    <mergeCell ref="B7:C7"/>
    <mergeCell ref="B8:C8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B66" sqref="B66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630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62418</v>
      </c>
    </row>
    <row r="9" spans="1:3" s="272" customFormat="1" ht="12.75" customHeight="1">
      <c r="A9" s="654" t="s">
        <v>94</v>
      </c>
      <c r="B9" s="394" t="s">
        <v>276</v>
      </c>
      <c r="C9" s="655">
        <f>'11'!C9</f>
        <v>0</v>
      </c>
    </row>
    <row r="10" spans="1:3" s="272" customFormat="1" ht="12.75" customHeight="1">
      <c r="A10" s="656" t="s">
        <v>95</v>
      </c>
      <c r="B10" s="395" t="s">
        <v>277</v>
      </c>
      <c r="C10" s="657">
        <f>'11'!C10</f>
        <v>0</v>
      </c>
    </row>
    <row r="11" spans="1:3" s="272" customFormat="1" ht="12.75" customHeight="1">
      <c r="A11" s="656" t="s">
        <v>96</v>
      </c>
      <c r="B11" s="395" t="s">
        <v>278</v>
      </c>
      <c r="C11" s="657">
        <f>'11'!C11</f>
        <v>0</v>
      </c>
    </row>
    <row r="12" spans="1:3" s="272" customFormat="1" ht="12.75" customHeight="1">
      <c r="A12" s="656" t="s">
        <v>97</v>
      </c>
      <c r="B12" s="395" t="s">
        <v>279</v>
      </c>
      <c r="C12" s="657">
        <f>'11'!C12</f>
        <v>0</v>
      </c>
    </row>
    <row r="13" spans="1:3" s="272" customFormat="1" ht="12.75" customHeight="1">
      <c r="A13" s="656" t="s">
        <v>145</v>
      </c>
      <c r="B13" s="395" t="s">
        <v>280</v>
      </c>
      <c r="C13" s="657">
        <f>'11'!C13</f>
        <v>49148</v>
      </c>
    </row>
    <row r="14" spans="1:3" s="272" customFormat="1" ht="12.75" customHeight="1">
      <c r="A14" s="656" t="s">
        <v>98</v>
      </c>
      <c r="B14" s="395" t="s">
        <v>401</v>
      </c>
      <c r="C14" s="657">
        <f>'11'!C14</f>
        <v>13270</v>
      </c>
    </row>
    <row r="15" spans="1:3" s="272" customFormat="1" ht="12.75" customHeight="1">
      <c r="A15" s="656" t="s">
        <v>99</v>
      </c>
      <c r="B15" s="399" t="s">
        <v>402</v>
      </c>
      <c r="C15" s="657">
        <f>'11'!C15</f>
        <v>0</v>
      </c>
    </row>
    <row r="16" spans="1:3" s="272" customFormat="1" ht="12.75" customHeight="1">
      <c r="A16" s="656" t="s">
        <v>109</v>
      </c>
      <c r="B16" s="395" t="s">
        <v>283</v>
      </c>
      <c r="C16" s="657">
        <f>'11'!C16</f>
        <v>0</v>
      </c>
    </row>
    <row r="17" spans="1:3" s="314" customFormat="1" ht="12.75" customHeight="1">
      <c r="A17" s="656" t="s">
        <v>110</v>
      </c>
      <c r="B17" s="395" t="s">
        <v>284</v>
      </c>
      <c r="C17" s="657">
        <f>'11'!C17</f>
        <v>0</v>
      </c>
    </row>
    <row r="18" spans="1:3" s="314" customFormat="1" ht="12.75" customHeight="1">
      <c r="A18" s="656" t="s">
        <v>111</v>
      </c>
      <c r="B18" s="395" t="s">
        <v>437</v>
      </c>
      <c r="C18" s="657">
        <f>'11'!C18</f>
        <v>0</v>
      </c>
    </row>
    <row r="19" spans="1:3" s="314" customFormat="1" ht="12.75" customHeight="1" thickBot="1">
      <c r="A19" s="656" t="s">
        <v>112</v>
      </c>
      <c r="B19" s="399" t="s">
        <v>285</v>
      </c>
      <c r="C19" s="657">
        <f>'11'!C19</f>
        <v>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62418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853373</v>
      </c>
    </row>
    <row r="38" spans="1:3" s="272" customFormat="1" ht="12.75" customHeight="1">
      <c r="A38" s="662" t="s">
        <v>412</v>
      </c>
      <c r="B38" s="663" t="s">
        <v>237</v>
      </c>
      <c r="C38" s="511">
        <f>'11'!C38</f>
        <v>3161</v>
      </c>
    </row>
    <row r="39" spans="1:3" s="272" customFormat="1" ht="12.75" customHeight="1">
      <c r="A39" s="662" t="s">
        <v>413</v>
      </c>
      <c r="B39" s="664" t="s">
        <v>0</v>
      </c>
      <c r="C39" s="511">
        <f>'11'!C39</f>
        <v>0</v>
      </c>
    </row>
    <row r="40" spans="1:3" s="314" customFormat="1" ht="12.75" customHeight="1" thickBot="1">
      <c r="A40" s="656" t="s">
        <v>414</v>
      </c>
      <c r="B40" s="665" t="s">
        <v>415</v>
      </c>
      <c r="C40" s="511">
        <f>'11'!C40</f>
        <v>850212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915791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915791</v>
      </c>
    </row>
    <row r="46" spans="1:3" ht="12.75" customHeight="1">
      <c r="A46" s="656" t="s">
        <v>94</v>
      </c>
      <c r="B46" s="398" t="s">
        <v>48</v>
      </c>
      <c r="C46" s="511">
        <f>'11'!C46</f>
        <v>499131</v>
      </c>
    </row>
    <row r="47" spans="1:3" ht="12.75" customHeight="1">
      <c r="A47" s="656" t="s">
        <v>95</v>
      </c>
      <c r="B47" s="395" t="s">
        <v>180</v>
      </c>
      <c r="C47" s="517">
        <f>'11'!C47</f>
        <v>153986</v>
      </c>
    </row>
    <row r="48" spans="1:3" ht="12.75" customHeight="1">
      <c r="A48" s="656" t="s">
        <v>96</v>
      </c>
      <c r="B48" s="395" t="s">
        <v>137</v>
      </c>
      <c r="C48" s="517">
        <f>'11'!C48</f>
        <v>262674</v>
      </c>
    </row>
    <row r="49" spans="1:3" ht="12.75" customHeight="1">
      <c r="A49" s="656" t="s">
        <v>97</v>
      </c>
      <c r="B49" s="395" t="s">
        <v>181</v>
      </c>
      <c r="C49" s="517">
        <f>'11'!C49</f>
        <v>0</v>
      </c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915791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192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31">
      <selection activeCell="B3" sqref="B3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631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B3" sqref="B3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632</v>
      </c>
    </row>
    <row r="2" spans="1:3" s="311" customFormat="1" ht="25.5" customHeight="1">
      <c r="A2" s="571" t="s">
        <v>201</v>
      </c>
      <c r="B2" s="572" t="str">
        <f>'11'!B2</f>
        <v>Siófok Város Óvodája és Bölcsődéje</v>
      </c>
      <c r="C2" s="649" t="s">
        <v>60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4" sqref="A4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633</v>
      </c>
    </row>
    <row r="2" spans="1:3" s="311" customFormat="1" ht="25.5" customHeight="1">
      <c r="A2" s="571" t="s">
        <v>201</v>
      </c>
      <c r="B2" s="572" t="s">
        <v>552</v>
      </c>
      <c r="C2" s="649" t="s">
        <v>431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74500</v>
      </c>
      <c r="E8" s="272">
        <f>'12.1'!C8+'12.2'!C8+'12.3'!C8</f>
        <v>74500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'12.1'!C9+'12.2'!C9+'12.3'!C9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f>33754+13386</f>
        <v>47140</v>
      </c>
      <c r="E10" s="272">
        <f>'12.1'!C10+'12.2'!C10+'12.3'!C10</f>
        <v>47140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>
        <f>400+0</f>
        <v>400</v>
      </c>
      <c r="E11" s="272">
        <f>'12.1'!C11+'12.2'!C11+'12.3'!C11</f>
        <v>400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'12.1'!C12+'12.2'!C12+'12.3'!C12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/>
      <c r="E13" s="272">
        <f>'12.1'!C13+'12.2'!C13+'12.3'!C13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14000+3614</f>
        <v>17614</v>
      </c>
      <c r="E14" s="272">
        <f>'12.1'!C14+'12.2'!C14+'12.3'!C14</f>
        <v>17614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f>9300+0</f>
        <v>9300</v>
      </c>
      <c r="E15" s="272">
        <f>'12.1'!C15+'12.2'!C15+'12.3'!C15</f>
        <v>9300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10+0</f>
        <v>10</v>
      </c>
      <c r="E16" s="272">
        <f>'12.1'!C16+'12.2'!C16+'12.3'!C16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'12.1'!C17+'12.2'!C17+'12.3'!C17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'12.1'!C18+'12.2'!C18+'12.3'!C18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36+0</f>
        <v>36</v>
      </c>
      <c r="E19" s="272">
        <f>'12.1'!C19+'12.2'!C19+'12.3'!C19</f>
        <v>36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0</v>
      </c>
      <c r="E20" s="272">
        <f>'12.1'!C20+'12.2'!C20+'12.3'!C20</f>
        <v>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'12.1'!C21+'12.2'!C21+'12.3'!C21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'12.1'!C22+'12.2'!C22+'12.3'!C22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/>
      <c r="E23" s="272">
        <f>'12.1'!C23+'12.2'!C23+'12.3'!C23</f>
        <v>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'12.1'!C24+'12.2'!C24+'12.3'!C24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'12.1'!C25+'12.2'!C25+'12.3'!C25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'12.1'!C26+'12.2'!C26+'12.3'!C26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'12.1'!C27+'12.2'!C27+'12.3'!C27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'12.1'!C28+'12.2'!C28+'12.3'!C28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'12.1'!C29+'12.2'!C29+'12.3'!C29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'12.1'!C30+'12.2'!C30+'12.3'!C30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'12.1'!C31+'12.2'!C31+'12.3'!C31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'12.1'!C32+'12.2'!C32+'12.3'!C32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'12.1'!C33+'12.2'!C33+'12.3'!C33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'12.1'!C34+'12.2'!C34+'12.3'!C34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'12.1'!C35+'12.2'!C35+'12.3'!C35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74500</v>
      </c>
      <c r="E36" s="272">
        <f>'12.1'!C36+'12.2'!C36+'12.3'!C36</f>
        <v>74500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143561</v>
      </c>
      <c r="E37" s="272">
        <f>'12.1'!C37+'12.2'!C37+'12.3'!C37</f>
        <v>143561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3973</v>
      </c>
      <c r="E38" s="272">
        <f>'12.1'!C38+'12.2'!C38+'12.3'!C38</f>
        <v>3973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'12.1'!C39+'12.2'!C39+'12.3'!C39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109373+33500-3973+688</f>
        <v>139588</v>
      </c>
      <c r="E40" s="272">
        <f>'12.1'!C40+'12.2'!C40+'12.3'!C40</f>
        <v>139588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218061</v>
      </c>
      <c r="E41" s="272">
        <f>'12.1'!C41+'12.2'!C41+'12.3'!C41</f>
        <v>218061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'12.1'!C44+'12.2'!C44+'12.3'!C44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218061</v>
      </c>
      <c r="E45" s="272">
        <f>'12.1'!C45+'12.2'!C45+'12.3'!C45</f>
        <v>218061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40384+0+542</f>
        <v>40926</v>
      </c>
      <c r="E46" s="272">
        <f>'12.1'!C46+'12.2'!C46+'12.3'!C46</f>
        <v>40926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11461+0+146</f>
        <v>11607</v>
      </c>
      <c r="E47" s="272">
        <f>'12.1'!C47+'12.2'!C47+'12.3'!C47</f>
        <v>11607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115028+50500-678</f>
        <v>164850</v>
      </c>
      <c r="E48" s="272">
        <f>'12.1'!C48+'12.2'!C48+'12.3'!C48</f>
        <v>164850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'12.1'!C49+'12.2'!C49+'12.3'!C49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>
        <f>678</f>
        <v>678</v>
      </c>
      <c r="E50" s="272">
        <f>'12.1'!C50+'12.2'!C50+'12.3'!C50</f>
        <v>678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'12.1'!C51+'12.2'!C51+'12.3'!C51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'12.1'!C52+'12.2'!C52+'12.3'!C52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'12.1'!C53+'12.2'!C53+'12.3'!C53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'12.1'!C54+'12.2'!C54+'12.3'!C54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'12.1'!C55+'12.2'!C55+'12.3'!C55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'12.1'!C56+'12.2'!C56+'12.3'!C56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218061</v>
      </c>
      <c r="E57" s="272">
        <f>'12.1'!C57+'12.2'!C57+'12.3'!C57</f>
        <v>218061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228">
        <v>20.5</v>
      </c>
      <c r="E59" s="272">
        <f>'12.1'!C59+'12.2'!C59+'12.3'!C59</f>
        <v>20.5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'12.1'!C60+'12.2'!C60+'12.3'!C60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634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57500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33754</v>
      </c>
    </row>
    <row r="11" spans="1:3" s="272" customFormat="1" ht="12.75" customHeight="1">
      <c r="A11" s="656" t="s">
        <v>96</v>
      </c>
      <c r="B11" s="395" t="s">
        <v>278</v>
      </c>
      <c r="C11" s="657">
        <v>400</v>
      </c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v>14000</v>
      </c>
    </row>
    <row r="15" spans="1:3" s="272" customFormat="1" ht="12.75" customHeight="1">
      <c r="A15" s="656" t="s">
        <v>99</v>
      </c>
      <c r="B15" s="399" t="s">
        <v>402</v>
      </c>
      <c r="C15" s="657">
        <v>9300</v>
      </c>
    </row>
    <row r="16" spans="1:3" s="272" customFormat="1" ht="12.75" customHeight="1">
      <c r="A16" s="656" t="s">
        <v>109</v>
      </c>
      <c r="B16" s="395" t="s">
        <v>283</v>
      </c>
      <c r="C16" s="658">
        <v>10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>
        <v>36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57500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110739</v>
      </c>
    </row>
    <row r="38" spans="1:3" s="272" customFormat="1" ht="12.75" customHeight="1">
      <c r="A38" s="662" t="s">
        <v>412</v>
      </c>
      <c r="B38" s="663" t="s">
        <v>237</v>
      </c>
      <c r="C38" s="511">
        <v>3973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109373-3973+1366</f>
        <v>106766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168239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168239</v>
      </c>
    </row>
    <row r="46" spans="1:3" ht="12.75" customHeight="1">
      <c r="A46" s="656" t="s">
        <v>94</v>
      </c>
      <c r="B46" s="398" t="s">
        <v>48</v>
      </c>
      <c r="C46" s="511">
        <f>40384+542</f>
        <v>40926</v>
      </c>
    </row>
    <row r="47" spans="1:3" ht="12.75" customHeight="1">
      <c r="A47" s="656" t="s">
        <v>95</v>
      </c>
      <c r="B47" s="395" t="s">
        <v>180</v>
      </c>
      <c r="C47" s="517">
        <f>11461+146</f>
        <v>11607</v>
      </c>
    </row>
    <row r="48" spans="1:3" ht="12.75" customHeight="1">
      <c r="A48" s="656" t="s">
        <v>96</v>
      </c>
      <c r="B48" s="395" t="s">
        <v>137</v>
      </c>
      <c r="C48" s="517">
        <v>115028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>
        <v>678</v>
      </c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168239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228">
        <v>20.5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635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17000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v>13386</v>
      </c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>
        <v>3614</v>
      </c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17000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32822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33500-678</f>
        <v>32822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49822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49822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>
        <f>50500-678</f>
        <v>49822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49822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636</v>
      </c>
    </row>
    <row r="2" spans="1:3" s="311" customFormat="1" ht="25.5" customHeight="1">
      <c r="A2" s="571" t="s">
        <v>201</v>
      </c>
      <c r="B2" s="572" t="str">
        <f>'12'!B2</f>
        <v>Kálmán Imre Kulturális Központ</v>
      </c>
      <c r="C2" s="649" t="s">
        <v>431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637</v>
      </c>
    </row>
    <row r="2" spans="1:3" s="311" customFormat="1" ht="25.5" customHeight="1">
      <c r="A2" s="571" t="s">
        <v>201</v>
      </c>
      <c r="B2" s="572" t="s">
        <v>554</v>
      </c>
      <c r="C2" s="649" t="s">
        <v>638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116356</v>
      </c>
      <c r="E8" s="272">
        <f>'13.1'!C8+'13.2'!C8+'13.3'!C8</f>
        <v>116356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'13.1'!C9+'13.2'!C9+'13.3'!C9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/>
      <c r="E10" s="272">
        <f>'13.1'!C10+'13.2'!C10+'13.3'!C10</f>
        <v>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'13.1'!C11+'13.2'!C11+'13.3'!C11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'13.1'!C12+'13.2'!C12+'13.3'!C12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>
        <f>10113+100083</f>
        <v>110196</v>
      </c>
      <c r="E13" s="272">
        <f>'13.1'!C13+'13.2'!C13+'13.3'!C13</f>
        <v>110196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f>2190+460</f>
        <v>2650</v>
      </c>
      <c r="E14" s="272">
        <f>'13.1'!C14+'13.2'!C14+'13.3'!C14</f>
        <v>2650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>
        <f>2500+460</f>
        <v>2960</v>
      </c>
      <c r="E15" s="272">
        <f>'13.1'!C15+'13.2'!C15+'13.3'!C15</f>
        <v>2960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f>0+50</f>
        <v>50</v>
      </c>
      <c r="E16" s="272">
        <f>'13.1'!C16+'13.2'!C16+'13.3'!C16</f>
        <v>50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'13.1'!C17+'13.2'!C17+'13.3'!C17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'13.1'!C18+'13.2'!C18+'13.3'!C18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f>0+500</f>
        <v>500</v>
      </c>
      <c r="E19" s="272">
        <f>'13.1'!C19+'13.2'!C19+'13.3'!C19</f>
        <v>500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110698</v>
      </c>
      <c r="E20" s="272">
        <f>'13.1'!C20+'13.2'!C20+'13.3'!C20</f>
        <v>110698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'13.1'!C21+'13.2'!C21+'13.3'!C21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'13.1'!C22+'13.2'!C22+'13.3'!C22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f>110698+0</f>
        <v>110698</v>
      </c>
      <c r="E23" s="272">
        <f>'13.1'!C23+'13.2'!C23+'13.3'!C23</f>
        <v>110698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'13.1'!C24+'13.2'!C24+'13.3'!C24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'13.1'!C25+'13.2'!C25+'13.3'!C25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'13.1'!C26+'13.2'!C26+'13.3'!C26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'13.1'!C27+'13.2'!C27+'13.3'!C27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'13.1'!C28+'13.2'!C28+'13.3'!C28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'13.1'!C29+'13.2'!C29+'13.3'!C29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'13.1'!C30+'13.2'!C30+'13.3'!C30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'13.1'!C31+'13.2'!C31+'13.3'!C31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'13.1'!C32+'13.2'!C32+'13.3'!C32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'13.1'!C33+'13.2'!C33+'13.3'!C33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'13.1'!C34+'13.2'!C34+'13.3'!C34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'13.1'!C35+'13.2'!C35+'13.3'!C35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227054</v>
      </c>
      <c r="E36" s="272">
        <f>'13.1'!C36+'13.2'!C36+'13.3'!C36</f>
        <v>227054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319571</v>
      </c>
      <c r="E37" s="272">
        <f>'13.1'!C37+'13.2'!C37+'13.3'!C37</f>
        <v>319571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1179</v>
      </c>
      <c r="E38" s="272">
        <f>'13.1'!C38+'13.2'!C38+'13.3'!C38</f>
        <v>1179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'13.1'!C39+'13.2'!C39+'13.3'!C39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182389+128857-1179+8325</f>
        <v>318392</v>
      </c>
      <c r="E40" s="272">
        <f>'13.1'!C40+'13.2'!C40+'13.3'!C40</f>
        <v>318392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546625</v>
      </c>
      <c r="E41" s="272">
        <f>'13.1'!C41+'13.2'!C41+'13.3'!C41</f>
        <v>546625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'13.1'!C44+'13.2'!C44+'13.3'!C44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546625</v>
      </c>
      <c r="E45" s="272">
        <f>'13.1'!C45+'13.2'!C45+'13.3'!C45</f>
        <v>546625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101271+106410+2769</f>
        <v>210450</v>
      </c>
      <c r="E46" s="272">
        <f>'13.1'!C46+'13.2'!C46+'13.3'!C46</f>
        <v>210450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30166+32066+748</f>
        <v>62980</v>
      </c>
      <c r="E47" s="272">
        <f>'13.1'!C47+'13.2'!C47+'13.3'!C47</f>
        <v>62980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110326+91934</f>
        <v>202260</v>
      </c>
      <c r="E48" s="272">
        <f>'13.1'!C48+'13.2'!C48+'13.3'!C48</f>
        <v>202260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'13.1'!C49+'13.2'!C49+'13.3'!C49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>
        <f>66127+0+4808</f>
        <v>70935</v>
      </c>
      <c r="E50" s="272">
        <f>'13.1'!C50+'13.2'!C50+'13.3'!C50</f>
        <v>70935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0</v>
      </c>
      <c r="E51" s="272">
        <f>'13.1'!C51+'13.2'!C51+'13.3'!C51</f>
        <v>0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/>
      <c r="E52" s="272">
        <f>'13.1'!C52+'13.2'!C52+'13.3'!C52</f>
        <v>0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'13.1'!C53+'13.2'!C53+'13.3'!C53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'13.1'!C54+'13.2'!C54+'13.3'!C54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'13.1'!C55+'13.2'!C55+'13.3'!C55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'13.1'!C56+'13.2'!C56+'13.3'!C56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546625</v>
      </c>
      <c r="E57" s="272">
        <f>'13.1'!C57+'13.2'!C57+'13.3'!C57</f>
        <v>546625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79</v>
      </c>
      <c r="E59" s="272">
        <f>'13.1'!C59+'13.2'!C59+'13.3'!C59</f>
        <v>79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'13.1'!C60+'13.2'!C60+'13.3'!C60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639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638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14803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>
        <v>10113</v>
      </c>
    </row>
    <row r="14" spans="1:3" s="272" customFormat="1" ht="12.75" customHeight="1">
      <c r="A14" s="656" t="s">
        <v>98</v>
      </c>
      <c r="B14" s="395" t="s">
        <v>401</v>
      </c>
      <c r="C14" s="657">
        <v>2190</v>
      </c>
    </row>
    <row r="15" spans="1:3" s="272" customFormat="1" ht="12.75" customHeight="1">
      <c r="A15" s="656" t="s">
        <v>99</v>
      </c>
      <c r="B15" s="399" t="s">
        <v>402</v>
      </c>
      <c r="C15" s="657">
        <v>2500</v>
      </c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110698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v>110698</v>
      </c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125501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189550</v>
      </c>
    </row>
    <row r="38" spans="1:3" s="272" customFormat="1" ht="12.75" customHeight="1">
      <c r="A38" s="662" t="s">
        <v>412</v>
      </c>
      <c r="B38" s="663" t="s">
        <v>237</v>
      </c>
      <c r="C38" s="511">
        <v>1179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182389-1179+7161</f>
        <v>188371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315051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315051</v>
      </c>
    </row>
    <row r="46" spans="1:3" ht="12.75" customHeight="1">
      <c r="A46" s="656" t="s">
        <v>94</v>
      </c>
      <c r="B46" s="398" t="s">
        <v>48</v>
      </c>
      <c r="C46" s="511">
        <f>101271+1853</f>
        <v>103124</v>
      </c>
    </row>
    <row r="47" spans="1:3" ht="12.75" customHeight="1">
      <c r="A47" s="656" t="s">
        <v>95</v>
      </c>
      <c r="B47" s="395" t="s">
        <v>180</v>
      </c>
      <c r="C47" s="517">
        <f>30166+500</f>
        <v>30666</v>
      </c>
    </row>
    <row r="48" spans="1:3" ht="12.75" customHeight="1">
      <c r="A48" s="656" t="s">
        <v>96</v>
      </c>
      <c r="B48" s="395" t="s">
        <v>137</v>
      </c>
      <c r="C48" s="517">
        <v>110326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>
        <f>66127+4808</f>
        <v>70935</v>
      </c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315051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54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7">
      <selection activeCell="A7" sqref="A7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640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638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101553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>
        <v>100083</v>
      </c>
    </row>
    <row r="14" spans="1:3" s="272" customFormat="1" ht="12.75" customHeight="1">
      <c r="A14" s="656" t="s">
        <v>98</v>
      </c>
      <c r="B14" s="395" t="s">
        <v>401</v>
      </c>
      <c r="C14" s="657">
        <v>460</v>
      </c>
    </row>
    <row r="15" spans="1:3" s="272" customFormat="1" ht="12.75" customHeight="1">
      <c r="A15" s="656" t="s">
        <v>99</v>
      </c>
      <c r="B15" s="399" t="s">
        <v>402</v>
      </c>
      <c r="C15" s="657">
        <v>460</v>
      </c>
    </row>
    <row r="16" spans="1:3" s="272" customFormat="1" ht="12.75" customHeight="1">
      <c r="A16" s="656" t="s">
        <v>109</v>
      </c>
      <c r="B16" s="395" t="s">
        <v>283</v>
      </c>
      <c r="C16" s="658">
        <v>50</v>
      </c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>
        <v>500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101553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130021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128857+1164</f>
        <v>130021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231574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231574</v>
      </c>
    </row>
    <row r="46" spans="1:3" ht="12.75" customHeight="1">
      <c r="A46" s="656" t="s">
        <v>94</v>
      </c>
      <c r="B46" s="398" t="s">
        <v>48</v>
      </c>
      <c r="C46" s="511">
        <f>106410+916</f>
        <v>107326</v>
      </c>
    </row>
    <row r="47" spans="1:3" ht="12.75" customHeight="1">
      <c r="A47" s="656" t="s">
        <v>95</v>
      </c>
      <c r="B47" s="395" t="s">
        <v>180</v>
      </c>
      <c r="C47" s="517">
        <f>32066+248</f>
        <v>32314</v>
      </c>
    </row>
    <row r="48" spans="1:3" ht="12.75" customHeight="1">
      <c r="A48" s="656" t="s">
        <v>96</v>
      </c>
      <c r="B48" s="395" t="s">
        <v>137</v>
      </c>
      <c r="C48" s="517">
        <v>91934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231574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v>25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6"/>
  <sheetViews>
    <sheetView zoomScalePageLayoutView="0" workbookViewId="0" topLeftCell="A1">
      <selection activeCell="K16" sqref="K16"/>
    </sheetView>
  </sheetViews>
  <sheetFormatPr defaultColWidth="9.375" defaultRowHeight="12.75"/>
  <cols>
    <col min="1" max="1" width="43.50390625" style="348" customWidth="1"/>
    <col min="2" max="2" width="20.875" style="348" customWidth="1"/>
    <col min="3" max="3" width="19.375" style="348" customWidth="1"/>
    <col min="4" max="4" width="9.375" style="348" customWidth="1"/>
    <col min="5" max="16384" width="9.375" style="348" customWidth="1"/>
  </cols>
  <sheetData>
    <row r="1" ht="15">
      <c r="C1" s="349" t="s">
        <v>562</v>
      </c>
    </row>
    <row r="3" spans="1:3" ht="15">
      <c r="A3" s="1429" t="s">
        <v>563</v>
      </c>
      <c r="B3" s="1429"/>
      <c r="C3" s="1429"/>
    </row>
    <row r="4" spans="1:3" ht="28.5" customHeight="1">
      <c r="A4" s="1430" t="s">
        <v>564</v>
      </c>
      <c r="B4" s="1430"/>
      <c r="C4" s="1430"/>
    </row>
    <row r="5" ht="40.5" customHeight="1" thickBot="1">
      <c r="C5" s="352" t="s">
        <v>558</v>
      </c>
    </row>
    <row r="6" spans="1:3" ht="13.5" thickBot="1">
      <c r="A6" s="361"/>
      <c r="B6" s="362" t="s">
        <v>559</v>
      </c>
      <c r="C6" s="363" t="s">
        <v>561</v>
      </c>
    </row>
    <row r="7" spans="1:3" ht="13.5" thickBot="1">
      <c r="A7" s="364" t="s">
        <v>56</v>
      </c>
      <c r="B7" s="365"/>
      <c r="C7" s="366"/>
    </row>
    <row r="8" spans="1:3" ht="12.75">
      <c r="A8" s="367"/>
      <c r="B8" s="368"/>
      <c r="C8" s="369"/>
    </row>
    <row r="9" spans="1:3" ht="12.75">
      <c r="A9" s="357"/>
      <c r="B9" s="368"/>
      <c r="C9" s="370"/>
    </row>
    <row r="10" spans="1:3" ht="13.5" thickBot="1">
      <c r="A10" s="371" t="s">
        <v>50</v>
      </c>
      <c r="B10" s="372">
        <f>SUM(B8:B9)</f>
        <v>0</v>
      </c>
      <c r="C10" s="373">
        <f>SUM(C8:C9)</f>
        <v>0</v>
      </c>
    </row>
    <row r="11" spans="1:3" ht="27.75" customHeight="1" thickBot="1">
      <c r="A11" s="374"/>
      <c r="B11" s="375"/>
      <c r="C11" s="376"/>
    </row>
    <row r="12" spans="1:3" ht="13.5" thickBot="1">
      <c r="A12" s="377"/>
      <c r="B12" s="363" t="s">
        <v>559</v>
      </c>
      <c r="C12" s="363" t="s">
        <v>561</v>
      </c>
    </row>
    <row r="13" spans="1:3" ht="13.5" thickBot="1">
      <c r="A13" s="364" t="s">
        <v>57</v>
      </c>
      <c r="B13" s="378"/>
      <c r="C13" s="379"/>
    </row>
    <row r="14" spans="1:3" ht="12.75">
      <c r="A14" s="367"/>
      <c r="B14" s="380"/>
      <c r="C14" s="381"/>
    </row>
    <row r="15" spans="1:3" ht="12.75">
      <c r="A15" s="357"/>
      <c r="B15" s="380"/>
      <c r="C15" s="381"/>
    </row>
    <row r="16" spans="1:3" ht="13.5" thickBot="1">
      <c r="A16" s="371" t="s">
        <v>50</v>
      </c>
      <c r="B16" s="372">
        <f>SUM(B14:B15)</f>
        <v>0</v>
      </c>
      <c r="C16" s="373">
        <f>SUM(C13:C15)</f>
        <v>0</v>
      </c>
    </row>
  </sheetData>
  <sheetProtection/>
  <mergeCells count="2"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641</v>
      </c>
    </row>
    <row r="2" spans="1:3" s="311" customFormat="1" ht="25.5" customHeight="1">
      <c r="A2" s="571" t="s">
        <v>201</v>
      </c>
      <c r="B2" s="572" t="str">
        <f>'13'!B2</f>
        <v>Siófok Város Gondozási Központja</v>
      </c>
      <c r="C2" s="649" t="s">
        <v>638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4" width="9.375" style="213" customWidth="1"/>
    <col min="5" max="6" width="0" style="213" hidden="1" customWidth="1"/>
    <col min="7" max="16384" width="9.375" style="213" customWidth="1"/>
  </cols>
  <sheetData>
    <row r="1" spans="1:3" s="209" customFormat="1" ht="15" customHeight="1" thickBot="1">
      <c r="A1" s="208"/>
      <c r="B1" s="210"/>
      <c r="C1" s="648" t="s">
        <v>642</v>
      </c>
    </row>
    <row r="2" spans="1:3" s="311" customFormat="1" ht="25.5" customHeight="1">
      <c r="A2" s="571" t="s">
        <v>201</v>
      </c>
      <c r="B2" s="572" t="s">
        <v>553</v>
      </c>
      <c r="C2" s="649" t="s">
        <v>643</v>
      </c>
    </row>
    <row r="3" spans="1:3" s="311" customFormat="1" ht="26.25" thickBot="1">
      <c r="A3" s="650" t="s">
        <v>200</v>
      </c>
      <c r="B3" s="574" t="s">
        <v>400</v>
      </c>
      <c r="C3" s="645" t="s">
        <v>53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6" s="272" customFormat="1" ht="12.75" customHeight="1" thickBot="1">
      <c r="A8" s="577" t="s">
        <v>17</v>
      </c>
      <c r="B8" s="653" t="s">
        <v>518</v>
      </c>
      <c r="C8" s="524">
        <f>SUM(C9:C19)</f>
        <v>3666</v>
      </c>
      <c r="E8" s="272">
        <f>'14.1'!C8+'14.2'!C8+'14.3'!C8</f>
        <v>3666</v>
      </c>
      <c r="F8" s="788">
        <f>C8-E8</f>
        <v>0</v>
      </c>
    </row>
    <row r="9" spans="1:6" s="272" customFormat="1" ht="12.75" customHeight="1">
      <c r="A9" s="654" t="s">
        <v>94</v>
      </c>
      <c r="B9" s="394" t="s">
        <v>276</v>
      </c>
      <c r="C9" s="655"/>
      <c r="E9" s="272">
        <f>'14.1'!C9+'14.2'!C9+'14.3'!C9</f>
        <v>0</v>
      </c>
      <c r="F9" s="788">
        <f aca="true" t="shared" si="0" ref="F9:F60">C9-E9</f>
        <v>0</v>
      </c>
    </row>
    <row r="10" spans="1:6" s="272" customFormat="1" ht="12.75" customHeight="1">
      <c r="A10" s="656" t="s">
        <v>95</v>
      </c>
      <c r="B10" s="395" t="s">
        <v>277</v>
      </c>
      <c r="C10" s="657">
        <v>2800</v>
      </c>
      <c r="E10" s="272">
        <f>'14.1'!C10+'14.2'!C10+'14.3'!C10</f>
        <v>2800</v>
      </c>
      <c r="F10" s="788">
        <f t="shared" si="0"/>
        <v>0</v>
      </c>
    </row>
    <row r="11" spans="1:6" s="272" customFormat="1" ht="12.75" customHeight="1">
      <c r="A11" s="656" t="s">
        <v>96</v>
      </c>
      <c r="B11" s="395" t="s">
        <v>278</v>
      </c>
      <c r="C11" s="657"/>
      <c r="E11" s="272">
        <f>'14.1'!C11+'14.2'!C11+'14.3'!C11</f>
        <v>0</v>
      </c>
      <c r="F11" s="788">
        <f t="shared" si="0"/>
        <v>0</v>
      </c>
    </row>
    <row r="12" spans="1:6" s="272" customFormat="1" ht="12.75" customHeight="1">
      <c r="A12" s="656" t="s">
        <v>97</v>
      </c>
      <c r="B12" s="395" t="s">
        <v>279</v>
      </c>
      <c r="C12" s="657"/>
      <c r="E12" s="272">
        <f>'14.1'!C12+'14.2'!C12+'14.3'!C12</f>
        <v>0</v>
      </c>
      <c r="F12" s="788">
        <f t="shared" si="0"/>
        <v>0</v>
      </c>
    </row>
    <row r="13" spans="1:6" s="272" customFormat="1" ht="12.75" customHeight="1">
      <c r="A13" s="656" t="s">
        <v>145</v>
      </c>
      <c r="B13" s="395" t="s">
        <v>280</v>
      </c>
      <c r="C13" s="657"/>
      <c r="E13" s="272">
        <f>'14.1'!C13+'14.2'!C13+'14.3'!C13</f>
        <v>0</v>
      </c>
      <c r="F13" s="788">
        <f t="shared" si="0"/>
        <v>0</v>
      </c>
    </row>
    <row r="14" spans="1:6" s="272" customFormat="1" ht="12.75" customHeight="1">
      <c r="A14" s="656" t="s">
        <v>98</v>
      </c>
      <c r="B14" s="395" t="s">
        <v>401</v>
      </c>
      <c r="C14" s="657">
        <v>756</v>
      </c>
      <c r="E14" s="272">
        <f>'14.1'!C14+'14.2'!C14+'14.3'!C14</f>
        <v>756</v>
      </c>
      <c r="F14" s="788">
        <f t="shared" si="0"/>
        <v>0</v>
      </c>
    </row>
    <row r="15" spans="1:6" s="272" customFormat="1" ht="12.75" customHeight="1">
      <c r="A15" s="656" t="s">
        <v>99</v>
      </c>
      <c r="B15" s="399" t="s">
        <v>402</v>
      </c>
      <c r="C15" s="657"/>
      <c r="E15" s="272">
        <f>'14.1'!C15+'14.2'!C15+'14.3'!C15</f>
        <v>0</v>
      </c>
      <c r="F15" s="788">
        <f t="shared" si="0"/>
        <v>0</v>
      </c>
    </row>
    <row r="16" spans="1:6" s="272" customFormat="1" ht="12.75" customHeight="1">
      <c r="A16" s="656" t="s">
        <v>109</v>
      </c>
      <c r="B16" s="395" t="s">
        <v>283</v>
      </c>
      <c r="C16" s="658">
        <v>10</v>
      </c>
      <c r="E16" s="272">
        <f>'14.1'!C16+'14.2'!C16+'14.3'!C16</f>
        <v>10</v>
      </c>
      <c r="F16" s="788">
        <f t="shared" si="0"/>
        <v>0</v>
      </c>
    </row>
    <row r="17" spans="1:6" s="314" customFormat="1" ht="12.75" customHeight="1">
      <c r="A17" s="656" t="s">
        <v>110</v>
      </c>
      <c r="B17" s="395" t="s">
        <v>284</v>
      </c>
      <c r="C17" s="657"/>
      <c r="E17" s="272">
        <f>'14.1'!C17+'14.2'!C17+'14.3'!C17</f>
        <v>0</v>
      </c>
      <c r="F17" s="788">
        <f t="shared" si="0"/>
        <v>0</v>
      </c>
    </row>
    <row r="18" spans="1:6" s="314" customFormat="1" ht="12.75" customHeight="1">
      <c r="A18" s="656" t="s">
        <v>111</v>
      </c>
      <c r="B18" s="395" t="s">
        <v>437</v>
      </c>
      <c r="C18" s="659"/>
      <c r="E18" s="272">
        <f>'14.1'!C18+'14.2'!C18+'14.3'!C18</f>
        <v>0</v>
      </c>
      <c r="F18" s="788">
        <f t="shared" si="0"/>
        <v>0</v>
      </c>
    </row>
    <row r="19" spans="1:6" s="314" customFormat="1" ht="12.75" customHeight="1" thickBot="1">
      <c r="A19" s="656" t="s">
        <v>112</v>
      </c>
      <c r="B19" s="399" t="s">
        <v>285</v>
      </c>
      <c r="C19" s="659">
        <v>100</v>
      </c>
      <c r="E19" s="272">
        <f>'14.1'!C19+'14.2'!C19+'14.3'!C19</f>
        <v>100</v>
      </c>
      <c r="F19" s="788">
        <f t="shared" si="0"/>
        <v>0</v>
      </c>
    </row>
    <row r="20" spans="1:6" s="272" customFormat="1" ht="12.75" customHeight="1" thickBot="1">
      <c r="A20" s="577" t="s">
        <v>18</v>
      </c>
      <c r="B20" s="653" t="s">
        <v>403</v>
      </c>
      <c r="C20" s="524">
        <f>SUM(C21:C23)</f>
        <v>150</v>
      </c>
      <c r="E20" s="272">
        <f>'14.1'!C20+'14.2'!C20+'14.3'!C20</f>
        <v>150</v>
      </c>
      <c r="F20" s="788">
        <f t="shared" si="0"/>
        <v>0</v>
      </c>
    </row>
    <row r="21" spans="1:6" s="314" customFormat="1" ht="12.75" customHeight="1">
      <c r="A21" s="656" t="s">
        <v>100</v>
      </c>
      <c r="B21" s="398" t="s">
        <v>259</v>
      </c>
      <c r="C21" s="657"/>
      <c r="E21" s="272">
        <f>'14.1'!C21+'14.2'!C21+'14.3'!C21</f>
        <v>0</v>
      </c>
      <c r="F21" s="788">
        <f t="shared" si="0"/>
        <v>0</v>
      </c>
    </row>
    <row r="22" spans="1:6" s="314" customFormat="1" ht="12.75" customHeight="1">
      <c r="A22" s="656" t="s">
        <v>101</v>
      </c>
      <c r="B22" s="395" t="s">
        <v>404</v>
      </c>
      <c r="C22" s="657"/>
      <c r="E22" s="272">
        <f>'14.1'!C22+'14.2'!C22+'14.3'!C22</f>
        <v>0</v>
      </c>
      <c r="F22" s="788">
        <f t="shared" si="0"/>
        <v>0</v>
      </c>
    </row>
    <row r="23" spans="1:6" s="314" customFormat="1" ht="12.75" customHeight="1">
      <c r="A23" s="656" t="s">
        <v>102</v>
      </c>
      <c r="B23" s="395" t="s">
        <v>405</v>
      </c>
      <c r="C23" s="657">
        <v>150</v>
      </c>
      <c r="E23" s="272">
        <f>'14.1'!C23+'14.2'!C23+'14.3'!C23</f>
        <v>150</v>
      </c>
      <c r="F23" s="788">
        <f t="shared" si="0"/>
        <v>0</v>
      </c>
    </row>
    <row r="24" spans="1:6" s="314" customFormat="1" ht="12.75" customHeight="1" thickBot="1">
      <c r="A24" s="656" t="s">
        <v>103</v>
      </c>
      <c r="B24" s="395" t="s">
        <v>523</v>
      </c>
      <c r="C24" s="657"/>
      <c r="E24" s="272">
        <f>'14.1'!C24+'14.2'!C24+'14.3'!C24</f>
        <v>0</v>
      </c>
      <c r="F24" s="788">
        <f t="shared" si="0"/>
        <v>0</v>
      </c>
    </row>
    <row r="25" spans="1:6" s="314" customFormat="1" ht="12.75" customHeight="1" thickBot="1">
      <c r="A25" s="660" t="s">
        <v>19</v>
      </c>
      <c r="B25" s="397" t="s">
        <v>171</v>
      </c>
      <c r="C25" s="661"/>
      <c r="E25" s="272">
        <f>'14.1'!C25+'14.2'!C25+'14.3'!C25</f>
        <v>0</v>
      </c>
      <c r="F25" s="788">
        <f t="shared" si="0"/>
        <v>0</v>
      </c>
    </row>
    <row r="26" spans="1:6" s="314" customFormat="1" ht="12.75" customHeight="1" thickBot="1">
      <c r="A26" s="660" t="s">
        <v>20</v>
      </c>
      <c r="B26" s="397" t="s">
        <v>406</v>
      </c>
      <c r="C26" s="524">
        <f>+C27+C28</f>
        <v>0</v>
      </c>
      <c r="E26" s="272">
        <f>'14.1'!C26+'14.2'!C26+'14.3'!C26</f>
        <v>0</v>
      </c>
      <c r="F26" s="788">
        <f t="shared" si="0"/>
        <v>0</v>
      </c>
    </row>
    <row r="27" spans="1:6" s="314" customFormat="1" ht="12.75" customHeight="1">
      <c r="A27" s="662" t="s">
        <v>269</v>
      </c>
      <c r="B27" s="663" t="s">
        <v>404</v>
      </c>
      <c r="C27" s="511"/>
      <c r="E27" s="272">
        <f>'14.1'!C27+'14.2'!C27+'14.3'!C27</f>
        <v>0</v>
      </c>
      <c r="F27" s="788">
        <f t="shared" si="0"/>
        <v>0</v>
      </c>
    </row>
    <row r="28" spans="1:6" s="314" customFormat="1" ht="12.75" customHeight="1">
      <c r="A28" s="662" t="s">
        <v>270</v>
      </c>
      <c r="B28" s="664" t="s">
        <v>407</v>
      </c>
      <c r="C28" s="528"/>
      <c r="E28" s="272">
        <f>'14.1'!C28+'14.2'!C28+'14.3'!C28</f>
        <v>0</v>
      </c>
      <c r="F28" s="788">
        <f t="shared" si="0"/>
        <v>0</v>
      </c>
    </row>
    <row r="29" spans="1:6" s="314" customFormat="1" ht="12.75" customHeight="1" thickBot="1">
      <c r="A29" s="656" t="s">
        <v>271</v>
      </c>
      <c r="B29" s="665" t="s">
        <v>524</v>
      </c>
      <c r="C29" s="666"/>
      <c r="E29" s="272">
        <f>'14.1'!C29+'14.2'!C29+'14.3'!C29</f>
        <v>0</v>
      </c>
      <c r="F29" s="788">
        <f t="shared" si="0"/>
        <v>0</v>
      </c>
    </row>
    <row r="30" spans="1:6" s="314" customFormat="1" ht="12.75" customHeight="1" thickBot="1">
      <c r="A30" s="660" t="s">
        <v>21</v>
      </c>
      <c r="B30" s="397" t="s">
        <v>408</v>
      </c>
      <c r="C30" s="524">
        <f>+C31+C32+C33</f>
        <v>0</v>
      </c>
      <c r="E30" s="272">
        <f>'14.1'!C30+'14.2'!C30+'14.3'!C30</f>
        <v>0</v>
      </c>
      <c r="F30" s="788">
        <f t="shared" si="0"/>
        <v>0</v>
      </c>
    </row>
    <row r="31" spans="1:6" s="314" customFormat="1" ht="12.75" customHeight="1">
      <c r="A31" s="662" t="s">
        <v>87</v>
      </c>
      <c r="B31" s="663" t="s">
        <v>290</v>
      </c>
      <c r="C31" s="511"/>
      <c r="E31" s="272">
        <f>'14.1'!C31+'14.2'!C31+'14.3'!C31</f>
        <v>0</v>
      </c>
      <c r="F31" s="788">
        <f t="shared" si="0"/>
        <v>0</v>
      </c>
    </row>
    <row r="32" spans="1:6" s="314" customFormat="1" ht="12.75" customHeight="1">
      <c r="A32" s="662" t="s">
        <v>88</v>
      </c>
      <c r="B32" s="664" t="s">
        <v>291</v>
      </c>
      <c r="C32" s="528"/>
      <c r="E32" s="272">
        <f>'14.1'!C32+'14.2'!C32+'14.3'!C32</f>
        <v>0</v>
      </c>
      <c r="F32" s="788">
        <f t="shared" si="0"/>
        <v>0</v>
      </c>
    </row>
    <row r="33" spans="1:6" s="314" customFormat="1" ht="12.75" customHeight="1" thickBot="1">
      <c r="A33" s="656" t="s">
        <v>89</v>
      </c>
      <c r="B33" s="665" t="s">
        <v>292</v>
      </c>
      <c r="C33" s="666"/>
      <c r="E33" s="272">
        <f>'14.1'!C33+'14.2'!C33+'14.3'!C33</f>
        <v>0</v>
      </c>
      <c r="F33" s="788">
        <f t="shared" si="0"/>
        <v>0</v>
      </c>
    </row>
    <row r="34" spans="1:6" s="272" customFormat="1" ht="12.75" customHeight="1" thickBot="1">
      <c r="A34" s="660" t="s">
        <v>22</v>
      </c>
      <c r="B34" s="397" t="s">
        <v>377</v>
      </c>
      <c r="C34" s="661"/>
      <c r="E34" s="272">
        <f>'14.1'!C34+'14.2'!C34+'14.3'!C34</f>
        <v>0</v>
      </c>
      <c r="F34" s="788">
        <f t="shared" si="0"/>
        <v>0</v>
      </c>
    </row>
    <row r="35" spans="1:6" s="272" customFormat="1" ht="12.75" customHeight="1" thickBot="1">
      <c r="A35" s="660" t="s">
        <v>23</v>
      </c>
      <c r="B35" s="397" t="s">
        <v>409</v>
      </c>
      <c r="C35" s="667"/>
      <c r="E35" s="272">
        <f>'14.1'!C35+'14.2'!C35+'14.3'!C35</f>
        <v>0</v>
      </c>
      <c r="F35" s="788">
        <f t="shared" si="0"/>
        <v>0</v>
      </c>
    </row>
    <row r="36" spans="1:6" s="272" customFormat="1" ht="12.75" customHeight="1" thickBot="1">
      <c r="A36" s="577" t="s">
        <v>24</v>
      </c>
      <c r="B36" s="397" t="s">
        <v>525</v>
      </c>
      <c r="C36" s="268">
        <f>+C8+C20+C25+C26+C30+C34+C35</f>
        <v>3816</v>
      </c>
      <c r="E36" s="272">
        <f>'14.1'!C36+'14.2'!C36+'14.3'!C36</f>
        <v>3816</v>
      </c>
      <c r="F36" s="788">
        <f t="shared" si="0"/>
        <v>0</v>
      </c>
    </row>
    <row r="37" spans="1:6" s="272" customFormat="1" ht="12.75" customHeight="1" thickBot="1">
      <c r="A37" s="486" t="s">
        <v>25</v>
      </c>
      <c r="B37" s="397" t="s">
        <v>411</v>
      </c>
      <c r="C37" s="268">
        <f>+C38+C39+C40</f>
        <v>87888</v>
      </c>
      <c r="E37" s="272">
        <f>'14.1'!C37+'14.2'!C37+'14.3'!C37</f>
        <v>87888</v>
      </c>
      <c r="F37" s="788">
        <f t="shared" si="0"/>
        <v>0</v>
      </c>
    </row>
    <row r="38" spans="1:6" s="272" customFormat="1" ht="12.75" customHeight="1">
      <c r="A38" s="662" t="s">
        <v>412</v>
      </c>
      <c r="B38" s="663" t="s">
        <v>237</v>
      </c>
      <c r="C38" s="511">
        <v>360</v>
      </c>
      <c r="E38" s="272">
        <f>'14.1'!C38+'14.2'!C38+'14.3'!C38</f>
        <v>360</v>
      </c>
      <c r="F38" s="788">
        <f t="shared" si="0"/>
        <v>0</v>
      </c>
    </row>
    <row r="39" spans="1:6" s="272" customFormat="1" ht="12.75" customHeight="1">
      <c r="A39" s="662" t="s">
        <v>413</v>
      </c>
      <c r="B39" s="664" t="s">
        <v>0</v>
      </c>
      <c r="C39" s="528"/>
      <c r="E39" s="272">
        <f>'14.1'!C39+'14.2'!C39+'14.3'!C39</f>
        <v>0</v>
      </c>
      <c r="F39" s="788">
        <f t="shared" si="0"/>
        <v>0</v>
      </c>
    </row>
    <row r="40" spans="1:6" s="314" customFormat="1" ht="12.75" customHeight="1" thickBot="1">
      <c r="A40" s="656" t="s">
        <v>414</v>
      </c>
      <c r="B40" s="665" t="s">
        <v>415</v>
      </c>
      <c r="C40" s="666">
        <f>84061-360+2804+1023</f>
        <v>87528</v>
      </c>
      <c r="E40" s="272">
        <f>'14.1'!C40+'14.2'!C40+'14.3'!C40</f>
        <v>87528</v>
      </c>
      <c r="F40" s="788">
        <f t="shared" si="0"/>
        <v>0</v>
      </c>
    </row>
    <row r="41" spans="1:6" s="314" customFormat="1" ht="15" customHeight="1" thickBot="1">
      <c r="A41" s="486" t="s">
        <v>26</v>
      </c>
      <c r="B41" s="668" t="s">
        <v>416</v>
      </c>
      <c r="C41" s="586">
        <f>+C36+C37</f>
        <v>91704</v>
      </c>
      <c r="E41" s="272">
        <f>'14.1'!C41+'14.2'!C41+'14.3'!C41</f>
        <v>91704</v>
      </c>
      <c r="F41" s="788">
        <f t="shared" si="0"/>
        <v>0</v>
      </c>
    </row>
    <row r="42" spans="1:6" s="314" customFormat="1" ht="9" customHeight="1">
      <c r="A42" s="582"/>
      <c r="B42" s="583"/>
      <c r="C42" s="584"/>
      <c r="E42" s="272"/>
      <c r="F42" s="788">
        <f t="shared" si="0"/>
        <v>0</v>
      </c>
    </row>
    <row r="43" spans="1:6" ht="9" customHeight="1" thickBot="1">
      <c r="A43" s="669"/>
      <c r="B43" s="670"/>
      <c r="C43" s="671"/>
      <c r="E43" s="272"/>
      <c r="F43" s="788">
        <f t="shared" si="0"/>
        <v>0</v>
      </c>
    </row>
    <row r="44" spans="1:6" s="313" customFormat="1" ht="16.5" customHeight="1" thickBot="1">
      <c r="A44" s="575"/>
      <c r="B44" s="585" t="s">
        <v>57</v>
      </c>
      <c r="C44" s="586"/>
      <c r="E44" s="272">
        <f>'14.1'!C44+'14.2'!C44+'14.3'!C44</f>
        <v>0</v>
      </c>
      <c r="F44" s="788">
        <f t="shared" si="0"/>
        <v>0</v>
      </c>
    </row>
    <row r="45" spans="1:6" s="315" customFormat="1" ht="12.75" customHeight="1" thickBot="1">
      <c r="A45" s="660" t="s">
        <v>17</v>
      </c>
      <c r="B45" s="397" t="s">
        <v>417</v>
      </c>
      <c r="C45" s="524">
        <f>SUM(C46:C50)</f>
        <v>90681</v>
      </c>
      <c r="E45" s="272">
        <f>'14.1'!C45+'14.2'!C45+'14.3'!C45</f>
        <v>90681</v>
      </c>
      <c r="F45" s="788">
        <f t="shared" si="0"/>
        <v>0</v>
      </c>
    </row>
    <row r="46" spans="1:6" ht="12.75" customHeight="1">
      <c r="A46" s="656" t="s">
        <v>94</v>
      </c>
      <c r="B46" s="398" t="s">
        <v>48</v>
      </c>
      <c r="C46" s="511">
        <f>33946+328</f>
        <v>34274</v>
      </c>
      <c r="E46" s="272">
        <f>'14.1'!C46+'14.2'!C46+'14.3'!C46</f>
        <v>34274</v>
      </c>
      <c r="F46" s="788">
        <f t="shared" si="0"/>
        <v>0</v>
      </c>
    </row>
    <row r="47" spans="1:6" ht="12.75" customHeight="1">
      <c r="A47" s="656" t="s">
        <v>95</v>
      </c>
      <c r="B47" s="395" t="s">
        <v>180</v>
      </c>
      <c r="C47" s="517">
        <f>9567+89</f>
        <v>9656</v>
      </c>
      <c r="E47" s="272">
        <f>'14.1'!C47+'14.2'!C47+'14.3'!C47</f>
        <v>9656</v>
      </c>
      <c r="F47" s="788">
        <f t="shared" si="0"/>
        <v>0</v>
      </c>
    </row>
    <row r="48" spans="1:6" ht="12.75" customHeight="1">
      <c r="A48" s="656" t="s">
        <v>96</v>
      </c>
      <c r="B48" s="395" t="s">
        <v>137</v>
      </c>
      <c r="C48" s="517">
        <f>44364+2387</f>
        <v>46751</v>
      </c>
      <c r="E48" s="272">
        <f>'14.1'!C48+'14.2'!C48+'14.3'!C48</f>
        <v>46751</v>
      </c>
      <c r="F48" s="788">
        <f t="shared" si="0"/>
        <v>0</v>
      </c>
    </row>
    <row r="49" spans="1:6" ht="12.75" customHeight="1">
      <c r="A49" s="656" t="s">
        <v>97</v>
      </c>
      <c r="B49" s="395" t="s">
        <v>181</v>
      </c>
      <c r="C49" s="517"/>
      <c r="E49" s="272">
        <f>'14.1'!C49+'14.2'!C49+'14.3'!C49</f>
        <v>0</v>
      </c>
      <c r="F49" s="788">
        <f t="shared" si="0"/>
        <v>0</v>
      </c>
    </row>
    <row r="50" spans="1:6" ht="12.75" customHeight="1" thickBot="1">
      <c r="A50" s="656" t="s">
        <v>145</v>
      </c>
      <c r="B50" s="395" t="s">
        <v>182</v>
      </c>
      <c r="C50" s="517"/>
      <c r="E50" s="272">
        <f>'14.1'!C50+'14.2'!C50+'14.3'!C50</f>
        <v>0</v>
      </c>
      <c r="F50" s="788">
        <f t="shared" si="0"/>
        <v>0</v>
      </c>
    </row>
    <row r="51" spans="1:6" ht="12.75" customHeight="1" thickBot="1">
      <c r="A51" s="660" t="s">
        <v>18</v>
      </c>
      <c r="B51" s="397" t="s">
        <v>418</v>
      </c>
      <c r="C51" s="524">
        <f>SUM(C52:C54)</f>
        <v>1023</v>
      </c>
      <c r="E51" s="272">
        <f>'14.1'!C51+'14.2'!C51+'14.3'!C51</f>
        <v>1023</v>
      </c>
      <c r="F51" s="788">
        <f t="shared" si="0"/>
        <v>0</v>
      </c>
    </row>
    <row r="52" spans="1:6" s="315" customFormat="1" ht="12.75" customHeight="1">
      <c r="A52" s="656" t="s">
        <v>100</v>
      </c>
      <c r="B52" s="398" t="s">
        <v>228</v>
      </c>
      <c r="C52" s="511">
        <v>1023</v>
      </c>
      <c r="E52" s="272">
        <f>'14.1'!C52+'14.2'!C52+'14.3'!C52</f>
        <v>1023</v>
      </c>
      <c r="F52" s="788">
        <f t="shared" si="0"/>
        <v>0</v>
      </c>
    </row>
    <row r="53" spans="1:6" ht="12.75" customHeight="1">
      <c r="A53" s="656" t="s">
        <v>101</v>
      </c>
      <c r="B53" s="395" t="s">
        <v>184</v>
      </c>
      <c r="C53" s="517"/>
      <c r="E53" s="272">
        <f>'14.1'!C53+'14.2'!C53+'14.3'!C53</f>
        <v>0</v>
      </c>
      <c r="F53" s="788">
        <f t="shared" si="0"/>
        <v>0</v>
      </c>
    </row>
    <row r="54" spans="1:6" ht="12.75" customHeight="1">
      <c r="A54" s="656" t="s">
        <v>102</v>
      </c>
      <c r="B54" s="395" t="s">
        <v>58</v>
      </c>
      <c r="C54" s="517"/>
      <c r="E54" s="272">
        <f>'14.1'!C54+'14.2'!C54+'14.3'!C54</f>
        <v>0</v>
      </c>
      <c r="F54" s="788">
        <f t="shared" si="0"/>
        <v>0</v>
      </c>
    </row>
    <row r="55" spans="1:6" ht="12.75" customHeight="1" thickBot="1">
      <c r="A55" s="656" t="s">
        <v>103</v>
      </c>
      <c r="B55" s="395" t="s">
        <v>522</v>
      </c>
      <c r="C55" s="517"/>
      <c r="E55" s="272">
        <f>'14.1'!C55+'14.2'!C55+'14.3'!C55</f>
        <v>0</v>
      </c>
      <c r="F55" s="788">
        <f t="shared" si="0"/>
        <v>0</v>
      </c>
    </row>
    <row r="56" spans="1:6" ht="15" customHeight="1" thickBot="1">
      <c r="A56" s="660" t="s">
        <v>19</v>
      </c>
      <c r="B56" s="397" t="s">
        <v>11</v>
      </c>
      <c r="C56" s="661"/>
      <c r="E56" s="272">
        <f>'14.1'!C56+'14.2'!C56+'14.3'!C56</f>
        <v>0</v>
      </c>
      <c r="F56" s="788">
        <f t="shared" si="0"/>
        <v>0</v>
      </c>
    </row>
    <row r="57" spans="1:6" ht="15.75" thickBot="1">
      <c r="A57" s="660" t="s">
        <v>20</v>
      </c>
      <c r="B57" s="672" t="s">
        <v>526</v>
      </c>
      <c r="C57" s="673">
        <f>+C45+C51+C56</f>
        <v>91704</v>
      </c>
      <c r="E57" s="272">
        <f>'14.1'!C57+'14.2'!C57+'14.3'!C57</f>
        <v>91704</v>
      </c>
      <c r="F57" s="788">
        <f t="shared" si="0"/>
        <v>0</v>
      </c>
    </row>
    <row r="58" spans="1:6" ht="9.75" customHeight="1" thickBot="1">
      <c r="A58" s="587"/>
      <c r="B58" s="588"/>
      <c r="C58" s="589"/>
      <c r="E58" s="272"/>
      <c r="F58" s="788">
        <f t="shared" si="0"/>
        <v>0</v>
      </c>
    </row>
    <row r="59" spans="1:6" ht="14.25" customHeight="1" thickBot="1">
      <c r="A59" s="214" t="s">
        <v>517</v>
      </c>
      <c r="B59" s="215"/>
      <c r="C59" s="105">
        <v>13</v>
      </c>
      <c r="E59" s="272">
        <f>'14.1'!C59+'14.2'!C59+'14.3'!C59</f>
        <v>13</v>
      </c>
      <c r="F59" s="788">
        <f t="shared" si="0"/>
        <v>0</v>
      </c>
    </row>
    <row r="60" spans="1:6" ht="15.75" thickBot="1">
      <c r="A60" s="214" t="s">
        <v>203</v>
      </c>
      <c r="B60" s="215"/>
      <c r="C60" s="105"/>
      <c r="E60" s="272">
        <f>'14.1'!C60+'14.2'!C60+'14.3'!C60</f>
        <v>0</v>
      </c>
      <c r="F60" s="788">
        <f t="shared" si="0"/>
        <v>0</v>
      </c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644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643</v>
      </c>
    </row>
    <row r="3" spans="1:3" s="311" customFormat="1" ht="26.25" thickBot="1">
      <c r="A3" s="650" t="s">
        <v>200</v>
      </c>
      <c r="B3" s="574" t="s">
        <v>419</v>
      </c>
      <c r="C3" s="645" t="s">
        <v>59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3666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>
        <f>'14'!C10</f>
        <v>2800</v>
      </c>
    </row>
    <row r="11" spans="1:3" s="272" customFormat="1" ht="12.75" customHeight="1">
      <c r="A11" s="656" t="s">
        <v>96</v>
      </c>
      <c r="B11" s="395" t="s">
        <v>278</v>
      </c>
      <c r="C11" s="657">
        <f>'14'!C11</f>
        <v>0</v>
      </c>
    </row>
    <row r="12" spans="1:3" s="272" customFormat="1" ht="12.75" customHeight="1">
      <c r="A12" s="656" t="s">
        <v>97</v>
      </c>
      <c r="B12" s="395" t="s">
        <v>279</v>
      </c>
      <c r="C12" s="657">
        <f>'14'!C12</f>
        <v>0</v>
      </c>
    </row>
    <row r="13" spans="1:3" s="272" customFormat="1" ht="12.75" customHeight="1">
      <c r="A13" s="656" t="s">
        <v>145</v>
      </c>
      <c r="B13" s="395" t="s">
        <v>280</v>
      </c>
      <c r="C13" s="657">
        <f>'14'!C13</f>
        <v>0</v>
      </c>
    </row>
    <row r="14" spans="1:3" s="272" customFormat="1" ht="12.75" customHeight="1">
      <c r="A14" s="656" t="s">
        <v>98</v>
      </c>
      <c r="B14" s="395" t="s">
        <v>401</v>
      </c>
      <c r="C14" s="657">
        <f>'14'!C14</f>
        <v>756</v>
      </c>
    </row>
    <row r="15" spans="1:3" s="272" customFormat="1" ht="12.75" customHeight="1">
      <c r="A15" s="656" t="s">
        <v>99</v>
      </c>
      <c r="B15" s="399" t="s">
        <v>402</v>
      </c>
      <c r="C15" s="657">
        <f>'14'!C15</f>
        <v>0</v>
      </c>
    </row>
    <row r="16" spans="1:3" s="272" customFormat="1" ht="12.75" customHeight="1">
      <c r="A16" s="656" t="s">
        <v>109</v>
      </c>
      <c r="B16" s="395" t="s">
        <v>283</v>
      </c>
      <c r="C16" s="657">
        <f>'14'!C16</f>
        <v>10</v>
      </c>
    </row>
    <row r="17" spans="1:3" s="314" customFormat="1" ht="12.75" customHeight="1">
      <c r="A17" s="656" t="s">
        <v>110</v>
      </c>
      <c r="B17" s="395" t="s">
        <v>284</v>
      </c>
      <c r="C17" s="657">
        <f>'14'!C17</f>
        <v>0</v>
      </c>
    </row>
    <row r="18" spans="1:3" s="314" customFormat="1" ht="12.75" customHeight="1">
      <c r="A18" s="656" t="s">
        <v>111</v>
      </c>
      <c r="B18" s="395" t="s">
        <v>437</v>
      </c>
      <c r="C18" s="657">
        <f>'14'!C18</f>
        <v>0</v>
      </c>
    </row>
    <row r="19" spans="1:3" s="314" customFormat="1" ht="12.75" customHeight="1" thickBot="1">
      <c r="A19" s="656" t="s">
        <v>112</v>
      </c>
      <c r="B19" s="399" t="s">
        <v>285</v>
      </c>
      <c r="C19" s="657">
        <f>'14'!C19</f>
        <v>100</v>
      </c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150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>
        <f>'14'!C23</f>
        <v>150</v>
      </c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3816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87888</v>
      </c>
    </row>
    <row r="38" spans="1:3" s="272" customFormat="1" ht="12.75" customHeight="1">
      <c r="A38" s="662" t="s">
        <v>412</v>
      </c>
      <c r="B38" s="663" t="s">
        <v>237</v>
      </c>
      <c r="C38" s="511">
        <v>360</v>
      </c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>
        <f>'14'!C40</f>
        <v>87528</v>
      </c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91704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90681</v>
      </c>
    </row>
    <row r="46" spans="1:3" ht="12.75" customHeight="1">
      <c r="A46" s="656" t="s">
        <v>94</v>
      </c>
      <c r="B46" s="398" t="s">
        <v>48</v>
      </c>
      <c r="C46" s="511">
        <f>'14'!C46</f>
        <v>34274</v>
      </c>
    </row>
    <row r="47" spans="1:3" ht="12.75" customHeight="1">
      <c r="A47" s="656" t="s">
        <v>95</v>
      </c>
      <c r="B47" s="395" t="s">
        <v>180</v>
      </c>
      <c r="C47" s="517">
        <f>'14'!C47</f>
        <v>9656</v>
      </c>
    </row>
    <row r="48" spans="1:3" ht="12.75" customHeight="1">
      <c r="A48" s="656" t="s">
        <v>96</v>
      </c>
      <c r="B48" s="395" t="s">
        <v>137</v>
      </c>
      <c r="C48" s="517">
        <f>'14'!C48</f>
        <v>46751</v>
      </c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1023</v>
      </c>
    </row>
    <row r="52" spans="1:3" s="315" customFormat="1" ht="12.75" customHeight="1">
      <c r="A52" s="656" t="s">
        <v>100</v>
      </c>
      <c r="B52" s="398" t="s">
        <v>228</v>
      </c>
      <c r="C52" s="511">
        <f>'14'!C52</f>
        <v>1023</v>
      </c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91704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>
        <f>'14'!C59</f>
        <v>13</v>
      </c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645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643</v>
      </c>
    </row>
    <row r="3" spans="1:3" s="311" customFormat="1" ht="26.25" thickBot="1">
      <c r="A3" s="650" t="s">
        <v>200</v>
      </c>
      <c r="B3" s="574" t="s">
        <v>420</v>
      </c>
      <c r="C3" s="645" t="s">
        <v>60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60"/>
  <sheetViews>
    <sheetView zoomScale="145" zoomScaleNormal="145" zoomScalePageLayoutView="0" workbookViewId="0" topLeftCell="A1">
      <selection activeCell="A1" sqref="A1"/>
    </sheetView>
  </sheetViews>
  <sheetFormatPr defaultColWidth="9.375" defaultRowHeight="12.75"/>
  <cols>
    <col min="1" max="1" width="13.875" style="212" customWidth="1"/>
    <col min="2" max="2" width="79.125" style="213" customWidth="1"/>
    <col min="3" max="3" width="25.00390625" style="213" customWidth="1"/>
    <col min="4" max="16384" width="9.375" style="213" customWidth="1"/>
  </cols>
  <sheetData>
    <row r="1" spans="1:3" s="209" customFormat="1" ht="15" customHeight="1" thickBot="1">
      <c r="A1" s="208"/>
      <c r="B1" s="210"/>
      <c r="C1" s="648" t="s">
        <v>646</v>
      </c>
    </row>
    <row r="2" spans="1:3" s="311" customFormat="1" ht="25.5" customHeight="1">
      <c r="A2" s="571" t="s">
        <v>201</v>
      </c>
      <c r="B2" s="572" t="str">
        <f>'14'!B2</f>
        <v>BRTK Könyvtár és Kálmán Imre Emlékház</v>
      </c>
      <c r="C2" s="649" t="s">
        <v>643</v>
      </c>
    </row>
    <row r="3" spans="1:3" s="311" customFormat="1" ht="26.25" thickBot="1">
      <c r="A3" s="650" t="s">
        <v>200</v>
      </c>
      <c r="B3" s="574" t="s">
        <v>627</v>
      </c>
      <c r="C3" s="645" t="s">
        <v>431</v>
      </c>
    </row>
    <row r="4" s="312" customFormat="1" ht="15.75" customHeight="1" thickBot="1">
      <c r="C4" s="211" t="s">
        <v>54</v>
      </c>
    </row>
    <row r="5" spans="1:3" ht="13.5" thickBot="1">
      <c r="A5" s="575" t="s">
        <v>202</v>
      </c>
      <c r="B5" s="576" t="s">
        <v>55</v>
      </c>
      <c r="C5" s="651" t="s">
        <v>610</v>
      </c>
    </row>
    <row r="6" spans="1:3" s="313" customFormat="1" ht="12.75" customHeight="1" thickBot="1">
      <c r="A6" s="577" t="s">
        <v>492</v>
      </c>
      <c r="B6" s="578" t="s">
        <v>493</v>
      </c>
      <c r="C6" s="579" t="s">
        <v>494</v>
      </c>
    </row>
    <row r="7" spans="1:3" s="313" customFormat="1" ht="15.75" customHeight="1" thickBot="1">
      <c r="A7" s="580"/>
      <c r="B7" s="581" t="s">
        <v>56</v>
      </c>
      <c r="C7" s="652"/>
    </row>
    <row r="8" spans="1:3" s="272" customFormat="1" ht="12.75" customHeight="1" thickBot="1">
      <c r="A8" s="577" t="s">
        <v>17</v>
      </c>
      <c r="B8" s="653" t="s">
        <v>518</v>
      </c>
      <c r="C8" s="524">
        <f>SUM(C9:C19)</f>
        <v>0</v>
      </c>
    </row>
    <row r="9" spans="1:3" s="272" customFormat="1" ht="12.75" customHeight="1">
      <c r="A9" s="654" t="s">
        <v>94</v>
      </c>
      <c r="B9" s="394" t="s">
        <v>276</v>
      </c>
      <c r="C9" s="655"/>
    </row>
    <row r="10" spans="1:3" s="272" customFormat="1" ht="12.75" customHeight="1">
      <c r="A10" s="656" t="s">
        <v>95</v>
      </c>
      <c r="B10" s="395" t="s">
        <v>277</v>
      </c>
      <c r="C10" s="657"/>
    </row>
    <row r="11" spans="1:3" s="272" customFormat="1" ht="12.75" customHeight="1">
      <c r="A11" s="656" t="s">
        <v>96</v>
      </c>
      <c r="B11" s="395" t="s">
        <v>278</v>
      </c>
      <c r="C11" s="657"/>
    </row>
    <row r="12" spans="1:3" s="272" customFormat="1" ht="12.75" customHeight="1">
      <c r="A12" s="656" t="s">
        <v>97</v>
      </c>
      <c r="B12" s="395" t="s">
        <v>279</v>
      </c>
      <c r="C12" s="657"/>
    </row>
    <row r="13" spans="1:3" s="272" customFormat="1" ht="12.75" customHeight="1">
      <c r="A13" s="656" t="s">
        <v>145</v>
      </c>
      <c r="B13" s="395" t="s">
        <v>280</v>
      </c>
      <c r="C13" s="657"/>
    </row>
    <row r="14" spans="1:3" s="272" customFormat="1" ht="12.75" customHeight="1">
      <c r="A14" s="656" t="s">
        <v>98</v>
      </c>
      <c r="B14" s="395" t="s">
        <v>401</v>
      </c>
      <c r="C14" s="657"/>
    </row>
    <row r="15" spans="1:3" s="272" customFormat="1" ht="12.75" customHeight="1">
      <c r="A15" s="656" t="s">
        <v>99</v>
      </c>
      <c r="B15" s="399" t="s">
        <v>402</v>
      </c>
      <c r="C15" s="657"/>
    </row>
    <row r="16" spans="1:3" s="272" customFormat="1" ht="12.75" customHeight="1">
      <c r="A16" s="656" t="s">
        <v>109</v>
      </c>
      <c r="B16" s="395" t="s">
        <v>283</v>
      </c>
      <c r="C16" s="658"/>
    </row>
    <row r="17" spans="1:3" s="314" customFormat="1" ht="12.75" customHeight="1">
      <c r="A17" s="656" t="s">
        <v>110</v>
      </c>
      <c r="B17" s="395" t="s">
        <v>284</v>
      </c>
      <c r="C17" s="657"/>
    </row>
    <row r="18" spans="1:3" s="314" customFormat="1" ht="12.75" customHeight="1">
      <c r="A18" s="656" t="s">
        <v>111</v>
      </c>
      <c r="B18" s="395" t="s">
        <v>437</v>
      </c>
      <c r="C18" s="659"/>
    </row>
    <row r="19" spans="1:3" s="314" customFormat="1" ht="12.75" customHeight="1" thickBot="1">
      <c r="A19" s="656" t="s">
        <v>112</v>
      </c>
      <c r="B19" s="399" t="s">
        <v>285</v>
      </c>
      <c r="C19" s="659"/>
    </row>
    <row r="20" spans="1:3" s="272" customFormat="1" ht="12.75" customHeight="1" thickBot="1">
      <c r="A20" s="577" t="s">
        <v>18</v>
      </c>
      <c r="B20" s="653" t="s">
        <v>403</v>
      </c>
      <c r="C20" s="524">
        <f>SUM(C21:C23)</f>
        <v>0</v>
      </c>
    </row>
    <row r="21" spans="1:3" s="314" customFormat="1" ht="12.75" customHeight="1">
      <c r="A21" s="656" t="s">
        <v>100</v>
      </c>
      <c r="B21" s="398" t="s">
        <v>259</v>
      </c>
      <c r="C21" s="657"/>
    </row>
    <row r="22" spans="1:3" s="314" customFormat="1" ht="12.75" customHeight="1">
      <c r="A22" s="656" t="s">
        <v>101</v>
      </c>
      <c r="B22" s="395" t="s">
        <v>404</v>
      </c>
      <c r="C22" s="657"/>
    </row>
    <row r="23" spans="1:3" s="314" customFormat="1" ht="12.75" customHeight="1">
      <c r="A23" s="656" t="s">
        <v>102</v>
      </c>
      <c r="B23" s="395" t="s">
        <v>405</v>
      </c>
      <c r="C23" s="657"/>
    </row>
    <row r="24" spans="1:3" s="314" customFormat="1" ht="12.75" customHeight="1" thickBot="1">
      <c r="A24" s="656" t="s">
        <v>103</v>
      </c>
      <c r="B24" s="395" t="s">
        <v>523</v>
      </c>
      <c r="C24" s="657"/>
    </row>
    <row r="25" spans="1:3" s="314" customFormat="1" ht="12.75" customHeight="1" thickBot="1">
      <c r="A25" s="660" t="s">
        <v>19</v>
      </c>
      <c r="B25" s="397" t="s">
        <v>171</v>
      </c>
      <c r="C25" s="661"/>
    </row>
    <row r="26" spans="1:3" s="314" customFormat="1" ht="12.75" customHeight="1" thickBot="1">
      <c r="A26" s="660" t="s">
        <v>20</v>
      </c>
      <c r="B26" s="397" t="s">
        <v>406</v>
      </c>
      <c r="C26" s="524">
        <f>+C27+C28</f>
        <v>0</v>
      </c>
    </row>
    <row r="27" spans="1:3" s="314" customFormat="1" ht="12.75" customHeight="1">
      <c r="A27" s="662" t="s">
        <v>269</v>
      </c>
      <c r="B27" s="663" t="s">
        <v>404</v>
      </c>
      <c r="C27" s="511"/>
    </row>
    <row r="28" spans="1:3" s="314" customFormat="1" ht="12.75" customHeight="1">
      <c r="A28" s="662" t="s">
        <v>270</v>
      </c>
      <c r="B28" s="664" t="s">
        <v>407</v>
      </c>
      <c r="C28" s="528"/>
    </row>
    <row r="29" spans="1:3" s="314" customFormat="1" ht="12.75" customHeight="1" thickBot="1">
      <c r="A29" s="656" t="s">
        <v>271</v>
      </c>
      <c r="B29" s="665" t="s">
        <v>524</v>
      </c>
      <c r="C29" s="666"/>
    </row>
    <row r="30" spans="1:3" s="314" customFormat="1" ht="12.75" customHeight="1" thickBot="1">
      <c r="A30" s="660" t="s">
        <v>21</v>
      </c>
      <c r="B30" s="397" t="s">
        <v>408</v>
      </c>
      <c r="C30" s="524">
        <f>+C31+C32+C33</f>
        <v>0</v>
      </c>
    </row>
    <row r="31" spans="1:3" s="314" customFormat="1" ht="12.75" customHeight="1">
      <c r="A31" s="662" t="s">
        <v>87</v>
      </c>
      <c r="B31" s="663" t="s">
        <v>290</v>
      </c>
      <c r="C31" s="511"/>
    </row>
    <row r="32" spans="1:3" s="314" customFormat="1" ht="12.75" customHeight="1">
      <c r="A32" s="662" t="s">
        <v>88</v>
      </c>
      <c r="B32" s="664" t="s">
        <v>291</v>
      </c>
      <c r="C32" s="528"/>
    </row>
    <row r="33" spans="1:3" s="314" customFormat="1" ht="12.75" customHeight="1" thickBot="1">
      <c r="A33" s="656" t="s">
        <v>89</v>
      </c>
      <c r="B33" s="665" t="s">
        <v>292</v>
      </c>
      <c r="C33" s="666"/>
    </row>
    <row r="34" spans="1:3" s="272" customFormat="1" ht="12.75" customHeight="1" thickBot="1">
      <c r="A34" s="660" t="s">
        <v>22</v>
      </c>
      <c r="B34" s="397" t="s">
        <v>377</v>
      </c>
      <c r="C34" s="661"/>
    </row>
    <row r="35" spans="1:3" s="272" customFormat="1" ht="12.75" customHeight="1" thickBot="1">
      <c r="A35" s="660" t="s">
        <v>23</v>
      </c>
      <c r="B35" s="397" t="s">
        <v>409</v>
      </c>
      <c r="C35" s="667"/>
    </row>
    <row r="36" spans="1:3" s="272" customFormat="1" ht="12.75" customHeight="1" thickBot="1">
      <c r="A36" s="577" t="s">
        <v>24</v>
      </c>
      <c r="B36" s="397" t="s">
        <v>525</v>
      </c>
      <c r="C36" s="268">
        <f>+C8+C20+C25+C26+C30+C34+C35</f>
        <v>0</v>
      </c>
    </row>
    <row r="37" spans="1:3" s="272" customFormat="1" ht="12.75" customHeight="1" thickBot="1">
      <c r="A37" s="486" t="s">
        <v>25</v>
      </c>
      <c r="B37" s="397" t="s">
        <v>411</v>
      </c>
      <c r="C37" s="268">
        <f>+C38+C39+C40</f>
        <v>0</v>
      </c>
    </row>
    <row r="38" spans="1:3" s="272" customFormat="1" ht="12.75" customHeight="1">
      <c r="A38" s="662" t="s">
        <v>412</v>
      </c>
      <c r="B38" s="663" t="s">
        <v>237</v>
      </c>
      <c r="C38" s="511"/>
    </row>
    <row r="39" spans="1:3" s="272" customFormat="1" ht="12.75" customHeight="1">
      <c r="A39" s="662" t="s">
        <v>413</v>
      </c>
      <c r="B39" s="664" t="s">
        <v>0</v>
      </c>
      <c r="C39" s="528"/>
    </row>
    <row r="40" spans="1:3" s="314" customFormat="1" ht="12.75" customHeight="1" thickBot="1">
      <c r="A40" s="656" t="s">
        <v>414</v>
      </c>
      <c r="B40" s="665" t="s">
        <v>415</v>
      </c>
      <c r="C40" s="666"/>
    </row>
    <row r="41" spans="1:3" s="314" customFormat="1" ht="15" customHeight="1" thickBot="1">
      <c r="A41" s="486" t="s">
        <v>26</v>
      </c>
      <c r="B41" s="668" t="s">
        <v>416</v>
      </c>
      <c r="C41" s="586">
        <f>+C36+C37</f>
        <v>0</v>
      </c>
    </row>
    <row r="42" spans="1:3" s="314" customFormat="1" ht="9" customHeight="1">
      <c r="A42" s="582"/>
      <c r="B42" s="583"/>
      <c r="C42" s="584"/>
    </row>
    <row r="43" spans="1:3" ht="9" customHeight="1" thickBot="1">
      <c r="A43" s="669"/>
      <c r="B43" s="670"/>
      <c r="C43" s="671"/>
    </row>
    <row r="44" spans="1:3" s="313" customFormat="1" ht="16.5" customHeight="1" thickBot="1">
      <c r="A44" s="575"/>
      <c r="B44" s="585" t="s">
        <v>57</v>
      </c>
      <c r="C44" s="586"/>
    </row>
    <row r="45" spans="1:3" s="315" customFormat="1" ht="12.75" customHeight="1" thickBot="1">
      <c r="A45" s="660" t="s">
        <v>17</v>
      </c>
      <c r="B45" s="397" t="s">
        <v>417</v>
      </c>
      <c r="C45" s="524">
        <f>SUM(C46:C50)</f>
        <v>0</v>
      </c>
    </row>
    <row r="46" spans="1:3" ht="12.75" customHeight="1">
      <c r="A46" s="656" t="s">
        <v>94</v>
      </c>
      <c r="B46" s="398" t="s">
        <v>48</v>
      </c>
      <c r="C46" s="511"/>
    </row>
    <row r="47" spans="1:3" ht="12.75" customHeight="1">
      <c r="A47" s="656" t="s">
        <v>95</v>
      </c>
      <c r="B47" s="395" t="s">
        <v>180</v>
      </c>
      <c r="C47" s="517"/>
    </row>
    <row r="48" spans="1:3" ht="12.75" customHeight="1">
      <c r="A48" s="656" t="s">
        <v>96</v>
      </c>
      <c r="B48" s="395" t="s">
        <v>137</v>
      </c>
      <c r="C48" s="517"/>
    </row>
    <row r="49" spans="1:3" ht="12.75" customHeight="1">
      <c r="A49" s="656" t="s">
        <v>97</v>
      </c>
      <c r="B49" s="395" t="s">
        <v>181</v>
      </c>
      <c r="C49" s="517"/>
    </row>
    <row r="50" spans="1:3" ht="12.75" customHeight="1" thickBot="1">
      <c r="A50" s="656" t="s">
        <v>145</v>
      </c>
      <c r="B50" s="395" t="s">
        <v>182</v>
      </c>
      <c r="C50" s="517"/>
    </row>
    <row r="51" spans="1:3" ht="12.75" customHeight="1" thickBot="1">
      <c r="A51" s="660" t="s">
        <v>18</v>
      </c>
      <c r="B51" s="397" t="s">
        <v>418</v>
      </c>
      <c r="C51" s="524">
        <f>SUM(C52:C54)</f>
        <v>0</v>
      </c>
    </row>
    <row r="52" spans="1:3" s="315" customFormat="1" ht="12.75" customHeight="1">
      <c r="A52" s="656" t="s">
        <v>100</v>
      </c>
      <c r="B52" s="398" t="s">
        <v>228</v>
      </c>
      <c r="C52" s="511"/>
    </row>
    <row r="53" spans="1:3" ht="12.75" customHeight="1">
      <c r="A53" s="656" t="s">
        <v>101</v>
      </c>
      <c r="B53" s="395" t="s">
        <v>184</v>
      </c>
      <c r="C53" s="517"/>
    </row>
    <row r="54" spans="1:3" ht="12.75" customHeight="1">
      <c r="A54" s="656" t="s">
        <v>102</v>
      </c>
      <c r="B54" s="395" t="s">
        <v>58</v>
      </c>
      <c r="C54" s="517"/>
    </row>
    <row r="55" spans="1:3" ht="12.75" customHeight="1" thickBot="1">
      <c r="A55" s="656" t="s">
        <v>103</v>
      </c>
      <c r="B55" s="395" t="s">
        <v>522</v>
      </c>
      <c r="C55" s="517"/>
    </row>
    <row r="56" spans="1:3" ht="15" customHeight="1" thickBot="1">
      <c r="A56" s="660" t="s">
        <v>19</v>
      </c>
      <c r="B56" s="397" t="s">
        <v>11</v>
      </c>
      <c r="C56" s="661"/>
    </row>
    <row r="57" spans="1:3" ht="13.5" thickBot="1">
      <c r="A57" s="660" t="s">
        <v>20</v>
      </c>
      <c r="B57" s="672" t="s">
        <v>526</v>
      </c>
      <c r="C57" s="673">
        <f>+C45+C51+C56</f>
        <v>0</v>
      </c>
    </row>
    <row r="58" spans="1:3" ht="9.75" customHeight="1" thickBot="1">
      <c r="A58" s="587"/>
      <c r="B58" s="588"/>
      <c r="C58" s="589"/>
    </row>
    <row r="59" spans="1:3" ht="14.25" customHeight="1" thickBot="1">
      <c r="A59" s="214" t="s">
        <v>517</v>
      </c>
      <c r="B59" s="215"/>
      <c r="C59" s="105"/>
    </row>
    <row r="60" spans="1:3" ht="13.5" thickBot="1">
      <c r="A60" s="214" t="s">
        <v>203</v>
      </c>
      <c r="B60" s="215"/>
      <c r="C60" s="105"/>
    </row>
  </sheetData>
  <sheetProtection formatCells="0"/>
  <printOptions horizontalCentered="1"/>
  <pageMargins left="0.3937007874015748" right="0.3937007874015748" top="0.984251968503937" bottom="0.7874015748031497" header="0.7874015748031497" footer="0.7874015748031497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68"/>
  <sheetViews>
    <sheetView zoomScalePageLayoutView="0" workbookViewId="0" topLeftCell="A1">
      <selection activeCell="B1" sqref="B1:E1"/>
    </sheetView>
  </sheetViews>
  <sheetFormatPr defaultColWidth="9.375" defaultRowHeight="12.75"/>
  <cols>
    <col min="1" max="1" width="4.50390625" style="674" customWidth="1"/>
    <col min="2" max="2" width="53.125" style="674" customWidth="1"/>
    <col min="3" max="3" width="17.875" style="674" customWidth="1"/>
    <col min="4" max="4" width="46.875" style="674" customWidth="1"/>
    <col min="5" max="5" width="17.875" style="674" customWidth="1"/>
    <col min="6" max="16384" width="9.375" style="674" customWidth="1"/>
  </cols>
  <sheetData>
    <row r="1" spans="2:5" ht="15.75">
      <c r="B1" s="1530" t="s">
        <v>647</v>
      </c>
      <c r="C1" s="1530"/>
      <c r="D1" s="1530"/>
      <c r="E1" s="1530"/>
    </row>
    <row r="2" ht="42" customHeight="1"/>
    <row r="3" spans="1:5" s="675" customFormat="1" ht="31.5" customHeight="1">
      <c r="A3" s="1531" t="s">
        <v>653</v>
      </c>
      <c r="B3" s="1532"/>
      <c r="C3" s="1532"/>
      <c r="D3" s="1532"/>
      <c r="E3" s="1532"/>
    </row>
    <row r="4" spans="1:5" ht="15.75">
      <c r="A4" s="1533"/>
      <c r="B4" s="1426"/>
      <c r="C4" s="1426"/>
      <c r="D4" s="1426"/>
      <c r="E4" s="1426"/>
    </row>
    <row r="5" spans="2:5" ht="15.75">
      <c r="B5" s="676"/>
      <c r="C5" s="676"/>
      <c r="D5" s="676"/>
      <c r="E5" s="676"/>
    </row>
    <row r="6" spans="2:5" ht="15.75">
      <c r="B6" s="676"/>
      <c r="C6" s="676"/>
      <c r="D6" s="676"/>
      <c r="E6" s="676"/>
    </row>
    <row r="7" ht="11.25" customHeight="1" thickBot="1"/>
    <row r="8" spans="2:5" ht="16.5" thickBot="1">
      <c r="B8" s="677"/>
      <c r="C8" s="1534" t="s">
        <v>660</v>
      </c>
      <c r="D8" s="1535"/>
      <c r="E8" s="1536"/>
    </row>
    <row r="9" spans="1:5" s="675" customFormat="1" ht="45" customHeight="1">
      <c r="A9" s="678"/>
      <c r="B9" s="679" t="s">
        <v>201</v>
      </c>
      <c r="C9" s="680" t="s">
        <v>648</v>
      </c>
      <c r="D9" s="705" t="s">
        <v>201</v>
      </c>
      <c r="E9" s="681" t="s">
        <v>652</v>
      </c>
    </row>
    <row r="10" spans="1:5" ht="16.5" customHeight="1">
      <c r="A10" s="682" t="s">
        <v>17</v>
      </c>
      <c r="B10" s="706" t="s">
        <v>549</v>
      </c>
      <c r="C10" s="684">
        <f>129-1-6+2</f>
        <v>124</v>
      </c>
      <c r="D10" s="706" t="s">
        <v>549</v>
      </c>
      <c r="E10" s="685">
        <v>128</v>
      </c>
    </row>
    <row r="11" spans="1:5" ht="16.5" customHeight="1">
      <c r="A11" s="682" t="s">
        <v>18</v>
      </c>
      <c r="B11" s="683" t="s">
        <v>649</v>
      </c>
      <c r="C11" s="684">
        <v>1</v>
      </c>
      <c r="D11" s="706" t="s">
        <v>649</v>
      </c>
      <c r="E11" s="685">
        <v>2</v>
      </c>
    </row>
    <row r="12" spans="1:5" ht="16.5" customHeight="1">
      <c r="A12" s="682" t="s">
        <v>19</v>
      </c>
      <c r="B12" s="683" t="s">
        <v>650</v>
      </c>
      <c r="C12" s="684">
        <v>7</v>
      </c>
      <c r="D12" s="706" t="s">
        <v>650</v>
      </c>
      <c r="E12" s="685">
        <v>7</v>
      </c>
    </row>
    <row r="13" spans="1:5" ht="16.5" customHeight="1">
      <c r="A13" s="682" t="s">
        <v>20</v>
      </c>
      <c r="B13" s="683" t="s">
        <v>551</v>
      </c>
      <c r="C13" s="684">
        <v>190</v>
      </c>
      <c r="D13" s="706" t="s">
        <v>551</v>
      </c>
      <c r="E13" s="685">
        <v>192</v>
      </c>
    </row>
    <row r="14" spans="1:5" ht="16.5" customHeight="1">
      <c r="A14" s="682" t="s">
        <v>21</v>
      </c>
      <c r="B14" s="683" t="s">
        <v>651</v>
      </c>
      <c r="C14" s="684">
        <v>20.5</v>
      </c>
      <c r="D14" s="706" t="s">
        <v>651</v>
      </c>
      <c r="E14" s="685">
        <v>20.5</v>
      </c>
    </row>
    <row r="15" spans="1:5" ht="16.5" customHeight="1">
      <c r="A15" s="682" t="s">
        <v>22</v>
      </c>
      <c r="B15" s="683" t="s">
        <v>554</v>
      </c>
      <c r="C15" s="684">
        <v>79</v>
      </c>
      <c r="D15" s="706" t="str">
        <f>B15</f>
        <v>Siófok Város Gondozási Központja</v>
      </c>
      <c r="E15" s="685">
        <v>79</v>
      </c>
    </row>
    <row r="16" spans="1:5" ht="16.5" customHeight="1" thickBot="1">
      <c r="A16" s="686" t="s">
        <v>23</v>
      </c>
      <c r="B16" s="708" t="s">
        <v>553</v>
      </c>
      <c r="C16" s="687">
        <v>13</v>
      </c>
      <c r="D16" s="707" t="str">
        <f>B16</f>
        <v>BRTK Könyvtár és Kálmán Imre Emlékház</v>
      </c>
      <c r="E16" s="688">
        <v>13</v>
      </c>
    </row>
    <row r="17" spans="3:5" ht="6.75" customHeight="1" thickBot="1">
      <c r="C17" s="689"/>
      <c r="D17" s="689"/>
      <c r="E17" s="689"/>
    </row>
    <row r="18" spans="1:5" ht="16.5" customHeight="1" thickBot="1">
      <c r="A18" s="1537" t="s">
        <v>606</v>
      </c>
      <c r="B18" s="1537"/>
      <c r="C18" s="690">
        <f>C10+C13+C14+C15+C16+C11+C12</f>
        <v>434.5</v>
      </c>
      <c r="D18" s="690"/>
      <c r="E18" s="690">
        <f>E10+E13+E14+E15+E16+E11+E12</f>
        <v>441.5</v>
      </c>
    </row>
    <row r="19" spans="3:5" ht="16.5" customHeight="1">
      <c r="C19" s="691"/>
      <c r="D19" s="691"/>
      <c r="E19" s="691"/>
    </row>
    <row r="20" spans="3:5" ht="16.5" customHeight="1">
      <c r="C20" s="689"/>
      <c r="D20" s="689"/>
      <c r="E20" s="689"/>
    </row>
    <row r="21" spans="3:5" ht="16.5" customHeight="1">
      <c r="C21" s="689"/>
      <c r="D21" s="689"/>
      <c r="E21" s="689"/>
    </row>
    <row r="22" ht="16.5" customHeight="1"/>
    <row r="23" ht="16.5" customHeight="1"/>
    <row r="24" ht="16.5" customHeight="1"/>
    <row r="25" ht="16.5" customHeight="1"/>
    <row r="26" ht="16.5" customHeight="1"/>
    <row r="27" ht="18" customHeight="1"/>
    <row r="28" spans="2:5" ht="16.5" customHeight="1">
      <c r="B28" s="692"/>
      <c r="C28" s="693"/>
      <c r="D28" s="693"/>
      <c r="E28" s="689"/>
    </row>
    <row r="29" spans="2:5" ht="16.5" customHeight="1">
      <c r="B29" s="692"/>
      <c r="C29" s="693"/>
      <c r="D29" s="693"/>
      <c r="E29" s="689"/>
    </row>
    <row r="30" spans="2:5" ht="16.5" customHeight="1">
      <c r="B30" s="694"/>
      <c r="C30" s="693"/>
      <c r="D30" s="693"/>
      <c r="E30" s="689"/>
    </row>
    <row r="31" spans="2:5" ht="16.5" customHeight="1">
      <c r="B31" s="692"/>
      <c r="C31" s="693"/>
      <c r="D31" s="693"/>
      <c r="E31" s="689"/>
    </row>
    <row r="32" spans="2:5" ht="16.5" customHeight="1">
      <c r="B32" s="692"/>
      <c r="C32" s="693"/>
      <c r="D32" s="693"/>
      <c r="E32" s="689"/>
    </row>
    <row r="33" spans="2:5" ht="16.5" customHeight="1">
      <c r="B33" s="692"/>
      <c r="C33" s="693"/>
      <c r="D33" s="693"/>
      <c r="E33" s="689"/>
    </row>
    <row r="34" spans="2:5" ht="16.5" customHeight="1">
      <c r="B34" s="692"/>
      <c r="C34" s="693"/>
      <c r="D34" s="693"/>
      <c r="E34" s="689"/>
    </row>
    <row r="35" spans="2:5" ht="16.5" customHeight="1">
      <c r="B35" s="692"/>
      <c r="C35" s="693"/>
      <c r="D35" s="693"/>
      <c r="E35" s="689"/>
    </row>
    <row r="36" spans="2:5" s="695" customFormat="1" ht="16.5" customHeight="1">
      <c r="B36" s="696"/>
      <c r="C36" s="697"/>
      <c r="D36" s="697"/>
      <c r="E36" s="698"/>
    </row>
    <row r="37" spans="2:5" ht="17.25" customHeight="1">
      <c r="B37" s="694"/>
      <c r="C37" s="693"/>
      <c r="D37" s="693"/>
      <c r="E37" s="689"/>
    </row>
    <row r="38" spans="2:5" ht="16.5" customHeight="1">
      <c r="B38" s="699"/>
      <c r="C38" s="693"/>
      <c r="D38" s="693"/>
      <c r="E38" s="689"/>
    </row>
    <row r="39" spans="2:5" ht="16.5" customHeight="1">
      <c r="B39" s="694"/>
      <c r="C39" s="693"/>
      <c r="D39" s="693"/>
      <c r="E39" s="689"/>
    </row>
    <row r="40" spans="2:5" ht="16.5" customHeight="1">
      <c r="B40" s="694"/>
      <c r="C40" s="693"/>
      <c r="D40" s="693"/>
      <c r="E40" s="689"/>
    </row>
    <row r="41" spans="2:5" ht="16.5" customHeight="1">
      <c r="B41" s="694"/>
      <c r="C41" s="700"/>
      <c r="D41" s="700"/>
      <c r="E41" s="689"/>
    </row>
    <row r="42" spans="2:5" ht="16.5" customHeight="1">
      <c r="B42" s="692"/>
      <c r="C42" s="693"/>
      <c r="D42" s="693"/>
      <c r="E42" s="689"/>
    </row>
    <row r="43" spans="2:5" ht="16.5" customHeight="1">
      <c r="B43" s="692"/>
      <c r="C43" s="693"/>
      <c r="D43" s="693"/>
      <c r="E43" s="689"/>
    </row>
    <row r="44" spans="2:5" s="695" customFormat="1" ht="16.5" customHeight="1">
      <c r="B44" s="696"/>
      <c r="C44" s="697"/>
      <c r="D44" s="697"/>
      <c r="E44" s="698"/>
    </row>
    <row r="45" spans="2:5" ht="7.5" customHeight="1">
      <c r="B45" s="696"/>
      <c r="C45" s="689"/>
      <c r="D45" s="689"/>
      <c r="E45" s="689"/>
    </row>
    <row r="46" spans="2:5" s="701" customFormat="1" ht="16.5" customHeight="1">
      <c r="B46" s="702"/>
      <c r="C46" s="693"/>
      <c r="D46" s="693"/>
      <c r="E46" s="689"/>
    </row>
    <row r="47" spans="2:5" s="701" customFormat="1" ht="16.5" customHeight="1">
      <c r="B47" s="702"/>
      <c r="C47" s="693"/>
      <c r="D47" s="693"/>
      <c r="E47" s="689"/>
    </row>
    <row r="48" spans="2:5" s="701" customFormat="1" ht="16.5" customHeight="1">
      <c r="B48" s="694"/>
      <c r="C48" s="693"/>
      <c r="D48" s="693"/>
      <c r="E48" s="689"/>
    </row>
    <row r="49" spans="2:5" s="701" customFormat="1" ht="16.5" customHeight="1">
      <c r="B49" s="694"/>
      <c r="C49" s="700"/>
      <c r="D49" s="700"/>
      <c r="E49" s="689"/>
    </row>
    <row r="50" spans="2:5" s="695" customFormat="1" ht="16.5" customHeight="1">
      <c r="B50" s="694"/>
      <c r="C50" s="693"/>
      <c r="D50" s="693"/>
      <c r="E50" s="693"/>
    </row>
    <row r="51" spans="2:5" ht="17.25" customHeight="1">
      <c r="B51" s="694"/>
      <c r="C51" s="693"/>
      <c r="D51" s="693"/>
      <c r="E51" s="693"/>
    </row>
    <row r="52" spans="2:5" ht="15.75">
      <c r="B52" s="694"/>
      <c r="C52" s="693"/>
      <c r="D52" s="693"/>
      <c r="E52" s="693"/>
    </row>
    <row r="53" spans="2:5" ht="15.75">
      <c r="B53" s="694"/>
      <c r="C53" s="693"/>
      <c r="D53" s="693"/>
      <c r="E53" s="693"/>
    </row>
    <row r="54" spans="2:5" ht="15.75">
      <c r="B54" s="703"/>
      <c r="C54" s="698"/>
      <c r="D54" s="698"/>
      <c r="E54" s="698"/>
    </row>
    <row r="55" spans="2:5" ht="15.75">
      <c r="B55" s="694"/>
      <c r="C55" s="693"/>
      <c r="D55" s="693"/>
      <c r="E55" s="693"/>
    </row>
    <row r="56" spans="2:5" ht="15.75">
      <c r="B56" s="694"/>
      <c r="C56" s="700"/>
      <c r="D56" s="700"/>
      <c r="E56" s="693"/>
    </row>
    <row r="57" spans="2:5" ht="15.75">
      <c r="B57" s="694"/>
      <c r="C57" s="700"/>
      <c r="D57" s="700"/>
      <c r="E57" s="693"/>
    </row>
    <row r="58" spans="2:5" ht="15.75">
      <c r="B58" s="694"/>
      <c r="C58" s="700"/>
      <c r="D58" s="700"/>
      <c r="E58" s="693"/>
    </row>
    <row r="59" spans="2:5" ht="15.75">
      <c r="B59" s="694"/>
      <c r="C59" s="700"/>
      <c r="D59" s="700"/>
      <c r="E59" s="693"/>
    </row>
    <row r="60" spans="2:5" ht="15.75">
      <c r="B60" s="694"/>
      <c r="C60" s="700"/>
      <c r="D60" s="700"/>
      <c r="E60" s="693"/>
    </row>
    <row r="61" spans="2:5" ht="15.75">
      <c r="B61" s="694"/>
      <c r="C61" s="700"/>
      <c r="D61" s="700"/>
      <c r="E61" s="693"/>
    </row>
    <row r="62" spans="2:5" ht="15.75">
      <c r="B62" s="704"/>
      <c r="C62" s="698"/>
      <c r="D62" s="698"/>
      <c r="E62" s="698"/>
    </row>
    <row r="63" spans="2:5" ht="15.75">
      <c r="B63" s="704"/>
      <c r="C63" s="693"/>
      <c r="D63" s="693"/>
      <c r="E63" s="693"/>
    </row>
    <row r="64" spans="2:5" ht="15.75">
      <c r="B64" s="699"/>
      <c r="C64" s="693"/>
      <c r="D64" s="693"/>
      <c r="E64" s="693"/>
    </row>
    <row r="65" spans="2:5" ht="15.75">
      <c r="B65" s="699"/>
      <c r="C65" s="693"/>
      <c r="D65" s="693"/>
      <c r="E65" s="693"/>
    </row>
    <row r="66" spans="2:5" ht="15.75">
      <c r="B66" s="694"/>
      <c r="C66" s="693"/>
      <c r="D66" s="693"/>
      <c r="E66" s="693"/>
    </row>
    <row r="67" spans="2:5" ht="15.75">
      <c r="B67" s="694"/>
      <c r="C67" s="693"/>
      <c r="D67" s="693"/>
      <c r="E67" s="693"/>
    </row>
    <row r="68" spans="2:5" ht="15.75">
      <c r="B68" s="704"/>
      <c r="C68" s="697"/>
      <c r="D68" s="697"/>
      <c r="E68" s="697"/>
    </row>
  </sheetData>
  <sheetProtection/>
  <mergeCells count="5">
    <mergeCell ref="B1:E1"/>
    <mergeCell ref="A3:E3"/>
    <mergeCell ref="A4:E4"/>
    <mergeCell ref="C8:E8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D64"/>
  <sheetViews>
    <sheetView zoomScalePageLayoutView="0" workbookViewId="0" topLeftCell="A1">
      <selection activeCell="B1" sqref="B1:D1"/>
    </sheetView>
  </sheetViews>
  <sheetFormatPr defaultColWidth="9.375" defaultRowHeight="12.75"/>
  <cols>
    <col min="1" max="1" width="6.00390625" style="674" customWidth="1"/>
    <col min="2" max="2" width="57.125" style="674" customWidth="1"/>
    <col min="3" max="3" width="18.875" style="674" customWidth="1"/>
    <col min="4" max="4" width="17.875" style="674" customWidth="1"/>
    <col min="5" max="16384" width="9.375" style="674" customWidth="1"/>
  </cols>
  <sheetData>
    <row r="1" spans="2:4" ht="15.75">
      <c r="B1" s="1530" t="s">
        <v>654</v>
      </c>
      <c r="C1" s="1530"/>
      <c r="D1" s="1530"/>
    </row>
    <row r="2" ht="45" customHeight="1"/>
    <row r="3" spans="1:4" ht="31.5" customHeight="1">
      <c r="A3" s="1538" t="s">
        <v>657</v>
      </c>
      <c r="B3" s="1539"/>
      <c r="C3" s="1539"/>
      <c r="D3" s="1539"/>
    </row>
    <row r="4" spans="1:4" ht="15.75">
      <c r="A4" s="1533"/>
      <c r="B4" s="1426"/>
      <c r="C4" s="1426"/>
      <c r="D4" s="1426"/>
    </row>
    <row r="5" spans="2:4" ht="15.75">
      <c r="B5" s="676"/>
      <c r="C5" s="676"/>
      <c r="D5" s="676"/>
    </row>
    <row r="6" spans="2:4" ht="15.75">
      <c r="B6" s="676"/>
      <c r="C6" s="676"/>
      <c r="D6" s="676"/>
    </row>
    <row r="7" spans="2:4" ht="15.75">
      <c r="B7" s="676"/>
      <c r="C7" s="676"/>
      <c r="D7" s="676"/>
    </row>
    <row r="8" ht="11.25" customHeight="1" thickBot="1"/>
    <row r="9" spans="2:4" ht="34.5" customHeight="1" thickBot="1">
      <c r="B9" s="677"/>
      <c r="C9" s="1540" t="s">
        <v>659</v>
      </c>
      <c r="D9" s="1541"/>
    </row>
    <row r="10" spans="1:4" s="675" customFormat="1" ht="45" customHeight="1">
      <c r="A10" s="678"/>
      <c r="B10" s="709" t="s">
        <v>201</v>
      </c>
      <c r="C10" s="680" t="s">
        <v>658</v>
      </c>
      <c r="D10" s="681" t="s">
        <v>1213</v>
      </c>
    </row>
    <row r="11" spans="1:4" s="675" customFormat="1" ht="37.5" customHeight="1">
      <c r="A11" s="1383" t="s">
        <v>17</v>
      </c>
      <c r="B11" s="1384" t="s">
        <v>655</v>
      </c>
      <c r="C11" s="1385">
        <v>14</v>
      </c>
      <c r="D11" s="1386">
        <f>14+11+1+12</f>
        <v>38</v>
      </c>
    </row>
    <row r="12" spans="1:4" ht="48" hidden="1" thickBot="1">
      <c r="A12" s="710" t="s">
        <v>18</v>
      </c>
      <c r="B12" s="711" t="s">
        <v>656</v>
      </c>
      <c r="C12" s="712">
        <v>0</v>
      </c>
      <c r="D12" s="713">
        <v>0</v>
      </c>
    </row>
    <row r="13" spans="3:4" ht="9" customHeight="1" thickBot="1">
      <c r="C13" s="689"/>
      <c r="D13" s="689"/>
    </row>
    <row r="14" spans="1:4" ht="16.5" customHeight="1" thickBot="1">
      <c r="A14" s="1537" t="s">
        <v>606</v>
      </c>
      <c r="B14" s="1537"/>
      <c r="C14" s="690">
        <f>C11+C12</f>
        <v>14</v>
      </c>
      <c r="D14" s="690">
        <f>D11+D12</f>
        <v>38</v>
      </c>
    </row>
    <row r="15" spans="3:4" ht="16.5" customHeight="1">
      <c r="C15" s="691"/>
      <c r="D15" s="691"/>
    </row>
    <row r="16" spans="3:4" ht="16.5" customHeight="1">
      <c r="C16" s="689"/>
      <c r="D16" s="689"/>
    </row>
    <row r="17" spans="3:4" ht="16.5" customHeight="1">
      <c r="C17" s="689"/>
      <c r="D17" s="689"/>
    </row>
    <row r="18" ht="16.5" customHeight="1"/>
    <row r="19" ht="16.5" customHeight="1"/>
    <row r="20" ht="16.5" customHeight="1"/>
    <row r="21" ht="16.5" customHeight="1"/>
    <row r="22" ht="16.5" customHeight="1"/>
    <row r="23" ht="18" customHeight="1"/>
    <row r="24" spans="2:4" ht="16.5" customHeight="1">
      <c r="B24" s="692"/>
      <c r="C24" s="693"/>
      <c r="D24" s="689"/>
    </row>
    <row r="25" spans="2:4" ht="16.5" customHeight="1">
      <c r="B25" s="692"/>
      <c r="C25" s="693"/>
      <c r="D25" s="689"/>
    </row>
    <row r="26" spans="2:4" ht="16.5" customHeight="1">
      <c r="B26" s="694"/>
      <c r="C26" s="693"/>
      <c r="D26" s="689"/>
    </row>
    <row r="27" spans="2:4" ht="16.5" customHeight="1">
      <c r="B27" s="692"/>
      <c r="C27" s="693"/>
      <c r="D27" s="689"/>
    </row>
    <row r="28" spans="2:4" ht="16.5" customHeight="1">
      <c r="B28" s="692"/>
      <c r="C28" s="693"/>
      <c r="D28" s="689"/>
    </row>
    <row r="29" spans="2:4" ht="16.5" customHeight="1">
      <c r="B29" s="692"/>
      <c r="C29" s="693"/>
      <c r="D29" s="689"/>
    </row>
    <row r="30" spans="2:4" ht="16.5" customHeight="1">
      <c r="B30" s="692"/>
      <c r="C30" s="693"/>
      <c r="D30" s="689"/>
    </row>
    <row r="31" spans="2:4" ht="16.5" customHeight="1">
      <c r="B31" s="692"/>
      <c r="C31" s="693"/>
      <c r="D31" s="689"/>
    </row>
    <row r="32" spans="2:4" s="695" customFormat="1" ht="16.5" customHeight="1">
      <c r="B32" s="696"/>
      <c r="C32" s="697"/>
      <c r="D32" s="698"/>
    </row>
    <row r="33" spans="2:4" ht="17.25" customHeight="1">
      <c r="B33" s="694"/>
      <c r="C33" s="693"/>
      <c r="D33" s="689"/>
    </row>
    <row r="34" spans="2:4" ht="16.5" customHeight="1">
      <c r="B34" s="699"/>
      <c r="C34" s="693"/>
      <c r="D34" s="689"/>
    </row>
    <row r="35" spans="2:4" ht="16.5" customHeight="1">
      <c r="B35" s="694"/>
      <c r="C35" s="693"/>
      <c r="D35" s="689"/>
    </row>
    <row r="36" spans="2:4" ht="16.5" customHeight="1">
      <c r="B36" s="694"/>
      <c r="C36" s="693"/>
      <c r="D36" s="689"/>
    </row>
    <row r="37" spans="2:4" ht="16.5" customHeight="1">
      <c r="B37" s="694"/>
      <c r="C37" s="700"/>
      <c r="D37" s="689"/>
    </row>
    <row r="38" spans="2:4" ht="16.5" customHeight="1">
      <c r="B38" s="692"/>
      <c r="C38" s="693"/>
      <c r="D38" s="689"/>
    </row>
    <row r="39" spans="2:4" ht="16.5" customHeight="1">
      <c r="B39" s="692"/>
      <c r="C39" s="693"/>
      <c r="D39" s="689"/>
    </row>
    <row r="40" spans="2:4" s="695" customFormat="1" ht="16.5" customHeight="1">
      <c r="B40" s="696"/>
      <c r="C40" s="697"/>
      <c r="D40" s="698"/>
    </row>
    <row r="41" spans="2:4" ht="7.5" customHeight="1">
      <c r="B41" s="696"/>
      <c r="C41" s="689"/>
      <c r="D41" s="689"/>
    </row>
    <row r="42" spans="2:4" s="701" customFormat="1" ht="16.5" customHeight="1">
      <c r="B42" s="702"/>
      <c r="C42" s="693"/>
      <c r="D42" s="689"/>
    </row>
    <row r="43" spans="2:4" s="701" customFormat="1" ht="16.5" customHeight="1">
      <c r="B43" s="702"/>
      <c r="C43" s="693"/>
      <c r="D43" s="689"/>
    </row>
    <row r="44" spans="2:4" s="701" customFormat="1" ht="16.5" customHeight="1">
      <c r="B44" s="694"/>
      <c r="C44" s="693"/>
      <c r="D44" s="689"/>
    </row>
    <row r="45" spans="2:4" s="701" customFormat="1" ht="16.5" customHeight="1">
      <c r="B45" s="694"/>
      <c r="C45" s="700"/>
      <c r="D45" s="689"/>
    </row>
    <row r="46" spans="2:4" s="695" customFormat="1" ht="16.5" customHeight="1">
      <c r="B46" s="694"/>
      <c r="C46" s="693"/>
      <c r="D46" s="693"/>
    </row>
    <row r="47" spans="2:4" ht="17.25" customHeight="1">
      <c r="B47" s="694"/>
      <c r="C47" s="693"/>
      <c r="D47" s="693"/>
    </row>
    <row r="48" spans="2:4" ht="15.75">
      <c r="B48" s="694"/>
      <c r="C48" s="693"/>
      <c r="D48" s="693"/>
    </row>
    <row r="49" spans="2:4" ht="15.75">
      <c r="B49" s="694"/>
      <c r="C49" s="693"/>
      <c r="D49" s="693"/>
    </row>
    <row r="50" spans="2:4" ht="15.75">
      <c r="B50" s="703"/>
      <c r="C50" s="698"/>
      <c r="D50" s="698"/>
    </row>
    <row r="51" spans="2:4" ht="15.75">
      <c r="B51" s="694"/>
      <c r="C51" s="693"/>
      <c r="D51" s="693"/>
    </row>
    <row r="52" spans="2:4" ht="15.75">
      <c r="B52" s="694"/>
      <c r="C52" s="700"/>
      <c r="D52" s="693"/>
    </row>
    <row r="53" spans="2:4" ht="15.75">
      <c r="B53" s="694"/>
      <c r="C53" s="700"/>
      <c r="D53" s="693"/>
    </row>
    <row r="54" spans="2:4" ht="15.75">
      <c r="B54" s="694"/>
      <c r="C54" s="700"/>
      <c r="D54" s="693"/>
    </row>
    <row r="55" spans="2:4" ht="15.75">
      <c r="B55" s="694"/>
      <c r="C55" s="700"/>
      <c r="D55" s="693"/>
    </row>
    <row r="56" spans="2:4" ht="15.75">
      <c r="B56" s="694"/>
      <c r="C56" s="700"/>
      <c r="D56" s="693"/>
    </row>
    <row r="57" spans="2:4" ht="15.75">
      <c r="B57" s="694"/>
      <c r="C57" s="700"/>
      <c r="D57" s="693"/>
    </row>
    <row r="58" spans="2:4" ht="15.75">
      <c r="B58" s="704"/>
      <c r="C58" s="698"/>
      <c r="D58" s="698"/>
    </row>
    <row r="59" spans="2:4" ht="15.75">
      <c r="B59" s="704"/>
      <c r="C59" s="693"/>
      <c r="D59" s="693"/>
    </row>
    <row r="60" spans="2:4" ht="15.75">
      <c r="B60" s="699"/>
      <c r="C60" s="693"/>
      <c r="D60" s="693"/>
    </row>
    <row r="61" spans="2:4" ht="15.75">
      <c r="B61" s="699"/>
      <c r="C61" s="693"/>
      <c r="D61" s="693"/>
    </row>
    <row r="62" spans="2:4" ht="15.75">
      <c r="B62" s="694"/>
      <c r="C62" s="693"/>
      <c r="D62" s="693"/>
    </row>
    <row r="63" spans="2:4" ht="15.75">
      <c r="B63" s="694"/>
      <c r="C63" s="693"/>
      <c r="D63" s="693"/>
    </row>
    <row r="64" spans="2:4" ht="15.75">
      <c r="B64" s="704"/>
      <c r="C64" s="697"/>
      <c r="D64" s="697"/>
    </row>
  </sheetData>
  <sheetProtection/>
  <mergeCells count="5">
    <mergeCell ref="B1:D1"/>
    <mergeCell ref="A3:D3"/>
    <mergeCell ref="A4:D4"/>
    <mergeCell ref="C9:D9"/>
    <mergeCell ref="A14:B1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zoomScalePageLayoutView="0" workbookViewId="0" topLeftCell="A1">
      <selection activeCell="A1" sqref="A1:B1"/>
    </sheetView>
  </sheetViews>
  <sheetFormatPr defaultColWidth="9.375" defaultRowHeight="12.75"/>
  <cols>
    <col min="1" max="1" width="9.375" style="764" customWidth="1"/>
    <col min="2" max="2" width="48.00390625" style="731" customWidth="1"/>
    <col min="3" max="4" width="13.125" style="731" customWidth="1"/>
    <col min="5" max="5" width="11.125" style="731" customWidth="1"/>
    <col min="6" max="6" width="51.50390625" style="731" customWidth="1"/>
    <col min="7" max="7" width="13.50390625" style="731" customWidth="1"/>
    <col min="8" max="8" width="12.875" style="731" customWidth="1"/>
    <col min="9" max="16384" width="9.375" style="731" customWidth="1"/>
  </cols>
  <sheetData>
    <row r="1" spans="1:8" s="716" customFormat="1" ht="13.5" customHeight="1">
      <c r="A1" s="1542" t="s">
        <v>661</v>
      </c>
      <c r="B1" s="1543"/>
      <c r="C1" s="714" t="s">
        <v>662</v>
      </c>
      <c r="D1" s="715"/>
      <c r="E1" s="1544" t="s">
        <v>663</v>
      </c>
      <c r="F1" s="1545"/>
      <c r="G1" s="714" t="s">
        <v>662</v>
      </c>
      <c r="H1" s="715"/>
    </row>
    <row r="2" spans="1:8" s="723" customFormat="1" ht="12.75" customHeight="1">
      <c r="A2" s="717"/>
      <c r="B2" s="718"/>
      <c r="C2" s="719" t="s">
        <v>664</v>
      </c>
      <c r="D2" s="720" t="s">
        <v>665</v>
      </c>
      <c r="E2" s="721"/>
      <c r="F2" s="722"/>
      <c r="G2" s="719" t="s">
        <v>664</v>
      </c>
      <c r="H2" s="720" t="s">
        <v>665</v>
      </c>
    </row>
    <row r="3" spans="1:8" ht="12.75" customHeight="1">
      <c r="A3" s="724"/>
      <c r="B3" s="725"/>
      <c r="C3" s="726">
        <v>320000</v>
      </c>
      <c r="D3" s="727"/>
      <c r="E3" s="728" t="s">
        <v>666</v>
      </c>
      <c r="F3" s="729"/>
      <c r="G3" s="729"/>
      <c r="H3" s="730"/>
    </row>
    <row r="4" spans="1:8" ht="12.75" customHeight="1">
      <c r="A4" s="724" t="s">
        <v>695</v>
      </c>
      <c r="B4" s="732" t="s">
        <v>710</v>
      </c>
      <c r="C4" s="726">
        <v>7708</v>
      </c>
      <c r="D4" s="727"/>
      <c r="E4" s="733"/>
      <c r="F4" s="734" t="s">
        <v>1146</v>
      </c>
      <c r="G4" s="735">
        <v>120000</v>
      </c>
      <c r="H4" s="736"/>
    </row>
    <row r="5" spans="1:8" ht="12.75" customHeight="1">
      <c r="A5" s="724"/>
      <c r="B5" s="725" t="s">
        <v>1180</v>
      </c>
      <c r="C5" s="726">
        <v>2927</v>
      </c>
      <c r="D5" s="727"/>
      <c r="E5" s="737"/>
      <c r="F5" s="734" t="s">
        <v>1147</v>
      </c>
      <c r="G5" s="735">
        <v>30000</v>
      </c>
      <c r="H5" s="738"/>
    </row>
    <row r="6" spans="1:8" ht="12.75" customHeight="1">
      <c r="A6" s="724"/>
      <c r="B6" s="739" t="s">
        <v>1194</v>
      </c>
      <c r="C6" s="726"/>
      <c r="D6" s="727">
        <v>4000</v>
      </c>
      <c r="E6" s="740"/>
      <c r="F6" s="734" t="s">
        <v>1148</v>
      </c>
      <c r="G6" s="735">
        <v>30000</v>
      </c>
      <c r="H6" s="727"/>
    </row>
    <row r="7" spans="1:8" ht="12">
      <c r="A7" s="724"/>
      <c r="B7" s="739" t="s">
        <v>1187</v>
      </c>
      <c r="C7" s="726"/>
      <c r="D7" s="727">
        <v>130</v>
      </c>
      <c r="E7" s="740" t="s">
        <v>695</v>
      </c>
      <c r="F7" s="726" t="s">
        <v>1146</v>
      </c>
      <c r="G7" s="726"/>
      <c r="H7" s="727">
        <v>15000</v>
      </c>
    </row>
    <row r="8" spans="1:8" ht="12">
      <c r="A8" s="724"/>
      <c r="B8" s="739" t="s">
        <v>1196</v>
      </c>
      <c r="C8" s="726"/>
      <c r="D8" s="727">
        <v>260</v>
      </c>
      <c r="E8" s="740"/>
      <c r="F8" s="726" t="s">
        <v>1147</v>
      </c>
      <c r="G8" s="726"/>
      <c r="H8" s="727">
        <v>3000</v>
      </c>
    </row>
    <row r="9" spans="1:8" ht="12.75" customHeight="1">
      <c r="A9" s="724"/>
      <c r="B9" s="739" t="s">
        <v>1197</v>
      </c>
      <c r="C9" s="726"/>
      <c r="D9" s="727">
        <v>9535</v>
      </c>
      <c r="E9" s="740" t="s">
        <v>763</v>
      </c>
      <c r="F9" s="734" t="s">
        <v>1259</v>
      </c>
      <c r="G9" s="735"/>
      <c r="H9" s="727">
        <v>1000</v>
      </c>
    </row>
    <row r="10" spans="1:8" ht="12.75" customHeight="1">
      <c r="A10" s="744"/>
      <c r="B10" s="739" t="s">
        <v>1189</v>
      </c>
      <c r="C10" s="735"/>
      <c r="D10" s="738">
        <v>5000</v>
      </c>
      <c r="E10" s="740"/>
      <c r="F10" s="734"/>
      <c r="G10" s="735"/>
      <c r="H10" s="727"/>
    </row>
    <row r="11" spans="1:8" ht="24">
      <c r="A11" s="744"/>
      <c r="B11" s="739" t="s">
        <v>916</v>
      </c>
      <c r="C11" s="735"/>
      <c r="D11" s="748">
        <v>168</v>
      </c>
      <c r="E11" s="740"/>
      <c r="F11" s="734"/>
      <c r="G11" s="735"/>
      <c r="H11" s="727"/>
    </row>
    <row r="12" spans="1:8" ht="12.75" customHeight="1">
      <c r="A12" s="724"/>
      <c r="B12" s="291" t="s">
        <v>902</v>
      </c>
      <c r="C12" s="726"/>
      <c r="D12" s="727">
        <v>713</v>
      </c>
      <c r="E12" s="740"/>
      <c r="F12" s="734"/>
      <c r="G12" s="735"/>
      <c r="H12" s="727"/>
    </row>
    <row r="13" spans="1:8" ht="12.75" customHeight="1">
      <c r="A13" s="724"/>
      <c r="B13" s="291" t="s">
        <v>864</v>
      </c>
      <c r="C13" s="726">
        <v>289672</v>
      </c>
      <c r="D13" s="727"/>
      <c r="E13" s="740"/>
      <c r="F13" s="734"/>
      <c r="G13" s="735"/>
      <c r="H13" s="727"/>
    </row>
    <row r="14" spans="1:8" ht="12.75" customHeight="1">
      <c r="A14" s="724"/>
      <c r="B14" s="291" t="s">
        <v>1199</v>
      </c>
      <c r="C14" s="726"/>
      <c r="D14" s="727">
        <v>14817</v>
      </c>
      <c r="E14" s="740"/>
      <c r="F14" s="734"/>
      <c r="G14" s="735"/>
      <c r="H14" s="727"/>
    </row>
    <row r="15" spans="1:8" s="746" customFormat="1" ht="12.75" customHeight="1">
      <c r="A15" s="744"/>
      <c r="B15" s="291" t="s">
        <v>1191</v>
      </c>
      <c r="C15" s="735"/>
      <c r="D15" s="738">
        <v>17500</v>
      </c>
      <c r="E15" s="740"/>
      <c r="F15" s="734"/>
      <c r="G15" s="735"/>
      <c r="H15" s="727"/>
    </row>
    <row r="16" spans="1:8" s="746" customFormat="1" ht="12.75" customHeight="1">
      <c r="A16" s="744"/>
      <c r="B16" s="291" t="s">
        <v>938</v>
      </c>
      <c r="C16" s="735"/>
      <c r="D16" s="738">
        <v>277</v>
      </c>
      <c r="E16" s="740"/>
      <c r="F16" s="734"/>
      <c r="G16" s="735"/>
      <c r="H16" s="727"/>
    </row>
    <row r="17" spans="1:8" s="746" customFormat="1" ht="12.75" customHeight="1">
      <c r="A17" s="744"/>
      <c r="B17" s="745" t="s">
        <v>1192</v>
      </c>
      <c r="C17" s="735"/>
      <c r="D17" s="738">
        <v>4988</v>
      </c>
      <c r="E17" s="740"/>
      <c r="F17" s="741" t="s">
        <v>667</v>
      </c>
      <c r="G17" s="742">
        <f>SUM(G4:G16)-SUM(H4:H16)</f>
        <v>161000</v>
      </c>
      <c r="H17" s="727"/>
    </row>
    <row r="18" spans="1:8" s="746" customFormat="1" ht="12">
      <c r="A18" s="744" t="s">
        <v>739</v>
      </c>
      <c r="B18" s="732" t="s">
        <v>1221</v>
      </c>
      <c r="C18" s="735"/>
      <c r="D18" s="738">
        <v>53557</v>
      </c>
      <c r="E18" s="728" t="s">
        <v>668</v>
      </c>
      <c r="F18" s="729"/>
      <c r="G18" s="729"/>
      <c r="H18" s="730"/>
    </row>
    <row r="19" spans="1:8" s="746" customFormat="1" ht="12">
      <c r="A19" s="744"/>
      <c r="B19" s="747" t="s">
        <v>1222</v>
      </c>
      <c r="C19" s="735"/>
      <c r="D19" s="748">
        <v>14849</v>
      </c>
      <c r="E19" s="740"/>
      <c r="F19" s="734" t="s">
        <v>1149</v>
      </c>
      <c r="G19" s="735">
        <v>115961</v>
      </c>
      <c r="H19" s="738"/>
    </row>
    <row r="20" spans="1:8" s="746" customFormat="1" ht="12">
      <c r="A20" s="749"/>
      <c r="B20" s="1199" t="s">
        <v>1223</v>
      </c>
      <c r="C20" s="735"/>
      <c r="D20" s="738">
        <v>1629</v>
      </c>
      <c r="E20" s="740" t="s">
        <v>695</v>
      </c>
      <c r="F20" s="734" t="s">
        <v>1195</v>
      </c>
      <c r="G20" s="735"/>
      <c r="H20" s="727">
        <v>3850</v>
      </c>
    </row>
    <row r="21" spans="1:8" s="746" customFormat="1" ht="12">
      <c r="A21" s="749"/>
      <c r="B21" s="732" t="s">
        <v>910</v>
      </c>
      <c r="C21" s="735"/>
      <c r="D21" s="738">
        <v>8155</v>
      </c>
      <c r="E21" s="740"/>
      <c r="F21" s="734" t="s">
        <v>1198</v>
      </c>
      <c r="G21" s="735"/>
      <c r="H21" s="738">
        <v>22700</v>
      </c>
    </row>
    <row r="22" spans="1:8" s="746" customFormat="1" ht="12">
      <c r="A22" s="749"/>
      <c r="B22" s="732" t="s">
        <v>1220</v>
      </c>
      <c r="C22" s="735"/>
      <c r="D22" s="738">
        <v>3952</v>
      </c>
      <c r="E22" s="740" t="s">
        <v>739</v>
      </c>
      <c r="F22" s="734" t="s">
        <v>1195</v>
      </c>
      <c r="G22" s="735"/>
      <c r="H22" s="738">
        <v>5028</v>
      </c>
    </row>
    <row r="23" spans="1:8" s="746" customFormat="1" ht="12">
      <c r="A23" s="749"/>
      <c r="B23" s="734" t="s">
        <v>1224</v>
      </c>
      <c r="C23" s="735"/>
      <c r="D23" s="738">
        <v>9779</v>
      </c>
      <c r="E23" s="737" t="s">
        <v>763</v>
      </c>
      <c r="F23" s="734" t="s">
        <v>1260</v>
      </c>
      <c r="G23" s="735"/>
      <c r="H23" s="738">
        <v>9560</v>
      </c>
    </row>
    <row r="24" spans="1:8" s="746" customFormat="1" ht="12">
      <c r="A24" s="1200"/>
      <c r="B24" s="291" t="s">
        <v>1225</v>
      </c>
      <c r="C24" s="735"/>
      <c r="D24" s="738">
        <v>1588</v>
      </c>
      <c r="E24" s="737"/>
      <c r="F24" s="734"/>
      <c r="G24" s="735"/>
      <c r="H24" s="738"/>
    </row>
    <row r="25" spans="1:8" s="746" customFormat="1" ht="12">
      <c r="A25" s="1406" t="s">
        <v>763</v>
      </c>
      <c r="B25" s="734" t="s">
        <v>1180</v>
      </c>
      <c r="C25" s="735"/>
      <c r="D25" s="738">
        <v>2927</v>
      </c>
      <c r="E25" s="737"/>
      <c r="F25" s="734"/>
      <c r="G25" s="735"/>
      <c r="H25" s="738"/>
    </row>
    <row r="26" spans="1:8" s="746" customFormat="1" ht="12">
      <c r="A26" s="1200"/>
      <c r="B26" s="734" t="s">
        <v>1251</v>
      </c>
      <c r="C26" s="735">
        <v>3295</v>
      </c>
      <c r="D26" s="738"/>
      <c r="E26" s="737"/>
      <c r="F26" s="734"/>
      <c r="G26" s="735"/>
      <c r="H26" s="738"/>
    </row>
    <row r="27" spans="1:8" s="746" customFormat="1" ht="12">
      <c r="A27" s="1200"/>
      <c r="B27" s="734" t="s">
        <v>1252</v>
      </c>
      <c r="C27" s="735"/>
      <c r="D27" s="738">
        <v>3200</v>
      </c>
      <c r="E27" s="737"/>
      <c r="F27" s="734"/>
      <c r="G27" s="735"/>
      <c r="H27" s="738"/>
    </row>
    <row r="28" spans="1:8" s="746" customFormat="1" ht="12">
      <c r="A28" s="1200"/>
      <c r="B28" s="734" t="s">
        <v>1253</v>
      </c>
      <c r="C28" s="735"/>
      <c r="D28" s="738">
        <v>10000</v>
      </c>
      <c r="E28" s="737"/>
      <c r="F28" s="734"/>
      <c r="G28" s="735"/>
      <c r="H28" s="738"/>
    </row>
    <row r="29" spans="1:8" s="746" customFormat="1" ht="12">
      <c r="A29" s="1200"/>
      <c r="B29" s="1407" t="s">
        <v>1237</v>
      </c>
      <c r="C29" s="735"/>
      <c r="D29" s="738">
        <v>3440</v>
      </c>
      <c r="E29" s="737"/>
      <c r="F29" s="734"/>
      <c r="G29" s="735"/>
      <c r="H29" s="738"/>
    </row>
    <row r="30" spans="1:8" s="746" customFormat="1" ht="12">
      <c r="A30" s="1200"/>
      <c r="B30" s="734" t="s">
        <v>1254</v>
      </c>
      <c r="C30" s="735"/>
      <c r="D30" s="738">
        <v>400</v>
      </c>
      <c r="E30" s="737"/>
      <c r="F30" s="734"/>
      <c r="G30" s="735"/>
      <c r="H30" s="738"/>
    </row>
    <row r="31" spans="1:8" s="746" customFormat="1" ht="12">
      <c r="A31" s="1200"/>
      <c r="B31" s="734" t="s">
        <v>1255</v>
      </c>
      <c r="C31" s="735"/>
      <c r="D31" s="738">
        <v>6579</v>
      </c>
      <c r="E31" s="737"/>
      <c r="F31" s="734"/>
      <c r="G31" s="735"/>
      <c r="H31" s="738"/>
    </row>
    <row r="32" spans="1:8" s="746" customFormat="1" ht="12">
      <c r="A32" s="1200"/>
      <c r="B32" s="734" t="s">
        <v>1250</v>
      </c>
      <c r="C32" s="735"/>
      <c r="D32" s="738">
        <v>12065</v>
      </c>
      <c r="E32" s="737"/>
      <c r="F32" s="734"/>
      <c r="G32" s="735"/>
      <c r="H32" s="738"/>
    </row>
    <row r="33" spans="1:8" ht="12">
      <c r="A33" s="753"/>
      <c r="B33" s="734" t="s">
        <v>1256</v>
      </c>
      <c r="C33" s="735"/>
      <c r="D33" s="751">
        <v>1000</v>
      </c>
      <c r="E33" s="740"/>
      <c r="F33" s="726"/>
      <c r="G33" s="726"/>
      <c r="H33" s="727"/>
    </row>
    <row r="34" spans="1:8" ht="12">
      <c r="A34" s="753"/>
      <c r="B34" s="734" t="s">
        <v>1257</v>
      </c>
      <c r="C34" s="735"/>
      <c r="D34" s="751">
        <v>4808</v>
      </c>
      <c r="E34" s="740"/>
      <c r="F34" s="726"/>
      <c r="G34" s="726"/>
      <c r="H34" s="727"/>
    </row>
    <row r="35" spans="1:8" ht="12">
      <c r="A35" s="753"/>
      <c r="B35" s="1407" t="s">
        <v>1258</v>
      </c>
      <c r="C35" s="735"/>
      <c r="D35" s="752">
        <v>122</v>
      </c>
      <c r="E35" s="737"/>
      <c r="F35" s="734"/>
      <c r="G35" s="1201"/>
      <c r="H35" s="738"/>
    </row>
    <row r="36" spans="1:8" ht="24">
      <c r="A36" s="753"/>
      <c r="B36" s="1375" t="s">
        <v>1248</v>
      </c>
      <c r="C36" s="735"/>
      <c r="D36" s="751">
        <v>3860</v>
      </c>
      <c r="E36" s="740"/>
      <c r="F36" s="734"/>
      <c r="G36" s="726"/>
      <c r="H36" s="727"/>
    </row>
    <row r="37" spans="1:8" ht="12">
      <c r="A37" s="753"/>
      <c r="B37" s="1375" t="s">
        <v>1242</v>
      </c>
      <c r="C37" s="735"/>
      <c r="D37" s="751">
        <v>2000</v>
      </c>
      <c r="E37" s="740"/>
      <c r="F37" s="726"/>
      <c r="G37" s="726"/>
      <c r="H37" s="727"/>
    </row>
    <row r="38" spans="1:8" ht="12">
      <c r="A38" s="753"/>
      <c r="B38" s="1375" t="s">
        <v>1314</v>
      </c>
      <c r="C38" s="735"/>
      <c r="D38" s="751">
        <v>146000</v>
      </c>
      <c r="E38" s="740"/>
      <c r="F38" s="726"/>
      <c r="G38" s="726"/>
      <c r="H38" s="727"/>
    </row>
    <row r="39" spans="1:8" ht="12">
      <c r="A39" s="753"/>
      <c r="B39" s="1375" t="s">
        <v>1315</v>
      </c>
      <c r="C39" s="735"/>
      <c r="D39" s="751">
        <v>200000</v>
      </c>
      <c r="E39" s="740"/>
      <c r="F39" s="726"/>
      <c r="G39" s="726"/>
      <c r="H39" s="727"/>
    </row>
    <row r="40" spans="1:8" ht="24">
      <c r="A40" s="753"/>
      <c r="B40" s="1375" t="s">
        <v>1316</v>
      </c>
      <c r="C40" s="735"/>
      <c r="D40" s="751">
        <v>3821</v>
      </c>
      <c r="E40" s="740"/>
      <c r="F40" s="726"/>
      <c r="G40" s="726"/>
      <c r="H40" s="727"/>
    </row>
    <row r="41" spans="1:8" s="757" customFormat="1" ht="12">
      <c r="A41" s="754"/>
      <c r="B41" s="755"/>
      <c r="C41" s="741">
        <f>SUM(C3:C40)</f>
        <v>623602</v>
      </c>
      <c r="D41" s="741">
        <f>SUM(D3:D40)</f>
        <v>551119</v>
      </c>
      <c r="E41" s="756"/>
      <c r="F41" s="1202" t="s">
        <v>667</v>
      </c>
      <c r="G41" s="742">
        <f>SUM(G19:G40)-SUM(H19:H40)</f>
        <v>74823</v>
      </c>
      <c r="H41" s="743"/>
    </row>
    <row r="42" spans="1:8" s="746" customFormat="1" ht="12.75" customHeight="1">
      <c r="A42" s="744"/>
      <c r="B42" s="758"/>
      <c r="C42" s="759"/>
      <c r="D42" s="760"/>
      <c r="E42" s="744"/>
      <c r="F42" s="759"/>
      <c r="G42" s="759"/>
      <c r="H42" s="760"/>
    </row>
    <row r="43" spans="1:8" s="763" customFormat="1" ht="14.25" customHeight="1" thickBot="1">
      <c r="A43" s="761"/>
      <c r="B43" s="762" t="s">
        <v>669</v>
      </c>
      <c r="C43" s="1546">
        <f>C41-D41</f>
        <v>72483</v>
      </c>
      <c r="D43" s="1547"/>
      <c r="E43" s="761"/>
      <c r="F43" s="792" t="str">
        <f>B43</f>
        <v>Alakulása</v>
      </c>
      <c r="G43" s="1548">
        <f>G17+G41</f>
        <v>235823</v>
      </c>
      <c r="H43" s="1549"/>
    </row>
    <row r="44" spans="4:7" ht="11.25">
      <c r="D44" s="765"/>
      <c r="F44" s="766"/>
      <c r="G44" s="767"/>
    </row>
    <row r="45" spans="4:7" ht="11.25">
      <c r="D45" s="765"/>
      <c r="F45" s="766"/>
      <c r="G45" s="767"/>
    </row>
    <row r="46" spans="6:7" ht="11.25" customHeight="1">
      <c r="F46" s="768"/>
      <c r="G46" s="768"/>
    </row>
    <row r="47" spans="6:7" ht="11.25">
      <c r="F47" s="768"/>
      <c r="G47" s="768"/>
    </row>
    <row r="48" spans="6:7" ht="11.25">
      <c r="F48" s="768"/>
      <c r="G48" s="768"/>
    </row>
    <row r="49" spans="6:7" ht="11.25">
      <c r="F49" s="768"/>
      <c r="G49" s="768"/>
    </row>
  </sheetData>
  <sheetProtection/>
  <mergeCells count="4">
    <mergeCell ref="A1:B1"/>
    <mergeCell ref="E1:F1"/>
    <mergeCell ref="C43:D43"/>
    <mergeCell ref="G43:H43"/>
  </mergeCells>
  <printOptions/>
  <pageMargins left="0.7" right="0.7" top="0.75" bottom="0.75" header="0.3" footer="0.3"/>
  <pageSetup horizontalDpi="600" verticalDpi="600" orientation="landscape" paperSize="9" scale="85" r:id="rId1"/>
  <headerFooter>
    <oddHeader>&amp;C&amp;"Times New Roman CE,Félkövér"&amp;12Siófok Város Önkormányzatának 2015. évi tartalék felhasználása&amp;"Times New Roman CE,Normál"&amp;10
&amp;R&amp;"Times New Roman CE,Félkövér dőlt"&amp;11 17. számú melléklet&amp;"Times New Roman CE,Normál"&amp;10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5"/>
  <sheetViews>
    <sheetView zoomScalePageLayoutView="0" workbookViewId="0" topLeftCell="A1">
      <selection activeCell="A1" sqref="A1:B1"/>
    </sheetView>
  </sheetViews>
  <sheetFormatPr defaultColWidth="9.375" defaultRowHeight="12.75"/>
  <cols>
    <col min="1" max="1" width="88.625" style="34" customWidth="1"/>
    <col min="2" max="2" width="27.875" style="34" customWidth="1"/>
    <col min="3" max="3" width="3.50390625" style="34" customWidth="1"/>
    <col min="4" max="16384" width="9.375" style="34" customWidth="1"/>
  </cols>
  <sheetData>
    <row r="1" spans="1:2" ht="47.25" customHeight="1">
      <c r="A1" s="1550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1550"/>
    </row>
    <row r="2" spans="1:2" ht="22.5" customHeight="1" thickBot="1">
      <c r="A2" s="280"/>
      <c r="B2" s="281" t="s">
        <v>12</v>
      </c>
    </row>
    <row r="3" spans="1:2" s="35" customFormat="1" ht="24" customHeight="1" thickBot="1">
      <c r="A3" s="769" t="s">
        <v>51</v>
      </c>
      <c r="B3" s="770" t="str">
        <f>+CONCATENATE(LEFT(ÖSSZEFÜGGÉSEK!A5,4),". évi támogatás összesen")</f>
        <v>2015. évi támogatás összesen</v>
      </c>
    </row>
    <row r="4" spans="1:2" s="36" customFormat="1" ht="13.5" thickBot="1">
      <c r="A4" s="771" t="s">
        <v>492</v>
      </c>
      <c r="B4" s="772" t="s">
        <v>493</v>
      </c>
    </row>
    <row r="5" spans="1:2" ht="15" customHeight="1">
      <c r="A5" s="773" t="s">
        <v>670</v>
      </c>
      <c r="B5" s="774">
        <v>253594600</v>
      </c>
    </row>
    <row r="6" spans="1:2" ht="15" customHeight="1">
      <c r="A6" s="775" t="s">
        <v>671</v>
      </c>
      <c r="B6" s="774">
        <v>261876361</v>
      </c>
    </row>
    <row r="7" spans="1:2" ht="15" customHeight="1">
      <c r="A7" s="775" t="s">
        <v>672</v>
      </c>
      <c r="B7" s="774">
        <v>168351467</v>
      </c>
    </row>
    <row r="8" spans="1:2" ht="15" customHeight="1">
      <c r="A8" s="775" t="s">
        <v>673</v>
      </c>
      <c r="B8" s="774">
        <v>340000</v>
      </c>
    </row>
    <row r="9" spans="1:2" ht="15" customHeight="1">
      <c r="A9" s="775" t="s">
        <v>674</v>
      </c>
      <c r="B9" s="774">
        <f>173553600+42000000+91344000+2310000+21000000</f>
        <v>330207600</v>
      </c>
    </row>
    <row r="10" spans="1:2" ht="15" customHeight="1">
      <c r="A10" s="775" t="s">
        <v>675</v>
      </c>
      <c r="B10" s="774">
        <f>34720000+18433333</f>
        <v>53153333</v>
      </c>
    </row>
    <row r="11" spans="1:2" ht="15" customHeight="1">
      <c r="A11" s="775" t="s">
        <v>676</v>
      </c>
      <c r="B11" s="774">
        <f>3872000+386000</f>
        <v>4258000</v>
      </c>
    </row>
    <row r="12" spans="1:2" ht="15" customHeight="1">
      <c r="A12" s="775" t="s">
        <v>677</v>
      </c>
      <c r="B12" s="774">
        <f>10128590+7692600+10128590+4825200+7196800+5075000+1308000+4122000+37057500+1037610+1087020+741150+21075750</f>
        <v>111475810</v>
      </c>
    </row>
    <row r="13" spans="1:3" ht="25.5">
      <c r="A13" s="775" t="s">
        <v>678</v>
      </c>
      <c r="B13" s="774">
        <f>62544960+22542000</f>
        <v>85086960</v>
      </c>
      <c r="C13" s="1551"/>
    </row>
    <row r="14" spans="1:3" ht="15" customHeight="1">
      <c r="A14" s="775" t="s">
        <v>679</v>
      </c>
      <c r="B14" s="774">
        <f>80457600+44573140</f>
        <v>125030740</v>
      </c>
      <c r="C14" s="1551"/>
    </row>
    <row r="15" spans="1:3" ht="15" customHeight="1">
      <c r="A15" s="775" t="s">
        <v>710</v>
      </c>
      <c r="B15" s="774">
        <v>22767389</v>
      </c>
      <c r="C15" s="1551"/>
    </row>
    <row r="16" spans="1:3" ht="15" customHeight="1">
      <c r="A16" s="775" t="s">
        <v>1180</v>
      </c>
      <c r="B16" s="774">
        <v>2926881</v>
      </c>
      <c r="C16" s="1551"/>
    </row>
    <row r="17" spans="1:3" ht="15" customHeight="1" thickBot="1">
      <c r="A17" s="775" t="s">
        <v>1212</v>
      </c>
      <c r="B17" s="774">
        <v>28527360</v>
      </c>
      <c r="C17" s="1551"/>
    </row>
    <row r="18" spans="1:3" ht="15" customHeight="1" hidden="1">
      <c r="A18" s="775"/>
      <c r="B18" s="774"/>
      <c r="C18" s="1551"/>
    </row>
    <row r="19" spans="1:3" ht="15" customHeight="1" hidden="1">
      <c r="A19" s="775"/>
      <c r="B19" s="774"/>
      <c r="C19" s="1551"/>
    </row>
    <row r="20" spans="1:3" ht="15" customHeight="1" hidden="1">
      <c r="A20" s="775"/>
      <c r="B20" s="774"/>
      <c r="C20" s="1551"/>
    </row>
    <row r="21" spans="1:3" ht="15" customHeight="1" hidden="1">
      <c r="A21" s="775"/>
      <c r="B21" s="774"/>
      <c r="C21" s="1551"/>
    </row>
    <row r="22" spans="1:3" ht="15" customHeight="1" hidden="1">
      <c r="A22" s="775"/>
      <c r="B22" s="774"/>
      <c r="C22" s="1551"/>
    </row>
    <row r="23" spans="1:3" ht="15" customHeight="1" hidden="1">
      <c r="A23" s="775"/>
      <c r="B23" s="774"/>
      <c r="C23" s="1551"/>
    </row>
    <row r="24" spans="1:3" ht="15" customHeight="1" hidden="1" thickBot="1">
      <c r="A24" s="776"/>
      <c r="B24" s="774"/>
      <c r="C24" s="1551"/>
    </row>
    <row r="25" spans="1:3" s="37" customFormat="1" ht="19.5" customHeight="1" thickBot="1">
      <c r="A25" s="777" t="s">
        <v>52</v>
      </c>
      <c r="B25" s="778">
        <f>SUM(B5:B24)</f>
        <v>1447596501</v>
      </c>
      <c r="C25" s="1551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18. számú melléklet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2"/>
  <sheetViews>
    <sheetView zoomScale="120" zoomScaleNormal="120" zoomScalePageLayoutView="0" workbookViewId="0" topLeftCell="A1">
      <selection activeCell="B18" sqref="B18"/>
    </sheetView>
  </sheetViews>
  <sheetFormatPr defaultColWidth="9.375" defaultRowHeight="12.75"/>
  <cols>
    <col min="1" max="1" width="5.625" style="126" customWidth="1"/>
    <col min="2" max="2" width="68.625" style="126" customWidth="1"/>
    <col min="3" max="3" width="19.50390625" style="126" customWidth="1"/>
    <col min="4" max="16384" width="9.375" style="126" customWidth="1"/>
  </cols>
  <sheetData>
    <row r="1" spans="1:3" ht="33" customHeight="1">
      <c r="A1" s="1552" t="s">
        <v>680</v>
      </c>
      <c r="B1" s="1552"/>
      <c r="C1" s="1552"/>
    </row>
    <row r="2" spans="1:4" ht="15.75" customHeight="1" thickBot="1">
      <c r="A2" s="127"/>
      <c r="B2" s="127"/>
      <c r="C2" s="138" t="s">
        <v>54</v>
      </c>
      <c r="D2" s="133"/>
    </row>
    <row r="3" spans="1:3" ht="26.25" customHeight="1" thickBot="1">
      <c r="A3" s="157" t="s">
        <v>15</v>
      </c>
      <c r="B3" s="158" t="s">
        <v>193</v>
      </c>
      <c r="C3" s="159" t="str">
        <f>+4!C3</f>
        <v>2015. évi előirányzat</v>
      </c>
    </row>
    <row r="4" spans="1:3" ht="15.75" thickBot="1">
      <c r="A4" s="160" t="s">
        <v>492</v>
      </c>
      <c r="B4" s="161" t="s">
        <v>493</v>
      </c>
      <c r="C4" s="162" t="s">
        <v>494</v>
      </c>
    </row>
    <row r="5" spans="1:3" ht="15">
      <c r="A5" s="163" t="s">
        <v>17</v>
      </c>
      <c r="B5" s="271" t="s">
        <v>502</v>
      </c>
      <c r="C5" s="269">
        <f>1250000+1400000+290000</f>
        <v>2940000</v>
      </c>
    </row>
    <row r="6" spans="1:3" ht="24.75">
      <c r="A6" s="164" t="s">
        <v>18</v>
      </c>
      <c r="B6" s="290" t="s">
        <v>249</v>
      </c>
      <c r="C6" s="1255">
        <f>4900</f>
        <v>4900</v>
      </c>
    </row>
    <row r="7" spans="1:3" ht="15">
      <c r="A7" s="164" t="s">
        <v>19</v>
      </c>
      <c r="B7" s="291" t="s">
        <v>503</v>
      </c>
      <c r="C7" s="1255">
        <f>22000</f>
        <v>22000</v>
      </c>
    </row>
    <row r="8" spans="1:3" ht="24.75">
      <c r="A8" s="164" t="s">
        <v>20</v>
      </c>
      <c r="B8" s="291" t="s">
        <v>251</v>
      </c>
      <c r="C8" s="1255">
        <f>500000</f>
        <v>500000</v>
      </c>
    </row>
    <row r="9" spans="1:3" ht="15">
      <c r="A9" s="165" t="s">
        <v>21</v>
      </c>
      <c r="B9" s="291" t="s">
        <v>250</v>
      </c>
      <c r="C9" s="1256">
        <f>200+23000+2000</f>
        <v>25200</v>
      </c>
    </row>
    <row r="10" spans="1:3" ht="15.75" thickBot="1">
      <c r="A10" s="164" t="s">
        <v>22</v>
      </c>
      <c r="B10" s="292" t="s">
        <v>504</v>
      </c>
      <c r="C10" s="270">
        <f>94830</f>
        <v>94830</v>
      </c>
    </row>
    <row r="11" spans="1:3" ht="15.75" thickBot="1">
      <c r="A11" s="1553" t="s">
        <v>196</v>
      </c>
      <c r="B11" s="1554"/>
      <c r="C11" s="166">
        <f>SUM(C5:C10)</f>
        <v>3586930</v>
      </c>
    </row>
    <row r="12" spans="1:3" ht="23.25" customHeight="1">
      <c r="A12" s="1555" t="s">
        <v>225</v>
      </c>
      <c r="B12" s="1555"/>
      <c r="C12" s="155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19. számú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zoomScaleSheetLayoutView="100" zoomScalePageLayoutView="0" workbookViewId="0" topLeftCell="A1">
      <selection activeCell="A1" sqref="A1:C1"/>
    </sheetView>
  </sheetViews>
  <sheetFormatPr defaultColWidth="9.37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8" width="0" style="434" hidden="1" customWidth="1"/>
    <col min="9" max="9" width="11.875" style="434" hidden="1" customWidth="1"/>
    <col min="10" max="10" width="0" style="434" hidden="1" customWidth="1"/>
    <col min="11" max="16384" width="9.375" style="434" customWidth="1"/>
  </cols>
  <sheetData>
    <row r="1" spans="1:3" ht="15.75" customHeight="1">
      <c r="A1" s="1431" t="s">
        <v>14</v>
      </c>
      <c r="B1" s="1431"/>
      <c r="C1" s="1431"/>
    </row>
    <row r="2" spans="1:3" ht="15.75" customHeight="1" thickBot="1">
      <c r="A2" s="1432" t="s">
        <v>149</v>
      </c>
      <c r="B2" s="1432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6" s="438" customFormat="1" ht="14.25" customHeight="1" thickBot="1">
      <c r="A5" s="390" t="s">
        <v>17</v>
      </c>
      <c r="B5" s="436" t="s">
        <v>253</v>
      </c>
      <c r="C5" s="437">
        <f>+C6+C7+C8+C9+C10+C11</f>
        <v>1464098</v>
      </c>
      <c r="E5" s="438">
        <f>'4.1'!C5+'4.2'!C5+'4.3'!C5</f>
        <v>1464098</v>
      </c>
      <c r="F5" s="787">
        <f>C5-E5</f>
        <v>0</v>
      </c>
    </row>
    <row r="6" spans="1:6" s="438" customFormat="1" ht="14.25" customHeight="1">
      <c r="A6" s="482" t="s">
        <v>94</v>
      </c>
      <c r="B6" s="439" t="s">
        <v>254</v>
      </c>
      <c r="C6" s="440">
        <f>9!C9</f>
        <v>686433</v>
      </c>
      <c r="E6" s="438">
        <f>'4.1'!C6+'4.2'!C6+'4.3'!C6</f>
        <v>686433</v>
      </c>
      <c r="F6" s="787">
        <f aca="true" t="shared" si="0" ref="F6:F69">C6-E6</f>
        <v>0</v>
      </c>
    </row>
    <row r="7" spans="1:6" s="438" customFormat="1" ht="14.25" customHeight="1">
      <c r="A7" s="483" t="s">
        <v>95</v>
      </c>
      <c r="B7" s="441" t="s">
        <v>255</v>
      </c>
      <c r="C7" s="440">
        <f>9!C10</f>
        <v>387619</v>
      </c>
      <c r="E7" s="438">
        <f>'4.1'!C7+'4.2'!C7+'4.3'!C7</f>
        <v>387619</v>
      </c>
      <c r="F7" s="787">
        <f t="shared" si="0"/>
        <v>0</v>
      </c>
    </row>
    <row r="8" spans="1:6" s="438" customFormat="1" ht="14.25" customHeight="1">
      <c r="A8" s="483" t="s">
        <v>96</v>
      </c>
      <c r="B8" s="441" t="s">
        <v>256</v>
      </c>
      <c r="C8" s="440">
        <f>9!C11</f>
        <v>350928</v>
      </c>
      <c r="E8" s="438">
        <f>'4.1'!C8+'4.2'!C8+'4.3'!C8</f>
        <v>350928</v>
      </c>
      <c r="F8" s="787">
        <f t="shared" si="0"/>
        <v>0</v>
      </c>
    </row>
    <row r="9" spans="1:6" s="438" customFormat="1" ht="14.25" customHeight="1">
      <c r="A9" s="483" t="s">
        <v>97</v>
      </c>
      <c r="B9" s="441" t="s">
        <v>257</v>
      </c>
      <c r="C9" s="440">
        <f>9!C12</f>
        <v>31937</v>
      </c>
      <c r="E9" s="438">
        <f>'4.1'!C9+'4.2'!C9+'4.3'!C9</f>
        <v>31937</v>
      </c>
      <c r="F9" s="787">
        <f t="shared" si="0"/>
        <v>0</v>
      </c>
    </row>
    <row r="10" spans="1:6" s="438" customFormat="1" ht="14.25" customHeight="1">
      <c r="A10" s="483" t="s">
        <v>145</v>
      </c>
      <c r="B10" s="441" t="s">
        <v>433</v>
      </c>
      <c r="C10" s="440">
        <f>9!C13</f>
        <v>7181</v>
      </c>
      <c r="E10" s="438">
        <f>'4.1'!C10+'4.2'!C10+'4.3'!C10</f>
        <v>7181</v>
      </c>
      <c r="F10" s="787">
        <f t="shared" si="0"/>
        <v>0</v>
      </c>
    </row>
    <row r="11" spans="1:6" s="438" customFormat="1" ht="14.25" customHeight="1" thickBot="1">
      <c r="A11" s="484" t="s">
        <v>98</v>
      </c>
      <c r="B11" s="442" t="s">
        <v>434</v>
      </c>
      <c r="C11" s="440">
        <f>9!C14</f>
        <v>0</v>
      </c>
      <c r="E11" s="438">
        <f>'4.1'!C11+'4.2'!C11+'4.3'!C11</f>
        <v>0</v>
      </c>
      <c r="F11" s="787">
        <f t="shared" si="0"/>
        <v>0</v>
      </c>
    </row>
    <row r="12" spans="1:6" s="438" customFormat="1" ht="14.25" customHeight="1" thickBot="1">
      <c r="A12" s="390" t="s">
        <v>18</v>
      </c>
      <c r="B12" s="443" t="s">
        <v>258</v>
      </c>
      <c r="C12" s="437">
        <f>+C13+C14+C15+C16+C17</f>
        <v>242022</v>
      </c>
      <c r="E12" s="438">
        <f>'4.1'!C12+'4.2'!C12+'4.3'!C12</f>
        <v>242022</v>
      </c>
      <c r="F12" s="787">
        <f t="shared" si="0"/>
        <v>0</v>
      </c>
    </row>
    <row r="13" spans="1:6" s="438" customFormat="1" ht="14.25" customHeight="1">
      <c r="A13" s="482" t="s">
        <v>100</v>
      </c>
      <c r="B13" s="439" t="s">
        <v>259</v>
      </c>
      <c r="C13" s="440">
        <f>9!C16+'10'!C21+'11'!C21+'12'!C21+'13'!C21+'14'!C21</f>
        <v>0</v>
      </c>
      <c r="E13" s="438">
        <f>'4.1'!C13+'4.2'!C13+'4.3'!C13</f>
        <v>0</v>
      </c>
      <c r="F13" s="787">
        <f t="shared" si="0"/>
        <v>0</v>
      </c>
    </row>
    <row r="14" spans="1:6" s="438" customFormat="1" ht="14.25" customHeight="1">
      <c r="A14" s="483" t="s">
        <v>101</v>
      </c>
      <c r="B14" s="441" t="s">
        <v>260</v>
      </c>
      <c r="C14" s="440">
        <f>9!C17</f>
        <v>0</v>
      </c>
      <c r="E14" s="438">
        <f>'4.1'!C14+'4.2'!C14+'4.3'!C14</f>
        <v>0</v>
      </c>
      <c r="F14" s="787">
        <f t="shared" si="0"/>
        <v>0</v>
      </c>
    </row>
    <row r="15" spans="1:6" s="438" customFormat="1" ht="14.25" customHeight="1">
      <c r="A15" s="483" t="s">
        <v>102</v>
      </c>
      <c r="B15" s="441" t="s">
        <v>424</v>
      </c>
      <c r="C15" s="440">
        <f>9!C18+'10'!C22+'11'!C22+'12'!C22+'13'!C22+'14'!C22</f>
        <v>0</v>
      </c>
      <c r="E15" s="438">
        <f>'4.1'!C15+'4.2'!C15+'4.3'!C15</f>
        <v>0</v>
      </c>
      <c r="F15" s="787">
        <f t="shared" si="0"/>
        <v>0</v>
      </c>
    </row>
    <row r="16" spans="1:6" s="438" customFormat="1" ht="14.25" customHeight="1">
      <c r="A16" s="483" t="s">
        <v>103</v>
      </c>
      <c r="B16" s="441" t="s">
        <v>425</v>
      </c>
      <c r="C16" s="440">
        <f>9!C19</f>
        <v>0</v>
      </c>
      <c r="E16" s="438">
        <f>'4.1'!C16+'4.2'!C16+'4.3'!C16</f>
        <v>0</v>
      </c>
      <c r="F16" s="787">
        <f t="shared" si="0"/>
        <v>0</v>
      </c>
    </row>
    <row r="17" spans="1:6" s="438" customFormat="1" ht="14.25" customHeight="1">
      <c r="A17" s="483" t="s">
        <v>104</v>
      </c>
      <c r="B17" s="441" t="s">
        <v>261</v>
      </c>
      <c r="C17" s="440">
        <f>9!C20+'10'!C23+'11'!C23+'12'!C23+'13'!C23+'14'!C23</f>
        <v>242022</v>
      </c>
      <c r="E17" s="438">
        <f>'4.1'!C17+'4.2'!C17+'4.3'!C17</f>
        <v>242022</v>
      </c>
      <c r="F17" s="787">
        <f t="shared" si="0"/>
        <v>0</v>
      </c>
    </row>
    <row r="18" spans="1:6" s="438" customFormat="1" ht="14.25" customHeight="1" thickBot="1">
      <c r="A18" s="484" t="s">
        <v>113</v>
      </c>
      <c r="B18" s="442" t="s">
        <v>262</v>
      </c>
      <c r="C18" s="440">
        <f>9!C21+'10'!C24+'11'!C24+'12'!C24+'13'!C24+'14'!C24</f>
        <v>3937</v>
      </c>
      <c r="E18" s="438">
        <f>'4.1'!C18+'4.2'!C18+'4.3'!C18</f>
        <v>3937</v>
      </c>
      <c r="F18" s="787">
        <f t="shared" si="0"/>
        <v>0</v>
      </c>
    </row>
    <row r="19" spans="1:6" s="438" customFormat="1" ht="14.25" customHeight="1" thickBot="1">
      <c r="A19" s="390" t="s">
        <v>19</v>
      </c>
      <c r="B19" s="436" t="s">
        <v>263</v>
      </c>
      <c r="C19" s="437">
        <f>+C20+C21+C22+C23+C24</f>
        <v>1885940</v>
      </c>
      <c r="E19" s="438">
        <f>'4.1'!C19+'4.2'!C19+'4.3'!C19</f>
        <v>1885940</v>
      </c>
      <c r="F19" s="787">
        <f t="shared" si="0"/>
        <v>0</v>
      </c>
    </row>
    <row r="20" spans="1:6" s="438" customFormat="1" ht="14.25" customHeight="1">
      <c r="A20" s="482" t="s">
        <v>83</v>
      </c>
      <c r="B20" s="439" t="s">
        <v>264</v>
      </c>
      <c r="C20" s="440">
        <f>9!C23+'10'!C27+'11'!C27+'12'!C27+'13'!C27+'14'!C27</f>
        <v>0</v>
      </c>
      <c r="E20" s="438">
        <f>'4.1'!C20+'4.2'!C20+'4.3'!C20</f>
        <v>0</v>
      </c>
      <c r="F20" s="787">
        <f t="shared" si="0"/>
        <v>0</v>
      </c>
    </row>
    <row r="21" spans="1:6" s="438" customFormat="1" ht="14.25" customHeight="1">
      <c r="A21" s="483" t="s">
        <v>84</v>
      </c>
      <c r="B21" s="441" t="s">
        <v>265</v>
      </c>
      <c r="C21" s="440">
        <f>9!C24</f>
        <v>0</v>
      </c>
      <c r="E21" s="438">
        <f>'4.1'!C21+'4.2'!C21+'4.3'!C21</f>
        <v>0</v>
      </c>
      <c r="F21" s="787">
        <f t="shared" si="0"/>
        <v>0</v>
      </c>
    </row>
    <row r="22" spans="1:6" s="438" customFormat="1" ht="14.25" customHeight="1">
      <c r="A22" s="483" t="s">
        <v>85</v>
      </c>
      <c r="B22" s="441" t="s">
        <v>426</v>
      </c>
      <c r="C22" s="440">
        <f>9!C25+'10'!C28</f>
        <v>0</v>
      </c>
      <c r="E22" s="438">
        <f>'4.1'!C22+'4.2'!C22+'4.3'!C22</f>
        <v>0</v>
      </c>
      <c r="F22" s="787">
        <f t="shared" si="0"/>
        <v>0</v>
      </c>
    </row>
    <row r="23" spans="1:6" s="438" customFormat="1" ht="14.25" customHeight="1">
      <c r="A23" s="483" t="s">
        <v>86</v>
      </c>
      <c r="B23" s="441" t="s">
        <v>427</v>
      </c>
      <c r="C23" s="440">
        <f>9!C26</f>
        <v>0</v>
      </c>
      <c r="E23" s="438">
        <f>'4.1'!C23+'4.2'!C23+'4.3'!C23</f>
        <v>0</v>
      </c>
      <c r="F23" s="787">
        <f t="shared" si="0"/>
        <v>0</v>
      </c>
    </row>
    <row r="24" spans="1:10" s="438" customFormat="1" ht="14.25" customHeight="1">
      <c r="A24" s="483" t="s">
        <v>168</v>
      </c>
      <c r="B24" s="441" t="s">
        <v>266</v>
      </c>
      <c r="C24" s="440">
        <f>9!C27+'10'!C29+'11'!C28+'12'!C28+'13'!C28+'14'!C28</f>
        <v>1885940</v>
      </c>
      <c r="E24" s="438">
        <f>'4.1'!C24+'4.2'!C24+'4.3'!C24</f>
        <v>1885940</v>
      </c>
      <c r="F24" s="787">
        <f t="shared" si="0"/>
        <v>0</v>
      </c>
      <c r="I24" s="787">
        <f>C5+C12+C26+C34+C52+C73</f>
        <v>7830773.91</v>
      </c>
      <c r="J24" s="787">
        <f>C19+C46+C57</f>
        <v>2512562</v>
      </c>
    </row>
    <row r="25" spans="1:6" s="438" customFormat="1" ht="14.25" customHeight="1" thickBot="1">
      <c r="A25" s="484" t="s">
        <v>169</v>
      </c>
      <c r="B25" s="442" t="s">
        <v>267</v>
      </c>
      <c r="C25" s="440">
        <f>9!C28+'10'!C30+'11'!C29+'12'!C29+'13'!C29+'14'!C29</f>
        <v>1119752</v>
      </c>
      <c r="E25" s="438">
        <f>'4.1'!C25+'4.2'!C25+'4.3'!C25</f>
        <v>1119752</v>
      </c>
      <c r="F25" s="787">
        <f t="shared" si="0"/>
        <v>0</v>
      </c>
    </row>
    <row r="26" spans="1:6" s="438" customFormat="1" ht="14.25" customHeight="1" thickBot="1">
      <c r="A26" s="390" t="s">
        <v>170</v>
      </c>
      <c r="B26" s="436" t="s">
        <v>268</v>
      </c>
      <c r="C26" s="444">
        <f>+C27+C28+C29+C33</f>
        <v>3063700</v>
      </c>
      <c r="E26" s="438">
        <f>'4.1'!C26+'4.2'!C26+'4.3'!C26</f>
        <v>3063700</v>
      </c>
      <c r="F26" s="787">
        <f t="shared" si="0"/>
        <v>0</v>
      </c>
    </row>
    <row r="27" spans="1:6" s="438" customFormat="1" ht="14.25" customHeight="1">
      <c r="A27" s="482" t="s">
        <v>269</v>
      </c>
      <c r="B27" s="439" t="s">
        <v>567</v>
      </c>
      <c r="C27" s="445">
        <f>9!C30</f>
        <v>0</v>
      </c>
      <c r="E27" s="438">
        <f>'4.1'!C27+'4.2'!C27+'4.3'!C27</f>
        <v>0</v>
      </c>
      <c r="F27" s="787">
        <f t="shared" si="0"/>
        <v>0</v>
      </c>
    </row>
    <row r="28" spans="1:6" s="438" customFormat="1" ht="14.25" customHeight="1">
      <c r="A28" s="483" t="s">
        <v>270</v>
      </c>
      <c r="B28" s="441" t="s">
        <v>575</v>
      </c>
      <c r="C28" s="445">
        <f>9!C31</f>
        <v>1250000</v>
      </c>
      <c r="E28" s="438">
        <f>'4.1'!C28+'4.2'!C28+'4.3'!C28</f>
        <v>1250000</v>
      </c>
      <c r="F28" s="787">
        <f t="shared" si="0"/>
        <v>0</v>
      </c>
    </row>
    <row r="29" spans="1:6" s="438" customFormat="1" ht="14.25" customHeight="1">
      <c r="A29" s="483" t="s">
        <v>271</v>
      </c>
      <c r="B29" s="441" t="s">
        <v>568</v>
      </c>
      <c r="C29" s="445">
        <f>9!C32</f>
        <v>1787000</v>
      </c>
      <c r="E29" s="438">
        <f>'4.1'!C29+'4.2'!C29+'4.3'!C29</f>
        <v>1787000</v>
      </c>
      <c r="F29" s="787">
        <f t="shared" si="0"/>
        <v>0</v>
      </c>
    </row>
    <row r="30" spans="1:6" s="438" customFormat="1" ht="14.25" customHeight="1">
      <c r="A30" s="485" t="s">
        <v>569</v>
      </c>
      <c r="B30" s="481" t="s">
        <v>570</v>
      </c>
      <c r="C30" s="445">
        <f>9!C33</f>
        <v>95000</v>
      </c>
      <c r="E30" s="438">
        <f>'4.1'!C30+'4.2'!C30+'4.3'!C30</f>
        <v>95000</v>
      </c>
      <c r="F30" s="787">
        <f t="shared" si="0"/>
        <v>0</v>
      </c>
    </row>
    <row r="31" spans="1:6" s="438" customFormat="1" ht="14.25" customHeight="1">
      <c r="A31" s="485" t="s">
        <v>571</v>
      </c>
      <c r="B31" s="481" t="s">
        <v>572</v>
      </c>
      <c r="C31" s="445">
        <f>9!C34</f>
        <v>1400000</v>
      </c>
      <c r="E31" s="438">
        <f>'4.1'!C31+'4.2'!C31+'4.3'!C31</f>
        <v>1400000</v>
      </c>
      <c r="F31" s="787">
        <f t="shared" si="0"/>
        <v>0</v>
      </c>
    </row>
    <row r="32" spans="1:6" s="438" customFormat="1" ht="14.25" customHeight="1">
      <c r="A32" s="485" t="s">
        <v>573</v>
      </c>
      <c r="B32" s="481" t="s">
        <v>574</v>
      </c>
      <c r="C32" s="445">
        <f>9!C35</f>
        <v>292000</v>
      </c>
      <c r="E32" s="438">
        <f>'4.1'!C32+'4.2'!C32+'4.3'!C32</f>
        <v>292000</v>
      </c>
      <c r="F32" s="787">
        <f t="shared" si="0"/>
        <v>0</v>
      </c>
    </row>
    <row r="33" spans="1:6" s="438" customFormat="1" ht="14.25" customHeight="1" thickBot="1">
      <c r="A33" s="483" t="s">
        <v>272</v>
      </c>
      <c r="B33" s="441" t="s">
        <v>273</v>
      </c>
      <c r="C33" s="445">
        <f>9!C36+'10'!C25+'11'!C25+'12'!C25+'13'!C25+'14'!C25</f>
        <v>26700</v>
      </c>
      <c r="E33" s="438">
        <f>'4.1'!C33+'4.2'!C33+'4.3'!C33</f>
        <v>26700</v>
      </c>
      <c r="F33" s="787">
        <f t="shared" si="0"/>
        <v>0</v>
      </c>
    </row>
    <row r="34" spans="1:6" s="438" customFormat="1" ht="14.25" customHeight="1" thickBot="1">
      <c r="A34" s="390" t="s">
        <v>21</v>
      </c>
      <c r="B34" s="436" t="s">
        <v>435</v>
      </c>
      <c r="C34" s="437">
        <f>SUM(C35:C45)</f>
        <v>2401452.91</v>
      </c>
      <c r="E34" s="438">
        <f>'4.1'!C34+'4.2'!C34+'4.3'!C34</f>
        <v>2401453</v>
      </c>
      <c r="F34" s="787">
        <f t="shared" si="0"/>
        <v>-0.08999999985098839</v>
      </c>
    </row>
    <row r="35" spans="1:6" s="438" customFormat="1" ht="14.25" customHeight="1">
      <c r="A35" s="482" t="s">
        <v>87</v>
      </c>
      <c r="B35" s="439" t="s">
        <v>276</v>
      </c>
      <c r="C35" s="440">
        <f>9!C38+'10'!C9+'11'!C9+'12'!C9+'13'!C9+'14'!C9</f>
        <v>6500</v>
      </c>
      <c r="E35" s="438">
        <f>'4.1'!C35+'4.2'!C35+'4.3'!C35</f>
        <v>6500</v>
      </c>
      <c r="F35" s="787">
        <f t="shared" si="0"/>
        <v>0</v>
      </c>
    </row>
    <row r="36" spans="1:6" s="438" customFormat="1" ht="14.25" customHeight="1">
      <c r="A36" s="483" t="s">
        <v>88</v>
      </c>
      <c r="B36" s="441" t="s">
        <v>277</v>
      </c>
      <c r="C36" s="440">
        <f>9!C39+'10'!C10+'11'!C10+'12'!C10+'13'!C10+'14'!C10</f>
        <v>160073</v>
      </c>
      <c r="E36" s="438">
        <f>'4.1'!C36+'4.2'!C36+'4.3'!C36</f>
        <v>160073</v>
      </c>
      <c r="F36" s="787">
        <f t="shared" si="0"/>
        <v>0</v>
      </c>
    </row>
    <row r="37" spans="1:6" s="438" customFormat="1" ht="14.25" customHeight="1">
      <c r="A37" s="483" t="s">
        <v>89</v>
      </c>
      <c r="B37" s="441" t="s">
        <v>278</v>
      </c>
      <c r="C37" s="440">
        <f>9!C40+'10'!C11+'11'!C11+'12'!C11+'13'!C11+'14'!C11</f>
        <v>65900</v>
      </c>
      <c r="E37" s="438">
        <f>'4.1'!C37+'4.2'!C37+'4.3'!C37</f>
        <v>65900</v>
      </c>
      <c r="F37" s="787">
        <f t="shared" si="0"/>
        <v>0</v>
      </c>
    </row>
    <row r="38" spans="1:6" s="438" customFormat="1" ht="14.25" customHeight="1">
      <c r="A38" s="483" t="s">
        <v>172</v>
      </c>
      <c r="B38" s="441" t="s">
        <v>279</v>
      </c>
      <c r="C38" s="440">
        <f>9!C41+'10'!C12+'11'!C12+'12'!C12+'13'!C12+'14'!C12</f>
        <v>1211080</v>
      </c>
      <c r="E38" s="438">
        <f>'4.1'!C38+'4.2'!C38+'4.3'!C38</f>
        <v>1211080</v>
      </c>
      <c r="F38" s="787">
        <f t="shared" si="0"/>
        <v>0</v>
      </c>
    </row>
    <row r="39" spans="1:6" s="438" customFormat="1" ht="14.25" customHeight="1">
      <c r="A39" s="483" t="s">
        <v>173</v>
      </c>
      <c r="B39" s="441" t="s">
        <v>280</v>
      </c>
      <c r="C39" s="440">
        <f>9!C42+'10'!C13+'11'!C13+'12'!C13+'13'!C13+'14'!C13</f>
        <v>208644</v>
      </c>
      <c r="E39" s="438">
        <f>'4.1'!C39+'4.2'!C39+'4.3'!C39</f>
        <v>208644</v>
      </c>
      <c r="F39" s="787">
        <f t="shared" si="0"/>
        <v>0</v>
      </c>
    </row>
    <row r="40" spans="1:6" s="438" customFormat="1" ht="14.25" customHeight="1">
      <c r="A40" s="483" t="s">
        <v>174</v>
      </c>
      <c r="B40" s="441" t="s">
        <v>281</v>
      </c>
      <c r="C40" s="440">
        <f>9!C43+'10'!C14+'11'!C14+'12'!C14+'13'!C14+'14'!C14</f>
        <v>551073.9099999999</v>
      </c>
      <c r="E40" s="438">
        <f>'4.1'!C40+'4.2'!C40+'4.3'!C40</f>
        <v>551074</v>
      </c>
      <c r="F40" s="787">
        <f t="shared" si="0"/>
        <v>-0.09000000008381903</v>
      </c>
    </row>
    <row r="41" spans="1:6" s="438" customFormat="1" ht="14.25" customHeight="1">
      <c r="A41" s="483" t="s">
        <v>175</v>
      </c>
      <c r="B41" s="441" t="s">
        <v>282</v>
      </c>
      <c r="C41" s="440">
        <f>9!C44+'10'!C15+'11'!C15+'12'!C15+'13'!C15+'14'!C15</f>
        <v>185966</v>
      </c>
      <c r="E41" s="438">
        <f>'4.1'!C41+'4.2'!C41+'4.3'!C41</f>
        <v>185966</v>
      </c>
      <c r="F41" s="787">
        <f t="shared" si="0"/>
        <v>0</v>
      </c>
    </row>
    <row r="42" spans="1:6" s="438" customFormat="1" ht="14.25" customHeight="1">
      <c r="A42" s="483" t="s">
        <v>176</v>
      </c>
      <c r="B42" s="441" t="s">
        <v>283</v>
      </c>
      <c r="C42" s="440">
        <f>9!C45+'10'!C16+'11'!C16+'12'!C16+'13'!C16+'14'!C16</f>
        <v>2280</v>
      </c>
      <c r="E42" s="438">
        <f>'4.1'!C42+'4.2'!C42+'4.3'!C42</f>
        <v>2280</v>
      </c>
      <c r="F42" s="787">
        <f t="shared" si="0"/>
        <v>0</v>
      </c>
    </row>
    <row r="43" spans="1:6" s="438" customFormat="1" ht="14.25" customHeight="1">
      <c r="A43" s="483" t="s">
        <v>274</v>
      </c>
      <c r="B43" s="441" t="s">
        <v>284</v>
      </c>
      <c r="C43" s="440">
        <f>9!C46+'10'!C17+'11'!C17+'12'!C17+'13'!C17+'14'!C17</f>
        <v>0</v>
      </c>
      <c r="E43" s="438">
        <f>'4.1'!C43+'4.2'!C43+'4.3'!C43</f>
        <v>0</v>
      </c>
      <c r="F43" s="787">
        <f t="shared" si="0"/>
        <v>0</v>
      </c>
    </row>
    <row r="44" spans="1:6" s="438" customFormat="1" ht="14.25" customHeight="1">
      <c r="A44" s="484" t="s">
        <v>275</v>
      </c>
      <c r="B44" s="442" t="s">
        <v>437</v>
      </c>
      <c r="C44" s="440">
        <f>9!C47+'10'!C18+'11'!C18+'12'!C18+'13'!C18+'14'!C18</f>
        <v>4000</v>
      </c>
      <c r="E44" s="438">
        <f>'4.1'!C44+'4.2'!C44+'4.3'!C44</f>
        <v>4000</v>
      </c>
      <c r="F44" s="787">
        <f t="shared" si="0"/>
        <v>0</v>
      </c>
    </row>
    <row r="45" spans="1:6" s="438" customFormat="1" ht="14.25" customHeight="1" thickBot="1">
      <c r="A45" s="484" t="s">
        <v>436</v>
      </c>
      <c r="B45" s="442" t="s">
        <v>285</v>
      </c>
      <c r="C45" s="440">
        <f>9!C48+'10'!C19+'11'!C19+'12'!C19+'13'!C19+'14'!C19</f>
        <v>5936</v>
      </c>
      <c r="E45" s="438">
        <f>'4.1'!C45+'4.2'!C45+'4.3'!C45</f>
        <v>5936</v>
      </c>
      <c r="F45" s="787">
        <f t="shared" si="0"/>
        <v>0</v>
      </c>
    </row>
    <row r="46" spans="1:6" s="438" customFormat="1" ht="14.25" customHeight="1" thickBot="1">
      <c r="A46" s="390" t="s">
        <v>22</v>
      </c>
      <c r="B46" s="436" t="s">
        <v>286</v>
      </c>
      <c r="C46" s="437">
        <f>SUM(C47:C51)</f>
        <v>500000</v>
      </c>
      <c r="E46" s="438">
        <f>'4.1'!C46+'4.2'!C46+'4.3'!C46</f>
        <v>500000</v>
      </c>
      <c r="F46" s="787">
        <f t="shared" si="0"/>
        <v>0</v>
      </c>
    </row>
    <row r="47" spans="1:6" s="438" customFormat="1" ht="14.25" customHeight="1">
      <c r="A47" s="492" t="s">
        <v>90</v>
      </c>
      <c r="B47" s="497" t="s">
        <v>290</v>
      </c>
      <c r="C47" s="498">
        <f>9!C50+'10'!C32+'11'!C31+'12'!C31+'13'!C31+'14'!C31</f>
        <v>0</v>
      </c>
      <c r="E47" s="438">
        <f>'4.1'!C47+'4.2'!C47+'4.3'!C47</f>
        <v>0</v>
      </c>
      <c r="F47" s="787">
        <f t="shared" si="0"/>
        <v>0</v>
      </c>
    </row>
    <row r="48" spans="1:6" s="438" customFormat="1" ht="14.25" customHeight="1">
      <c r="A48" s="483" t="s">
        <v>91</v>
      </c>
      <c r="B48" s="441" t="s">
        <v>291</v>
      </c>
      <c r="C48" s="446">
        <f>9!C51+'10'!C33+'11'!C32+'12'!C32+'13'!C32+'14'!C32</f>
        <v>500000</v>
      </c>
      <c r="E48" s="438">
        <f>'4.1'!C48+'4.2'!C48+'4.3'!C48</f>
        <v>500000</v>
      </c>
      <c r="F48" s="787">
        <f t="shared" si="0"/>
        <v>0</v>
      </c>
    </row>
    <row r="49" spans="1:6" s="438" customFormat="1" ht="14.25" customHeight="1">
      <c r="A49" s="483" t="s">
        <v>287</v>
      </c>
      <c r="B49" s="441" t="s">
        <v>292</v>
      </c>
      <c r="C49" s="446">
        <f>9!C52+'10'!C34+'11'!C33+'12'!C33+'13'!C33+'14'!C33</f>
        <v>0</v>
      </c>
      <c r="E49" s="438">
        <f>'4.1'!C49+'4.2'!C49+'4.3'!C49</f>
        <v>0</v>
      </c>
      <c r="F49" s="787">
        <f t="shared" si="0"/>
        <v>0</v>
      </c>
    </row>
    <row r="50" spans="1:6" s="438" customFormat="1" ht="14.25" customHeight="1">
      <c r="A50" s="483" t="s">
        <v>288</v>
      </c>
      <c r="B50" s="441" t="s">
        <v>293</v>
      </c>
      <c r="C50" s="446"/>
      <c r="E50" s="438">
        <f>'4.1'!C50+'4.2'!C50+'4.3'!C50</f>
        <v>0</v>
      </c>
      <c r="F50" s="787">
        <f t="shared" si="0"/>
        <v>0</v>
      </c>
    </row>
    <row r="51" spans="1:6" s="438" customFormat="1" ht="14.25" customHeight="1" thickBot="1">
      <c r="A51" s="494" t="s">
        <v>289</v>
      </c>
      <c r="B51" s="499" t="s">
        <v>294</v>
      </c>
      <c r="C51" s="500"/>
      <c r="E51" s="438">
        <f>'4.1'!C51+'4.2'!C51+'4.3'!C51</f>
        <v>0</v>
      </c>
      <c r="F51" s="787">
        <f t="shared" si="0"/>
        <v>0</v>
      </c>
    </row>
    <row r="52" spans="1:6" s="438" customFormat="1" ht="14.25" customHeight="1" thickBot="1">
      <c r="A52" s="390" t="s">
        <v>177</v>
      </c>
      <c r="B52" s="436" t="s">
        <v>295</v>
      </c>
      <c r="C52" s="437">
        <f>SUM(C53:C55)</f>
        <v>194830</v>
      </c>
      <c r="E52" s="438">
        <f>'4.1'!C52+'4.2'!C52+'4.3'!C52</f>
        <v>194830</v>
      </c>
      <c r="F52" s="787">
        <f t="shared" si="0"/>
        <v>0</v>
      </c>
    </row>
    <row r="53" spans="1:6" s="438" customFormat="1" ht="14.25" customHeight="1">
      <c r="A53" s="482" t="s">
        <v>92</v>
      </c>
      <c r="B53" s="439" t="s">
        <v>296</v>
      </c>
      <c r="C53" s="440">
        <f>9!C56</f>
        <v>94830</v>
      </c>
      <c r="E53" s="438">
        <f>'4.1'!C53+'4.2'!C53+'4.3'!C53</f>
        <v>94830</v>
      </c>
      <c r="F53" s="787">
        <f t="shared" si="0"/>
        <v>0</v>
      </c>
    </row>
    <row r="54" spans="1:6" s="438" customFormat="1" ht="14.25" customHeight="1">
      <c r="A54" s="483" t="s">
        <v>93</v>
      </c>
      <c r="B54" s="441" t="s">
        <v>428</v>
      </c>
      <c r="C54" s="440">
        <f>9!C57</f>
        <v>100000</v>
      </c>
      <c r="E54" s="438">
        <f>'4.1'!C54+'4.2'!C54+'4.3'!C54</f>
        <v>100000</v>
      </c>
      <c r="F54" s="787">
        <f t="shared" si="0"/>
        <v>0</v>
      </c>
    </row>
    <row r="55" spans="1:6" s="438" customFormat="1" ht="14.25" customHeight="1">
      <c r="A55" s="483" t="s">
        <v>299</v>
      </c>
      <c r="B55" s="441" t="s">
        <v>297</v>
      </c>
      <c r="C55" s="440">
        <f>9!C58+'10'!C35+'11'!C34+'12'!C34+'13'!C34+'14'!C34</f>
        <v>0</v>
      </c>
      <c r="E55" s="438">
        <f>'4.1'!C55+'4.2'!C55+'4.3'!C55</f>
        <v>0</v>
      </c>
      <c r="F55" s="787">
        <f t="shared" si="0"/>
        <v>0</v>
      </c>
    </row>
    <row r="56" spans="1:6" s="438" customFormat="1" ht="14.25" customHeight="1" thickBot="1">
      <c r="A56" s="484" t="s">
        <v>300</v>
      </c>
      <c r="B56" s="442" t="s">
        <v>298</v>
      </c>
      <c r="C56" s="440">
        <f>9!C59</f>
        <v>0</v>
      </c>
      <c r="E56" s="438">
        <f>'4.1'!C56+'4.2'!C56+'4.3'!C56</f>
        <v>0</v>
      </c>
      <c r="F56" s="787">
        <f t="shared" si="0"/>
        <v>0</v>
      </c>
    </row>
    <row r="57" spans="1:6" s="438" customFormat="1" ht="14.25" customHeight="1" thickBot="1">
      <c r="A57" s="390" t="s">
        <v>24</v>
      </c>
      <c r="B57" s="443" t="s">
        <v>301</v>
      </c>
      <c r="C57" s="437">
        <f>SUM(C58:C60)</f>
        <v>126622</v>
      </c>
      <c r="E57" s="438">
        <f>'4.1'!C57+'4.2'!C57+'4.3'!C57</f>
        <v>126622</v>
      </c>
      <c r="F57" s="787">
        <f t="shared" si="0"/>
        <v>0</v>
      </c>
    </row>
    <row r="58" spans="1:6" s="438" customFormat="1" ht="14.25" customHeight="1">
      <c r="A58" s="482" t="s">
        <v>178</v>
      </c>
      <c r="B58" s="439" t="s">
        <v>303</v>
      </c>
      <c r="C58" s="446">
        <f>9!C61</f>
        <v>0</v>
      </c>
      <c r="E58" s="438">
        <f>'4.1'!C58+'4.2'!C58+'4.3'!C58</f>
        <v>0</v>
      </c>
      <c r="F58" s="787">
        <f t="shared" si="0"/>
        <v>0</v>
      </c>
    </row>
    <row r="59" spans="1:6" s="438" customFormat="1" ht="14.25" customHeight="1">
      <c r="A59" s="483" t="s">
        <v>179</v>
      </c>
      <c r="B59" s="441" t="s">
        <v>429</v>
      </c>
      <c r="C59" s="446">
        <f>9!C62</f>
        <v>126522</v>
      </c>
      <c r="E59" s="438">
        <f>'4.1'!C59+'4.2'!C59+'4.3'!C59</f>
        <v>126522</v>
      </c>
      <c r="F59" s="787">
        <f t="shared" si="0"/>
        <v>0</v>
      </c>
    </row>
    <row r="60" spans="1:6" s="438" customFormat="1" ht="14.25" customHeight="1">
      <c r="A60" s="483" t="s">
        <v>230</v>
      </c>
      <c r="B60" s="441" t="s">
        <v>304</v>
      </c>
      <c r="C60" s="446">
        <f>9!C63+'10'!C36+'11'!C35+'12'!C35+'13'!C35+'14'!C35</f>
        <v>100</v>
      </c>
      <c r="E60" s="438">
        <f>'4.1'!C60+'4.2'!C60+'4.3'!C60</f>
        <v>100</v>
      </c>
      <c r="F60" s="787">
        <f t="shared" si="0"/>
        <v>0</v>
      </c>
    </row>
    <row r="61" spans="1:6" s="438" customFormat="1" ht="14.25" customHeight="1" thickBot="1">
      <c r="A61" s="484" t="s">
        <v>302</v>
      </c>
      <c r="B61" s="442" t="s">
        <v>305</v>
      </c>
      <c r="C61" s="446">
        <f>9!C64</f>
        <v>0</v>
      </c>
      <c r="E61" s="438">
        <f>'4.1'!C61+'4.2'!C61+'4.3'!C61</f>
        <v>0</v>
      </c>
      <c r="F61" s="787">
        <f t="shared" si="0"/>
        <v>0</v>
      </c>
    </row>
    <row r="62" spans="1:6" s="438" customFormat="1" ht="14.25" customHeight="1" thickBot="1">
      <c r="A62" s="390" t="s">
        <v>476</v>
      </c>
      <c r="B62" s="436" t="s">
        <v>306</v>
      </c>
      <c r="C62" s="444">
        <f>+C5+C12+C19+C26+C34+C46+C52+C57</f>
        <v>9878664.91</v>
      </c>
      <c r="E62" s="438">
        <f>'4.1'!C62+'4.2'!C62+'4.3'!C62</f>
        <v>9878665</v>
      </c>
      <c r="F62" s="787">
        <f t="shared" si="0"/>
        <v>-0.08999999985098839</v>
      </c>
    </row>
    <row r="63" spans="1:6" s="438" customFormat="1" ht="14.25" customHeight="1" thickBot="1">
      <c r="A63" s="486" t="s">
        <v>307</v>
      </c>
      <c r="B63" s="443" t="s">
        <v>308</v>
      </c>
      <c r="C63" s="437">
        <f>SUM(C64:C66)</f>
        <v>0</v>
      </c>
      <c r="E63" s="438">
        <f>'4.1'!C63+'4.2'!C63+'4.3'!C63</f>
        <v>0</v>
      </c>
      <c r="F63" s="787">
        <f t="shared" si="0"/>
        <v>0</v>
      </c>
    </row>
    <row r="64" spans="1:6" s="438" customFormat="1" ht="14.25" customHeight="1">
      <c r="A64" s="482" t="s">
        <v>339</v>
      </c>
      <c r="B64" s="439" t="s">
        <v>309</v>
      </c>
      <c r="C64" s="446"/>
      <c r="E64" s="438">
        <f>'4.1'!C64+'4.2'!C64+'4.3'!C64</f>
        <v>0</v>
      </c>
      <c r="F64" s="787">
        <f t="shared" si="0"/>
        <v>0</v>
      </c>
    </row>
    <row r="65" spans="1:6" s="438" customFormat="1" ht="14.25" customHeight="1">
      <c r="A65" s="483" t="s">
        <v>348</v>
      </c>
      <c r="B65" s="441" t="s">
        <v>310</v>
      </c>
      <c r="C65" s="446"/>
      <c r="E65" s="438">
        <f>'4.1'!C65+'4.2'!C65+'4.3'!C65</f>
        <v>0</v>
      </c>
      <c r="F65" s="787">
        <f t="shared" si="0"/>
        <v>0</v>
      </c>
    </row>
    <row r="66" spans="1:6" s="438" customFormat="1" ht="14.25" customHeight="1" thickBot="1">
      <c r="A66" s="484" t="s">
        <v>349</v>
      </c>
      <c r="B66" s="382" t="s">
        <v>461</v>
      </c>
      <c r="C66" s="446"/>
      <c r="E66" s="438">
        <f>'4.1'!C66+'4.2'!C66+'4.3'!C66</f>
        <v>0</v>
      </c>
      <c r="F66" s="787">
        <f t="shared" si="0"/>
        <v>0</v>
      </c>
    </row>
    <row r="67" spans="1:6" s="438" customFormat="1" ht="14.25" customHeight="1" thickBot="1">
      <c r="A67" s="486" t="s">
        <v>312</v>
      </c>
      <c r="B67" s="443" t="s">
        <v>313</v>
      </c>
      <c r="C67" s="437">
        <f>SUM(C68:C71)</f>
        <v>0</v>
      </c>
      <c r="E67" s="438">
        <f>'4.1'!C67+'4.2'!C67+'4.3'!C67</f>
        <v>0</v>
      </c>
      <c r="F67" s="787">
        <f t="shared" si="0"/>
        <v>0</v>
      </c>
    </row>
    <row r="68" spans="1:6" s="438" customFormat="1" ht="14.25" customHeight="1">
      <c r="A68" s="482" t="s">
        <v>146</v>
      </c>
      <c r="B68" s="439" t="s">
        <v>314</v>
      </c>
      <c r="C68" s="446"/>
      <c r="E68" s="438">
        <f>'4.1'!C68+'4.2'!C68+'4.3'!C68</f>
        <v>0</v>
      </c>
      <c r="F68" s="787">
        <f t="shared" si="0"/>
        <v>0</v>
      </c>
    </row>
    <row r="69" spans="1:6" s="438" customFormat="1" ht="14.25" customHeight="1">
      <c r="A69" s="483" t="s">
        <v>147</v>
      </c>
      <c r="B69" s="441" t="s">
        <v>315</v>
      </c>
      <c r="C69" s="446"/>
      <c r="E69" s="438">
        <f>'4.1'!C69+'4.2'!C69+'4.3'!C69</f>
        <v>0</v>
      </c>
      <c r="F69" s="787">
        <f t="shared" si="0"/>
        <v>0</v>
      </c>
    </row>
    <row r="70" spans="1:6" s="438" customFormat="1" ht="14.25" customHeight="1">
      <c r="A70" s="483" t="s">
        <v>340</v>
      </c>
      <c r="B70" s="441" t="s">
        <v>316</v>
      </c>
      <c r="C70" s="446"/>
      <c r="E70" s="438">
        <f>'4.1'!C70+'4.2'!C70+'4.3'!C70</f>
        <v>0</v>
      </c>
      <c r="F70" s="787">
        <f aca="true" t="shared" si="1" ref="F70:F133">C70-E70</f>
        <v>0</v>
      </c>
    </row>
    <row r="71" spans="1:6" s="438" customFormat="1" ht="14.25" customHeight="1" thickBot="1">
      <c r="A71" s="484" t="s">
        <v>341</v>
      </c>
      <c r="B71" s="442" t="s">
        <v>317</v>
      </c>
      <c r="C71" s="446"/>
      <c r="E71" s="438">
        <f>'4.1'!C71+'4.2'!C71+'4.3'!C71</f>
        <v>0</v>
      </c>
      <c r="F71" s="787">
        <f t="shared" si="1"/>
        <v>0</v>
      </c>
    </row>
    <row r="72" spans="1:6" s="438" customFormat="1" ht="14.25" customHeight="1" thickBot="1">
      <c r="A72" s="486" t="s">
        <v>318</v>
      </c>
      <c r="B72" s="443" t="s">
        <v>319</v>
      </c>
      <c r="C72" s="437">
        <f>SUM(C73:C74)</f>
        <v>464671</v>
      </c>
      <c r="E72" s="438">
        <f>'4.1'!C72+'4.2'!C72+'4.3'!C72</f>
        <v>464671</v>
      </c>
      <c r="F72" s="787">
        <f t="shared" si="1"/>
        <v>0</v>
      </c>
    </row>
    <row r="73" spans="1:6" s="438" customFormat="1" ht="14.25" customHeight="1">
      <c r="A73" s="482" t="s">
        <v>342</v>
      </c>
      <c r="B73" s="439" t="s">
        <v>320</v>
      </c>
      <c r="C73" s="446">
        <f>9!C76+'10'!C39+'11'!C38+'12'!C38+'13'!C38+'14'!C38</f>
        <v>464671</v>
      </c>
      <c r="E73" s="438">
        <f>'4.1'!C73+'4.2'!C73+'4.3'!C73</f>
        <v>464671</v>
      </c>
      <c r="F73" s="787">
        <f t="shared" si="1"/>
        <v>0</v>
      </c>
    </row>
    <row r="74" spans="1:6" s="438" customFormat="1" ht="14.25" customHeight="1" thickBot="1">
      <c r="A74" s="484" t="s">
        <v>343</v>
      </c>
      <c r="B74" s="442" t="s">
        <v>321</v>
      </c>
      <c r="C74" s="446">
        <f>9!C77+'10'!C40+'11'!C39+'12'!C39+'13'!C39+'14'!C39</f>
        <v>0</v>
      </c>
      <c r="E74" s="438">
        <f>'4.1'!C74+'4.2'!C74+'4.3'!C74</f>
        <v>0</v>
      </c>
      <c r="F74" s="787">
        <f t="shared" si="1"/>
        <v>0</v>
      </c>
    </row>
    <row r="75" spans="1:6" s="438" customFormat="1" ht="14.25" customHeight="1" thickBot="1">
      <c r="A75" s="486" t="s">
        <v>322</v>
      </c>
      <c r="B75" s="443" t="s">
        <v>323</v>
      </c>
      <c r="C75" s="437">
        <f>SUM(C76:C78)</f>
        <v>750000</v>
      </c>
      <c r="E75" s="438">
        <f>'4.1'!C75+'4.2'!C75+'4.3'!C75</f>
        <v>750000</v>
      </c>
      <c r="F75" s="787">
        <f t="shared" si="1"/>
        <v>0</v>
      </c>
    </row>
    <row r="76" spans="1:6" s="438" customFormat="1" ht="14.25" customHeight="1">
      <c r="A76" s="482" t="s">
        <v>344</v>
      </c>
      <c r="B76" s="439" t="s">
        <v>324</v>
      </c>
      <c r="C76" s="446"/>
      <c r="E76" s="438">
        <f>'4.1'!C76+'4.2'!C76+'4.3'!C76</f>
        <v>0</v>
      </c>
      <c r="F76" s="787">
        <f t="shared" si="1"/>
        <v>0</v>
      </c>
    </row>
    <row r="77" spans="1:6" s="438" customFormat="1" ht="14.25" customHeight="1">
      <c r="A77" s="483" t="s">
        <v>345</v>
      </c>
      <c r="B77" s="441" t="s">
        <v>325</v>
      </c>
      <c r="C77" s="446"/>
      <c r="E77" s="438">
        <f>'4.1'!C77+'4.2'!C77+'4.3'!C77</f>
        <v>0</v>
      </c>
      <c r="F77" s="787">
        <f t="shared" si="1"/>
        <v>0</v>
      </c>
    </row>
    <row r="78" spans="1:6" s="438" customFormat="1" ht="14.25" customHeight="1" thickBot="1">
      <c r="A78" s="484" t="s">
        <v>346</v>
      </c>
      <c r="B78" s="442" t="s">
        <v>326</v>
      </c>
      <c r="C78" s="446">
        <f>9!C81</f>
        <v>750000</v>
      </c>
      <c r="E78" s="438">
        <f>'4.1'!C78+'4.2'!C78+'4.3'!C78</f>
        <v>750000</v>
      </c>
      <c r="F78" s="787">
        <f t="shared" si="1"/>
        <v>0</v>
      </c>
    </row>
    <row r="79" spans="1:6" s="438" customFormat="1" ht="14.25" customHeight="1" thickBot="1">
      <c r="A79" s="486" t="s">
        <v>327</v>
      </c>
      <c r="B79" s="443" t="s">
        <v>347</v>
      </c>
      <c r="C79" s="437">
        <f>SUM(C80:C83)</f>
        <v>0</v>
      </c>
      <c r="E79" s="438">
        <f>'4.1'!C79+'4.2'!C79+'4.3'!C79</f>
        <v>0</v>
      </c>
      <c r="F79" s="787">
        <f t="shared" si="1"/>
        <v>0</v>
      </c>
    </row>
    <row r="80" spans="1:6" s="438" customFormat="1" ht="14.25" customHeight="1">
      <c r="A80" s="487" t="s">
        <v>328</v>
      </c>
      <c r="B80" s="439" t="s">
        <v>329</v>
      </c>
      <c r="C80" s="446"/>
      <c r="E80" s="438">
        <f>'4.1'!C80+'4.2'!C80+'4.3'!C80</f>
        <v>0</v>
      </c>
      <c r="F80" s="787">
        <f t="shared" si="1"/>
        <v>0</v>
      </c>
    </row>
    <row r="81" spans="1:6" s="438" customFormat="1" ht="14.25" customHeight="1">
      <c r="A81" s="488" t="s">
        <v>330</v>
      </c>
      <c r="B81" s="441" t="s">
        <v>331</v>
      </c>
      <c r="C81" s="446"/>
      <c r="E81" s="438">
        <f>'4.1'!C81+'4.2'!C81+'4.3'!C81</f>
        <v>0</v>
      </c>
      <c r="F81" s="787">
        <f t="shared" si="1"/>
        <v>0</v>
      </c>
    </row>
    <row r="82" spans="1:6" s="438" customFormat="1" ht="14.25" customHeight="1">
      <c r="A82" s="488" t="s">
        <v>332</v>
      </c>
      <c r="B82" s="441" t="s">
        <v>333</v>
      </c>
      <c r="C82" s="446"/>
      <c r="E82" s="438">
        <f>'4.1'!C82+'4.2'!C82+'4.3'!C82</f>
        <v>0</v>
      </c>
      <c r="F82" s="787">
        <f t="shared" si="1"/>
        <v>0</v>
      </c>
    </row>
    <row r="83" spans="1:6" s="438" customFormat="1" ht="14.25" customHeight="1" thickBot="1">
      <c r="A83" s="489" t="s">
        <v>334</v>
      </c>
      <c r="B83" s="442" t="s">
        <v>335</v>
      </c>
      <c r="C83" s="446"/>
      <c r="E83" s="438">
        <f>'4.1'!C83+'4.2'!C83+'4.3'!C83</f>
        <v>0</v>
      </c>
      <c r="F83" s="787">
        <f t="shared" si="1"/>
        <v>0</v>
      </c>
    </row>
    <row r="84" spans="1:6" s="438" customFormat="1" ht="14.25" customHeight="1" thickBot="1">
      <c r="A84" s="486" t="s">
        <v>336</v>
      </c>
      <c r="B84" s="443" t="s">
        <v>475</v>
      </c>
      <c r="C84" s="448">
        <f>9!C87</f>
        <v>0</v>
      </c>
      <c r="E84" s="438">
        <f>'4.1'!C84+'4.2'!C84+'4.3'!C84</f>
        <v>0</v>
      </c>
      <c r="F84" s="787">
        <f t="shared" si="1"/>
        <v>0</v>
      </c>
    </row>
    <row r="85" spans="1:6" s="438" customFormat="1" ht="14.25" customHeight="1" thickBot="1">
      <c r="A85" s="486" t="s">
        <v>338</v>
      </c>
      <c r="B85" s="443" t="s">
        <v>337</v>
      </c>
      <c r="C85" s="448">
        <f>9!C88</f>
        <v>0</v>
      </c>
      <c r="E85" s="438">
        <f>'4.1'!C85+'4.2'!C85+'4.3'!C85</f>
        <v>0</v>
      </c>
      <c r="F85" s="787">
        <f t="shared" si="1"/>
        <v>0</v>
      </c>
    </row>
    <row r="86" spans="1:6" s="438" customFormat="1" ht="15.75" customHeight="1" thickBot="1">
      <c r="A86" s="486" t="s">
        <v>350</v>
      </c>
      <c r="B86" s="449" t="s">
        <v>478</v>
      </c>
      <c r="C86" s="470">
        <f>+C63+C67+C72+C75+C79+C85+C84</f>
        <v>1214671</v>
      </c>
      <c r="E86" s="438">
        <f>'4.1'!C86+'4.2'!C86+'4.3'!C86</f>
        <v>1214671</v>
      </c>
      <c r="F86" s="787">
        <f t="shared" si="1"/>
        <v>0</v>
      </c>
    </row>
    <row r="87" spans="1:6" s="438" customFormat="1" ht="16.5" customHeight="1" thickBot="1">
      <c r="A87" s="490" t="s">
        <v>477</v>
      </c>
      <c r="B87" s="450" t="s">
        <v>479</v>
      </c>
      <c r="C87" s="470">
        <f>+C62+C86</f>
        <v>11093335.91</v>
      </c>
      <c r="E87" s="438">
        <f>'4.1'!C87+'4.2'!C87+'4.3'!C87</f>
        <v>11093336</v>
      </c>
      <c r="F87" s="787">
        <f t="shared" si="1"/>
        <v>-0.08999999985098839</v>
      </c>
    </row>
    <row r="88" spans="1:6" s="438" customFormat="1" ht="83.25" customHeight="1">
      <c r="A88" s="4"/>
      <c r="B88" s="5"/>
      <c r="C88" s="451"/>
      <c r="F88" s="787"/>
    </row>
    <row r="89" spans="1:6" ht="16.5" customHeight="1">
      <c r="A89" s="1431" t="s">
        <v>46</v>
      </c>
      <c r="B89" s="1431"/>
      <c r="C89" s="1431"/>
      <c r="E89" s="438"/>
      <c r="F89" s="787"/>
    </row>
    <row r="90" spans="1:6" ht="16.5" customHeight="1" thickBot="1">
      <c r="A90" s="1432" t="s">
        <v>150</v>
      </c>
      <c r="B90" s="1432"/>
      <c r="C90" s="260" t="s">
        <v>229</v>
      </c>
      <c r="E90" s="438"/>
      <c r="F90" s="787"/>
    </row>
    <row r="91" spans="1:6" ht="37.5" customHeight="1" thickBot="1">
      <c r="A91" s="390" t="s">
        <v>65</v>
      </c>
      <c r="B91" s="391" t="s">
        <v>47</v>
      </c>
      <c r="C91" s="392" t="str">
        <f>+C3</f>
        <v>2015. évi előirányzat</v>
      </c>
      <c r="E91" s="438"/>
      <c r="F91" s="787"/>
    </row>
    <row r="92" spans="1:6" s="435" customFormat="1" ht="12" customHeight="1" thickBot="1">
      <c r="A92" s="390" t="s">
        <v>492</v>
      </c>
      <c r="B92" s="391" t="s">
        <v>493</v>
      </c>
      <c r="C92" s="392" t="s">
        <v>494</v>
      </c>
      <c r="E92" s="438"/>
      <c r="F92" s="787"/>
    </row>
    <row r="93" spans="1:6" ht="14.25" customHeight="1" thickBot="1">
      <c r="A93" s="491" t="s">
        <v>17</v>
      </c>
      <c r="B93" s="393" t="s">
        <v>565</v>
      </c>
      <c r="C93" s="452">
        <f>C94+C95+C96+C97+C98+C111</f>
        <v>6191990</v>
      </c>
      <c r="E93" s="438">
        <f>'4.1'!C93+'4.2'!C93+'4.3'!C93</f>
        <v>6191990</v>
      </c>
      <c r="F93" s="787">
        <f t="shared" si="1"/>
        <v>0</v>
      </c>
    </row>
    <row r="94" spans="1:9" ht="14.25" customHeight="1">
      <c r="A94" s="492" t="s">
        <v>94</v>
      </c>
      <c r="B94" s="453" t="s">
        <v>48</v>
      </c>
      <c r="C94" s="454">
        <f>9!C94+'10'!C47+'11'!C46+'12'!C46+'13'!C46+'14'!C46</f>
        <v>1402322</v>
      </c>
      <c r="E94" s="438">
        <f>'4.1'!C94+'4.2'!C94+'4.3'!C94</f>
        <v>1402322</v>
      </c>
      <c r="F94" s="787">
        <f t="shared" si="1"/>
        <v>0</v>
      </c>
      <c r="I94" s="1362">
        <f>C93</f>
        <v>6191990</v>
      </c>
    </row>
    <row r="95" spans="1:9" ht="14.25" customHeight="1">
      <c r="A95" s="483" t="s">
        <v>95</v>
      </c>
      <c r="B95" s="455" t="s">
        <v>180</v>
      </c>
      <c r="C95" s="457">
        <f>9!C95+'10'!C48+'11'!C47+'12'!C47+'13'!C47+'14'!C47</f>
        <v>412903</v>
      </c>
      <c r="E95" s="438">
        <f>'4.1'!C95+'4.2'!C95+'4.3'!C95</f>
        <v>412903</v>
      </c>
      <c r="F95" s="787">
        <f t="shared" si="1"/>
        <v>0</v>
      </c>
      <c r="I95" s="1362">
        <f>I24-I94</f>
        <v>1638783.9100000001</v>
      </c>
    </row>
    <row r="96" spans="1:6" ht="14.25" customHeight="1">
      <c r="A96" s="483" t="s">
        <v>96</v>
      </c>
      <c r="B96" s="455" t="s">
        <v>137</v>
      </c>
      <c r="C96" s="457">
        <f>9!C96+'10'!C49+'11'!C48+'12'!C48+'13'!C48+'14'!C48</f>
        <v>3489103</v>
      </c>
      <c r="E96" s="438">
        <f>'4.1'!C96+'4.2'!C96+'4.3'!C96</f>
        <v>3489103</v>
      </c>
      <c r="F96" s="787">
        <f t="shared" si="1"/>
        <v>0</v>
      </c>
    </row>
    <row r="97" spans="1:6" ht="14.25" customHeight="1">
      <c r="A97" s="483" t="s">
        <v>97</v>
      </c>
      <c r="B97" s="458" t="s">
        <v>181</v>
      </c>
      <c r="C97" s="457">
        <f>9!C97+'10'!C50+'11'!C49+'12'!C49+'13'!C49+'14'!C49</f>
        <v>54775</v>
      </c>
      <c r="E97" s="438">
        <f>'4.1'!C97+'4.2'!C97+'4.3'!C97</f>
        <v>54775</v>
      </c>
      <c r="F97" s="787">
        <f t="shared" si="1"/>
        <v>0</v>
      </c>
    </row>
    <row r="98" spans="1:6" ht="14.25" customHeight="1">
      <c r="A98" s="483" t="s">
        <v>108</v>
      </c>
      <c r="B98" s="459" t="s">
        <v>182</v>
      </c>
      <c r="C98" s="457">
        <f>9!C98+'10'!C51+'11'!C50+'12'!C50+'13'!C50+'14'!C50</f>
        <v>524581</v>
      </c>
      <c r="E98" s="438">
        <f>'4.1'!C98+'4.2'!C98+'4.3'!C98</f>
        <v>524581</v>
      </c>
      <c r="F98" s="787">
        <f t="shared" si="1"/>
        <v>0</v>
      </c>
    </row>
    <row r="99" spans="1:6" ht="14.25" customHeight="1">
      <c r="A99" s="483" t="s">
        <v>98</v>
      </c>
      <c r="B99" s="455" t="s">
        <v>442</v>
      </c>
      <c r="C99" s="457">
        <f>9!C99</f>
        <v>0</v>
      </c>
      <c r="E99" s="438">
        <f>'4.1'!C99+'4.2'!C99+'4.3'!C99</f>
        <v>0</v>
      </c>
      <c r="F99" s="787">
        <f t="shared" si="1"/>
        <v>0</v>
      </c>
    </row>
    <row r="100" spans="1:6" ht="14.25" customHeight="1">
      <c r="A100" s="483" t="s">
        <v>99</v>
      </c>
      <c r="B100" s="460" t="s">
        <v>441</v>
      </c>
      <c r="C100" s="457">
        <f>9!C100</f>
        <v>0</v>
      </c>
      <c r="E100" s="438">
        <f>'4.1'!C100+'4.2'!C100+'4.3'!C100</f>
        <v>0</v>
      </c>
      <c r="F100" s="787">
        <f t="shared" si="1"/>
        <v>0</v>
      </c>
    </row>
    <row r="101" spans="1:6" ht="14.25" customHeight="1">
      <c r="A101" s="483" t="s">
        <v>109</v>
      </c>
      <c r="B101" s="460" t="s">
        <v>440</v>
      </c>
      <c r="C101" s="457">
        <f>9!C101</f>
        <v>21181</v>
      </c>
      <c r="E101" s="438">
        <f>'4.1'!C101+'4.2'!C101+'4.3'!C101</f>
        <v>21181</v>
      </c>
      <c r="F101" s="787">
        <f t="shared" si="1"/>
        <v>0</v>
      </c>
    </row>
    <row r="102" spans="1:6" ht="14.25" customHeight="1">
      <c r="A102" s="483" t="s">
        <v>110</v>
      </c>
      <c r="B102" s="461" t="s">
        <v>353</v>
      </c>
      <c r="C102" s="457">
        <f>9!C102</f>
        <v>0</v>
      </c>
      <c r="E102" s="438">
        <f>'4.1'!C102+'4.2'!C102+'4.3'!C102</f>
        <v>0</v>
      </c>
      <c r="F102" s="787">
        <f t="shared" si="1"/>
        <v>0</v>
      </c>
    </row>
    <row r="103" spans="1:6" ht="14.25" customHeight="1">
      <c r="A103" s="483" t="s">
        <v>111</v>
      </c>
      <c r="B103" s="455" t="s">
        <v>354</v>
      </c>
      <c r="C103" s="457">
        <f>9!C103</f>
        <v>0</v>
      </c>
      <c r="E103" s="438">
        <f>'4.1'!C103+'4.2'!C103+'4.3'!C103</f>
        <v>0</v>
      </c>
      <c r="F103" s="787">
        <f t="shared" si="1"/>
        <v>0</v>
      </c>
    </row>
    <row r="104" spans="1:6" ht="14.25" customHeight="1">
      <c r="A104" s="483" t="s">
        <v>112</v>
      </c>
      <c r="B104" s="455" t="s">
        <v>355</v>
      </c>
      <c r="C104" s="457">
        <f>9!C104</f>
        <v>0</v>
      </c>
      <c r="E104" s="438">
        <f>'4.1'!C104+'4.2'!C104+'4.3'!C104</f>
        <v>0</v>
      </c>
      <c r="F104" s="787">
        <f t="shared" si="1"/>
        <v>0</v>
      </c>
    </row>
    <row r="105" spans="1:6" ht="14.25" customHeight="1">
      <c r="A105" s="483" t="s">
        <v>114</v>
      </c>
      <c r="B105" s="461" t="s">
        <v>356</v>
      </c>
      <c r="C105" s="457">
        <f>9!C105+'13'!C50+'12'!C50</f>
        <v>104850</v>
      </c>
      <c r="E105" s="438">
        <f>'4.1'!C105+'4.2'!C105+'4.3'!C105</f>
        <v>104850</v>
      </c>
      <c r="F105" s="787">
        <f t="shared" si="1"/>
        <v>0</v>
      </c>
    </row>
    <row r="106" spans="1:6" ht="14.25" customHeight="1">
      <c r="A106" s="483" t="s">
        <v>183</v>
      </c>
      <c r="B106" s="461" t="s">
        <v>357</v>
      </c>
      <c r="C106" s="457">
        <f>9!C106</f>
        <v>0</v>
      </c>
      <c r="E106" s="438">
        <f>'4.1'!C106+'4.2'!C106+'4.3'!C106</f>
        <v>0</v>
      </c>
      <c r="F106" s="787">
        <f t="shared" si="1"/>
        <v>0</v>
      </c>
    </row>
    <row r="107" spans="1:6" ht="14.25" customHeight="1">
      <c r="A107" s="483" t="s">
        <v>351</v>
      </c>
      <c r="B107" s="455" t="s">
        <v>358</v>
      </c>
      <c r="C107" s="457">
        <f>9!C107</f>
        <v>246000</v>
      </c>
      <c r="E107" s="438">
        <f>'4.1'!C107+'4.2'!C107+'4.3'!C107</f>
        <v>246000</v>
      </c>
      <c r="F107" s="787">
        <f t="shared" si="1"/>
        <v>0</v>
      </c>
    </row>
    <row r="108" spans="1:6" ht="14.25" customHeight="1">
      <c r="A108" s="493" t="s">
        <v>352</v>
      </c>
      <c r="B108" s="460" t="s">
        <v>359</v>
      </c>
      <c r="C108" s="457">
        <f>9!C108</f>
        <v>0</v>
      </c>
      <c r="E108" s="438">
        <f>'4.1'!C108+'4.2'!C108+'4.3'!C108</f>
        <v>0</v>
      </c>
      <c r="F108" s="787">
        <f t="shared" si="1"/>
        <v>0</v>
      </c>
    </row>
    <row r="109" spans="1:6" ht="14.25" customHeight="1">
      <c r="A109" s="483" t="s">
        <v>438</v>
      </c>
      <c r="B109" s="460" t="s">
        <v>360</v>
      </c>
      <c r="C109" s="457">
        <f>9!C109</f>
        <v>0</v>
      </c>
      <c r="E109" s="438">
        <f>'4.1'!C109+'4.2'!C109+'4.3'!C109</f>
        <v>0</v>
      </c>
      <c r="F109" s="787">
        <f t="shared" si="1"/>
        <v>0</v>
      </c>
    </row>
    <row r="110" spans="1:6" ht="14.25" customHeight="1">
      <c r="A110" s="484" t="s">
        <v>439</v>
      </c>
      <c r="B110" s="460" t="s">
        <v>361</v>
      </c>
      <c r="C110" s="457">
        <f>9!C110+'10'!C51</f>
        <v>152550</v>
      </c>
      <c r="E110" s="438">
        <f>'4.1'!C110+'4.2'!C110+'4.3'!C110</f>
        <v>152550</v>
      </c>
      <c r="F110" s="787">
        <f t="shared" si="1"/>
        <v>0</v>
      </c>
    </row>
    <row r="111" spans="1:6" ht="14.25" customHeight="1">
      <c r="A111" s="483" t="s">
        <v>443</v>
      </c>
      <c r="B111" s="458" t="s">
        <v>49</v>
      </c>
      <c r="C111" s="456">
        <f>9!C111</f>
        <v>308306</v>
      </c>
      <c r="E111" s="438">
        <f>'4.1'!C111+'4.2'!C111+'4.3'!C111</f>
        <v>308306</v>
      </c>
      <c r="F111" s="787">
        <f t="shared" si="1"/>
        <v>0</v>
      </c>
    </row>
    <row r="112" spans="1:6" ht="14.25" customHeight="1">
      <c r="A112" s="483" t="s">
        <v>444</v>
      </c>
      <c r="B112" s="455" t="s">
        <v>446</v>
      </c>
      <c r="C112" s="456">
        <f>9!C112</f>
        <v>72483</v>
      </c>
      <c r="E112" s="438">
        <f>'4.1'!C112+'4.2'!C112+'4.3'!C112</f>
        <v>72483</v>
      </c>
      <c r="F112" s="787">
        <f t="shared" si="1"/>
        <v>0</v>
      </c>
    </row>
    <row r="113" spans="1:6" ht="14.25" customHeight="1" thickBot="1">
      <c r="A113" s="494" t="s">
        <v>445</v>
      </c>
      <c r="B113" s="462" t="s">
        <v>1151</v>
      </c>
      <c r="C113" s="463">
        <f>9!C113</f>
        <v>235823</v>
      </c>
      <c r="E113" s="438">
        <f>'4.1'!C113+'4.2'!C113+'4.3'!C113</f>
        <v>235823</v>
      </c>
      <c r="F113" s="787">
        <f t="shared" si="1"/>
        <v>0</v>
      </c>
    </row>
    <row r="114" spans="1:6" ht="14.25" customHeight="1" thickBot="1">
      <c r="A114" s="495" t="s">
        <v>18</v>
      </c>
      <c r="B114" s="396" t="s">
        <v>566</v>
      </c>
      <c r="C114" s="464">
        <f>+C115+C117+C119</f>
        <v>4097789</v>
      </c>
      <c r="E114" s="438">
        <f>'4.1'!C114+'4.2'!C114+'4.3'!C114</f>
        <v>4097789</v>
      </c>
      <c r="F114" s="787">
        <f t="shared" si="1"/>
        <v>0</v>
      </c>
    </row>
    <row r="115" spans="1:6" ht="14.25" customHeight="1">
      <c r="A115" s="482" t="s">
        <v>100</v>
      </c>
      <c r="B115" s="455" t="s">
        <v>228</v>
      </c>
      <c r="C115" s="465">
        <f>9!C115+'10'!C53+'11'!C52+'12'!C52+'13'!C52+'14'!C52</f>
        <v>2909311</v>
      </c>
      <c r="E115" s="438">
        <f>'4.1'!C115+'4.2'!C115+'4.3'!C115</f>
        <v>2909311</v>
      </c>
      <c r="F115" s="787">
        <f t="shared" si="1"/>
        <v>0</v>
      </c>
    </row>
    <row r="116" spans="1:6" ht="14.25" customHeight="1">
      <c r="A116" s="482" t="s">
        <v>101</v>
      </c>
      <c r="B116" s="460" t="s">
        <v>365</v>
      </c>
      <c r="C116" s="465">
        <f>9!C116</f>
        <v>1147846</v>
      </c>
      <c r="E116" s="438">
        <f>'4.1'!C116+'4.2'!C116+'4.3'!C116</f>
        <v>1147846</v>
      </c>
      <c r="F116" s="787">
        <f t="shared" si="1"/>
        <v>0</v>
      </c>
    </row>
    <row r="117" spans="1:6" ht="14.25" customHeight="1">
      <c r="A117" s="482" t="s">
        <v>102</v>
      </c>
      <c r="B117" s="460" t="s">
        <v>184</v>
      </c>
      <c r="C117" s="456">
        <f>9!C117+'10'!C54+'11'!C53+'12'!C53+'13'!C53+'14'!C53</f>
        <v>132032</v>
      </c>
      <c r="E117" s="438">
        <f>'4.1'!C117+'4.2'!C117+'4.3'!C117</f>
        <v>132032</v>
      </c>
      <c r="F117" s="787">
        <f t="shared" si="1"/>
        <v>0</v>
      </c>
    </row>
    <row r="118" spans="1:6" ht="14.25" customHeight="1">
      <c r="A118" s="482" t="s">
        <v>103</v>
      </c>
      <c r="B118" s="460" t="s">
        <v>366</v>
      </c>
      <c r="C118" s="466">
        <f>9!C118</f>
        <v>0</v>
      </c>
      <c r="E118" s="438">
        <f>'4.1'!C118+'4.2'!C118+'4.3'!C118</f>
        <v>0</v>
      </c>
      <c r="F118" s="787">
        <f t="shared" si="1"/>
        <v>0</v>
      </c>
    </row>
    <row r="119" spans="1:6" ht="14.25" customHeight="1">
      <c r="A119" s="482" t="s">
        <v>104</v>
      </c>
      <c r="B119" s="442" t="s">
        <v>231</v>
      </c>
      <c r="C119" s="466">
        <f>9!C119+'10'!C55+'11'!C54+'12'!C54+'13'!C54+'14'!C54</f>
        <v>1056446</v>
      </c>
      <c r="E119" s="438">
        <f>'4.1'!C119+'4.2'!C119+'4.3'!C119</f>
        <v>1056446</v>
      </c>
      <c r="F119" s="787">
        <f t="shared" si="1"/>
        <v>0</v>
      </c>
    </row>
    <row r="120" spans="1:6" ht="14.25" customHeight="1">
      <c r="A120" s="482" t="s">
        <v>113</v>
      </c>
      <c r="B120" s="441" t="s">
        <v>430</v>
      </c>
      <c r="C120" s="466">
        <f>9!C120</f>
        <v>0</v>
      </c>
      <c r="E120" s="438">
        <f>'4.1'!C120+'4.2'!C120+'4.3'!C120</f>
        <v>0</v>
      </c>
      <c r="F120" s="787">
        <f t="shared" si="1"/>
        <v>0</v>
      </c>
    </row>
    <row r="121" spans="1:6" ht="14.25" customHeight="1">
      <c r="A121" s="482" t="s">
        <v>115</v>
      </c>
      <c r="B121" s="467" t="s">
        <v>371</v>
      </c>
      <c r="C121" s="466">
        <f>9!C121</f>
        <v>0</v>
      </c>
      <c r="E121" s="438">
        <f>'4.1'!C121+'4.2'!C121+'4.3'!C121</f>
        <v>0</v>
      </c>
      <c r="F121" s="787">
        <f t="shared" si="1"/>
        <v>0</v>
      </c>
    </row>
    <row r="122" spans="1:6" ht="14.25" customHeight="1">
      <c r="A122" s="482" t="s">
        <v>185</v>
      </c>
      <c r="B122" s="455" t="s">
        <v>355</v>
      </c>
      <c r="C122" s="466">
        <f>9!C122</f>
        <v>0</v>
      </c>
      <c r="E122" s="438">
        <f>'4.1'!C122+'4.2'!C122+'4.3'!C122</f>
        <v>0</v>
      </c>
      <c r="F122" s="787">
        <f t="shared" si="1"/>
        <v>0</v>
      </c>
    </row>
    <row r="123" spans="1:6" ht="14.25" customHeight="1">
      <c r="A123" s="482" t="s">
        <v>186</v>
      </c>
      <c r="B123" s="455" t="s">
        <v>370</v>
      </c>
      <c r="C123" s="466">
        <f>9!C123</f>
        <v>794308</v>
      </c>
      <c r="E123" s="438">
        <f>'4.1'!C123+'4.2'!C123+'4.3'!C123</f>
        <v>794308</v>
      </c>
      <c r="F123" s="787">
        <f t="shared" si="1"/>
        <v>0</v>
      </c>
    </row>
    <row r="124" spans="1:6" ht="14.25" customHeight="1">
      <c r="A124" s="482" t="s">
        <v>187</v>
      </c>
      <c r="B124" s="455" t="s">
        <v>369</v>
      </c>
      <c r="C124" s="466">
        <f>9!C124</f>
        <v>0</v>
      </c>
      <c r="E124" s="438">
        <f>'4.1'!C124+'4.2'!C124+'4.3'!C124</f>
        <v>0</v>
      </c>
      <c r="F124" s="787">
        <f t="shared" si="1"/>
        <v>0</v>
      </c>
    </row>
    <row r="125" spans="1:6" ht="14.25" customHeight="1">
      <c r="A125" s="482" t="s">
        <v>362</v>
      </c>
      <c r="B125" s="455" t="s">
        <v>358</v>
      </c>
      <c r="C125" s="466">
        <f>9!C125</f>
        <v>0</v>
      </c>
      <c r="E125" s="438">
        <f>'4.1'!C125+'4.2'!C125+'4.3'!C125</f>
        <v>0</v>
      </c>
      <c r="F125" s="787">
        <f t="shared" si="1"/>
        <v>0</v>
      </c>
    </row>
    <row r="126" spans="1:6" ht="14.25" customHeight="1">
      <c r="A126" s="482" t="s">
        <v>363</v>
      </c>
      <c r="B126" s="455" t="s">
        <v>368</v>
      </c>
      <c r="C126" s="466">
        <f>9!C126</f>
        <v>0</v>
      </c>
      <c r="E126" s="438">
        <f>'4.1'!C126+'4.2'!C126+'4.3'!C126</f>
        <v>0</v>
      </c>
      <c r="F126" s="787">
        <f t="shared" si="1"/>
        <v>0</v>
      </c>
    </row>
    <row r="127" spans="1:6" ht="14.25" customHeight="1" thickBot="1">
      <c r="A127" s="493" t="s">
        <v>364</v>
      </c>
      <c r="B127" s="455" t="s">
        <v>367</v>
      </c>
      <c r="C127" s="466">
        <f>9!C127</f>
        <v>262138</v>
      </c>
      <c r="E127" s="438">
        <f>'4.1'!C127+'4.2'!C127+'4.3'!C127</f>
        <v>262138</v>
      </c>
      <c r="F127" s="787">
        <f t="shared" si="1"/>
        <v>0</v>
      </c>
    </row>
    <row r="128" spans="1:6" ht="14.25" customHeight="1" thickBot="1">
      <c r="A128" s="390" t="s">
        <v>19</v>
      </c>
      <c r="B128" s="468" t="s">
        <v>448</v>
      </c>
      <c r="C128" s="469">
        <f>+C93+C114</f>
        <v>10289779</v>
      </c>
      <c r="E128" s="438">
        <f>'4.1'!C128+'4.2'!C128+'4.3'!C128</f>
        <v>10289779</v>
      </c>
      <c r="F128" s="787">
        <f t="shared" si="1"/>
        <v>0</v>
      </c>
    </row>
    <row r="129" spans="1:6" ht="14.25" customHeight="1" thickBot="1">
      <c r="A129" s="390" t="s">
        <v>20</v>
      </c>
      <c r="B129" s="468" t="s">
        <v>449</v>
      </c>
      <c r="C129" s="469">
        <f>+C130+C131+C132</f>
        <v>0</v>
      </c>
      <c r="E129" s="438">
        <f>'4.1'!C129+'4.2'!C129+'4.3'!C129</f>
        <v>0</v>
      </c>
      <c r="F129" s="787">
        <f t="shared" si="1"/>
        <v>0</v>
      </c>
    </row>
    <row r="130" spans="1:6" ht="14.25" customHeight="1">
      <c r="A130" s="482" t="s">
        <v>269</v>
      </c>
      <c r="B130" s="460" t="s">
        <v>456</v>
      </c>
      <c r="C130" s="466"/>
      <c r="E130" s="438">
        <f>'4.1'!C130+'4.2'!C130+'4.3'!C130</f>
        <v>0</v>
      </c>
      <c r="F130" s="787">
        <f t="shared" si="1"/>
        <v>0</v>
      </c>
    </row>
    <row r="131" spans="1:6" ht="14.25" customHeight="1">
      <c r="A131" s="482" t="s">
        <v>270</v>
      </c>
      <c r="B131" s="460" t="s">
        <v>457</v>
      </c>
      <c r="C131" s="466"/>
      <c r="E131" s="438">
        <f>'4.1'!C131+'4.2'!C131+'4.3'!C131</f>
        <v>0</v>
      </c>
      <c r="F131" s="787">
        <f t="shared" si="1"/>
        <v>0</v>
      </c>
    </row>
    <row r="132" spans="1:6" ht="14.25" customHeight="1" thickBot="1">
      <c r="A132" s="493" t="s">
        <v>271</v>
      </c>
      <c r="B132" s="460" t="s">
        <v>458</v>
      </c>
      <c r="C132" s="466"/>
      <c r="E132" s="438">
        <f>'4.1'!C132+'4.2'!C132+'4.3'!C132</f>
        <v>0</v>
      </c>
      <c r="F132" s="787">
        <f t="shared" si="1"/>
        <v>0</v>
      </c>
    </row>
    <row r="133" spans="1:6" ht="14.25" customHeight="1" thickBot="1">
      <c r="A133" s="390" t="s">
        <v>21</v>
      </c>
      <c r="B133" s="468" t="s">
        <v>450</v>
      </c>
      <c r="C133" s="469">
        <f>SUM(C134:C139)</f>
        <v>0</v>
      </c>
      <c r="E133" s="438">
        <f>'4.1'!C133+'4.2'!C133+'4.3'!C133</f>
        <v>0</v>
      </c>
      <c r="F133" s="787">
        <f t="shared" si="1"/>
        <v>0</v>
      </c>
    </row>
    <row r="134" spans="1:6" ht="14.25" customHeight="1">
      <c r="A134" s="482" t="s">
        <v>87</v>
      </c>
      <c r="B134" s="467" t="s">
        <v>459</v>
      </c>
      <c r="C134" s="466"/>
      <c r="E134" s="438">
        <f>'4.1'!C134+'4.2'!C134+'4.3'!C134</f>
        <v>0</v>
      </c>
      <c r="F134" s="787">
        <f aca="true" t="shared" si="2" ref="F134:F159">C134-E134</f>
        <v>0</v>
      </c>
    </row>
    <row r="135" spans="1:6" ht="14.25" customHeight="1">
      <c r="A135" s="482" t="s">
        <v>88</v>
      </c>
      <c r="B135" s="467" t="s">
        <v>451</v>
      </c>
      <c r="C135" s="466"/>
      <c r="E135" s="438">
        <f>'4.1'!C135+'4.2'!C135+'4.3'!C135</f>
        <v>0</v>
      </c>
      <c r="F135" s="787">
        <f t="shared" si="2"/>
        <v>0</v>
      </c>
    </row>
    <row r="136" spans="1:6" ht="14.25" customHeight="1">
      <c r="A136" s="482" t="s">
        <v>89</v>
      </c>
      <c r="B136" s="467" t="s">
        <v>452</v>
      </c>
      <c r="C136" s="466"/>
      <c r="E136" s="438">
        <f>'4.1'!C136+'4.2'!C136+'4.3'!C136</f>
        <v>0</v>
      </c>
      <c r="F136" s="787">
        <f t="shared" si="2"/>
        <v>0</v>
      </c>
    </row>
    <row r="137" spans="1:6" ht="14.25" customHeight="1">
      <c r="A137" s="482" t="s">
        <v>172</v>
      </c>
      <c r="B137" s="467" t="s">
        <v>453</v>
      </c>
      <c r="C137" s="466"/>
      <c r="E137" s="438">
        <f>'4.1'!C137+'4.2'!C137+'4.3'!C137</f>
        <v>0</v>
      </c>
      <c r="F137" s="787">
        <f t="shared" si="2"/>
        <v>0</v>
      </c>
    </row>
    <row r="138" spans="1:6" ht="14.25" customHeight="1">
      <c r="A138" s="482" t="s">
        <v>173</v>
      </c>
      <c r="B138" s="467" t="s">
        <v>454</v>
      </c>
      <c r="C138" s="466"/>
      <c r="E138" s="438">
        <f>'4.1'!C138+'4.2'!C138+'4.3'!C138</f>
        <v>0</v>
      </c>
      <c r="F138" s="787">
        <f t="shared" si="2"/>
        <v>0</v>
      </c>
    </row>
    <row r="139" spans="1:6" ht="14.25" customHeight="1" thickBot="1">
      <c r="A139" s="493" t="s">
        <v>174</v>
      </c>
      <c r="B139" s="467" t="s">
        <v>455</v>
      </c>
      <c r="C139" s="466"/>
      <c r="E139" s="438">
        <f>'4.1'!C139+'4.2'!C139+'4.3'!C139</f>
        <v>0</v>
      </c>
      <c r="F139" s="787">
        <f t="shared" si="2"/>
        <v>0</v>
      </c>
    </row>
    <row r="140" spans="1:6" ht="14.25" customHeight="1" thickBot="1">
      <c r="A140" s="390" t="s">
        <v>22</v>
      </c>
      <c r="B140" s="468" t="s">
        <v>463</v>
      </c>
      <c r="C140" s="470">
        <f>+C141+C142+C143+C144</f>
        <v>803557</v>
      </c>
      <c r="E140" s="438">
        <f>'4.1'!C140+'4.2'!C140+'4.3'!C140</f>
        <v>803557</v>
      </c>
      <c r="F140" s="787">
        <f t="shared" si="2"/>
        <v>0</v>
      </c>
    </row>
    <row r="141" spans="1:6" ht="14.25" customHeight="1">
      <c r="A141" s="482" t="s">
        <v>90</v>
      </c>
      <c r="B141" s="467" t="s">
        <v>372</v>
      </c>
      <c r="C141" s="466">
        <f>9!C141</f>
        <v>0</v>
      </c>
      <c r="E141" s="438">
        <f>'4.1'!C141+'4.2'!C141+'4.3'!C141</f>
        <v>0</v>
      </c>
      <c r="F141" s="787">
        <f t="shared" si="2"/>
        <v>0</v>
      </c>
    </row>
    <row r="142" spans="1:6" ht="14.25" customHeight="1">
      <c r="A142" s="482" t="s">
        <v>91</v>
      </c>
      <c r="B142" s="467" t="s">
        <v>373</v>
      </c>
      <c r="C142" s="466">
        <f>9!C142</f>
        <v>53557</v>
      </c>
      <c r="E142" s="438">
        <f>'4.1'!C142+'4.2'!C142+'4.3'!C142</f>
        <v>53557</v>
      </c>
      <c r="F142" s="787">
        <f t="shared" si="2"/>
        <v>0</v>
      </c>
    </row>
    <row r="143" spans="1:6" ht="14.25" customHeight="1">
      <c r="A143" s="482" t="s">
        <v>287</v>
      </c>
      <c r="B143" s="467" t="s">
        <v>464</v>
      </c>
      <c r="C143" s="466">
        <f>9!C144</f>
        <v>750000</v>
      </c>
      <c r="E143" s="438">
        <f>'4.1'!C143+'4.2'!C143+'4.3'!C143</f>
        <v>750000</v>
      </c>
      <c r="F143" s="787">
        <f t="shared" si="2"/>
        <v>0</v>
      </c>
    </row>
    <row r="144" spans="1:6" ht="14.25" customHeight="1" thickBot="1">
      <c r="A144" s="493" t="s">
        <v>288</v>
      </c>
      <c r="B144" s="471" t="s">
        <v>392</v>
      </c>
      <c r="C144" s="466"/>
      <c r="E144" s="438">
        <f>'4.1'!C144+'4.2'!C144+'4.3'!C144</f>
        <v>0</v>
      </c>
      <c r="F144" s="787">
        <f t="shared" si="2"/>
        <v>0</v>
      </c>
    </row>
    <row r="145" spans="1:6" ht="14.25" customHeight="1" thickBot="1">
      <c r="A145" s="390" t="s">
        <v>23</v>
      </c>
      <c r="B145" s="468" t="s">
        <v>465</v>
      </c>
      <c r="C145" s="472">
        <f>SUM(C146:C150)</f>
        <v>0</v>
      </c>
      <c r="E145" s="438">
        <f>'4.1'!C145+'4.2'!C145+'4.3'!C145</f>
        <v>0</v>
      </c>
      <c r="F145" s="787">
        <f t="shared" si="2"/>
        <v>0</v>
      </c>
    </row>
    <row r="146" spans="1:6" ht="14.25" customHeight="1">
      <c r="A146" s="482" t="s">
        <v>92</v>
      </c>
      <c r="B146" s="467" t="s">
        <v>460</v>
      </c>
      <c r="C146" s="466"/>
      <c r="E146" s="438">
        <f>'4.1'!C146+'4.2'!C146+'4.3'!C146</f>
        <v>0</v>
      </c>
      <c r="F146" s="787">
        <f t="shared" si="2"/>
        <v>0</v>
      </c>
    </row>
    <row r="147" spans="1:6" ht="14.25" customHeight="1">
      <c r="A147" s="482" t="s">
        <v>93</v>
      </c>
      <c r="B147" s="467" t="s">
        <v>467</v>
      </c>
      <c r="C147" s="466"/>
      <c r="E147" s="438">
        <f>'4.1'!C147+'4.2'!C147+'4.3'!C147</f>
        <v>0</v>
      </c>
      <c r="F147" s="787">
        <f t="shared" si="2"/>
        <v>0</v>
      </c>
    </row>
    <row r="148" spans="1:6" ht="14.25" customHeight="1">
      <c r="A148" s="482" t="s">
        <v>299</v>
      </c>
      <c r="B148" s="467" t="s">
        <v>462</v>
      </c>
      <c r="C148" s="466"/>
      <c r="E148" s="438">
        <f>'4.1'!C148+'4.2'!C148+'4.3'!C148</f>
        <v>0</v>
      </c>
      <c r="F148" s="787">
        <f t="shared" si="2"/>
        <v>0</v>
      </c>
    </row>
    <row r="149" spans="1:6" ht="14.25" customHeight="1">
      <c r="A149" s="482" t="s">
        <v>300</v>
      </c>
      <c r="B149" s="467" t="s">
        <v>468</v>
      </c>
      <c r="C149" s="466"/>
      <c r="E149" s="438">
        <f>'4.1'!C149+'4.2'!C149+'4.3'!C149</f>
        <v>0</v>
      </c>
      <c r="F149" s="787">
        <f t="shared" si="2"/>
        <v>0</v>
      </c>
    </row>
    <row r="150" spans="1:6" ht="14.25" customHeight="1" thickBot="1">
      <c r="A150" s="482" t="s">
        <v>466</v>
      </c>
      <c r="B150" s="467" t="s">
        <v>469</v>
      </c>
      <c r="C150" s="466"/>
      <c r="E150" s="438">
        <f>'4.1'!C150+'4.2'!C150+'4.3'!C150</f>
        <v>0</v>
      </c>
      <c r="F150" s="787">
        <f t="shared" si="2"/>
        <v>0</v>
      </c>
    </row>
    <row r="151" spans="1:6" ht="14.25" customHeight="1" thickBot="1">
      <c r="A151" s="390" t="s">
        <v>24</v>
      </c>
      <c r="B151" s="468" t="s">
        <v>470</v>
      </c>
      <c r="C151" s="473">
        <f>9!C152</f>
        <v>0</v>
      </c>
      <c r="E151" s="438">
        <f>'4.1'!C151+'4.2'!C151+'4.3'!C151</f>
        <v>0</v>
      </c>
      <c r="F151" s="787">
        <f t="shared" si="2"/>
        <v>0</v>
      </c>
    </row>
    <row r="152" spans="1:6" ht="14.25" customHeight="1" thickBot="1">
      <c r="A152" s="390" t="s">
        <v>25</v>
      </c>
      <c r="B152" s="468" t="s">
        <v>471</v>
      </c>
      <c r="C152" s="473">
        <f>9!C153</f>
        <v>0</v>
      </c>
      <c r="E152" s="438">
        <f>'4.1'!C152+'4.2'!C152+'4.3'!C152</f>
        <v>0</v>
      </c>
      <c r="F152" s="787">
        <f t="shared" si="2"/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803557</v>
      </c>
      <c r="E153" s="438">
        <f>'4.1'!C153+'4.2'!C153+'4.3'!C153</f>
        <v>803557</v>
      </c>
      <c r="F153" s="787">
        <f t="shared" si="2"/>
        <v>0</v>
      </c>
      <c r="G153" s="476"/>
      <c r="H153" s="476"/>
      <c r="I153" s="476"/>
    </row>
    <row r="154" spans="1:6" s="438" customFormat="1" ht="12.75" customHeight="1" thickBot="1">
      <c r="A154" s="490" t="s">
        <v>27</v>
      </c>
      <c r="B154" s="477" t="s">
        <v>472</v>
      </c>
      <c r="C154" s="474">
        <f>+C128+C153</f>
        <v>11093336</v>
      </c>
      <c r="E154" s="438">
        <f>'4.1'!C154+'4.2'!C154+'4.3'!C154</f>
        <v>11093336</v>
      </c>
      <c r="F154" s="787">
        <f t="shared" si="2"/>
        <v>0</v>
      </c>
    </row>
    <row r="155" spans="5:6" ht="7.5" customHeight="1">
      <c r="E155" s="438"/>
      <c r="F155" s="787">
        <f t="shared" si="2"/>
        <v>0</v>
      </c>
    </row>
    <row r="156" spans="1:6" ht="15.75">
      <c r="A156" s="1433" t="s">
        <v>374</v>
      </c>
      <c r="B156" s="1433"/>
      <c r="C156" s="1433"/>
      <c r="E156" s="438"/>
      <c r="F156" s="787">
        <f t="shared" si="2"/>
        <v>0</v>
      </c>
    </row>
    <row r="157" spans="1:6" ht="15" customHeight="1" thickBot="1">
      <c r="A157" s="1432" t="s">
        <v>151</v>
      </c>
      <c r="B157" s="1432"/>
      <c r="C157" s="383" t="s">
        <v>229</v>
      </c>
      <c r="E157" s="438"/>
      <c r="F157" s="787"/>
    </row>
    <row r="158" spans="1:6" ht="13.5" customHeight="1" thickBot="1">
      <c r="A158" s="384">
        <v>1</v>
      </c>
      <c r="B158" s="400" t="s">
        <v>474</v>
      </c>
      <c r="C158" s="470">
        <f>+C62-C128</f>
        <v>-411114.08999999985</v>
      </c>
      <c r="D158" s="480"/>
      <c r="E158" s="438">
        <f>'4.1'!C158+'4.2'!C158+'4.3'!C158</f>
        <v>-411114</v>
      </c>
      <c r="F158" s="787">
        <f t="shared" si="2"/>
        <v>-0.08999999985098839</v>
      </c>
    </row>
    <row r="159" spans="1:6" ht="26.25" thickBot="1">
      <c r="A159" s="384" t="s">
        <v>18</v>
      </c>
      <c r="B159" s="400" t="s">
        <v>1209</v>
      </c>
      <c r="C159" s="470">
        <f>+C86-C153</f>
        <v>411114</v>
      </c>
      <c r="E159" s="438">
        <f>'4.1'!C159+'4.2'!C159+'4.3'!C159</f>
        <v>411114</v>
      </c>
      <c r="F159" s="787">
        <f t="shared" si="2"/>
        <v>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KÖLTSÉGVETÉSÉNEK ÖSSZEVONT MÉRLEGE&amp;10
&amp;R&amp;"Times New Roman CE,Félkövér dőlt"&amp;11 4. számú melléklet</oddHeader>
  </headerFooter>
  <rowBreaks count="3" manualBreakCount="3">
    <brk id="51" max="2" man="1"/>
    <brk id="88" max="2" man="1"/>
    <brk id="128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1"/>
  <sheetViews>
    <sheetView zoomScale="120" zoomScaleNormal="120" zoomScalePageLayoutView="0" workbookViewId="0" topLeftCell="A1">
      <selection activeCell="A1" sqref="A1:F1"/>
    </sheetView>
  </sheetViews>
  <sheetFormatPr defaultColWidth="9.375" defaultRowHeight="12.75"/>
  <cols>
    <col min="1" max="1" width="5.625" style="126" customWidth="1"/>
    <col min="2" max="2" width="35.625" style="126" customWidth="1"/>
    <col min="3" max="6" width="14.00390625" style="126" customWidth="1"/>
    <col min="7" max="16384" width="9.375" style="126" customWidth="1"/>
  </cols>
  <sheetData>
    <row r="1" spans="1:6" ht="33" customHeight="1">
      <c r="A1" s="1552" t="s">
        <v>681</v>
      </c>
      <c r="B1" s="1552"/>
      <c r="C1" s="1552"/>
      <c r="D1" s="1552"/>
      <c r="E1" s="1552"/>
      <c r="F1" s="1552"/>
    </row>
    <row r="2" spans="1:7" ht="15.75" customHeight="1" thickBot="1">
      <c r="A2" s="127"/>
      <c r="B2" s="127"/>
      <c r="C2" s="1556"/>
      <c r="D2" s="1556"/>
      <c r="E2" s="1563" t="s">
        <v>54</v>
      </c>
      <c r="F2" s="1563"/>
      <c r="G2" s="133"/>
    </row>
    <row r="3" spans="1:6" ht="63" customHeight="1">
      <c r="A3" s="1559" t="s">
        <v>15</v>
      </c>
      <c r="B3" s="1561" t="s">
        <v>194</v>
      </c>
      <c r="C3" s="1561" t="s">
        <v>252</v>
      </c>
      <c r="D3" s="1561"/>
      <c r="E3" s="1561"/>
      <c r="F3" s="1557" t="s">
        <v>501</v>
      </c>
    </row>
    <row r="4" spans="1:6" ht="15.75" thickBot="1">
      <c r="A4" s="1560"/>
      <c r="B4" s="1562"/>
      <c r="C4" s="334">
        <f>+LEFT(ÖSSZEFÜGGÉSEK!A5,4)+1</f>
        <v>2016</v>
      </c>
      <c r="D4" s="334">
        <f>+C4+1</f>
        <v>2017</v>
      </c>
      <c r="E4" s="334">
        <f>+D4+1</f>
        <v>2018</v>
      </c>
      <c r="F4" s="1558"/>
    </row>
    <row r="5" spans="1:6" ht="15.75" thickBot="1">
      <c r="A5" s="130" t="s">
        <v>492</v>
      </c>
      <c r="B5" s="131" t="s">
        <v>493</v>
      </c>
      <c r="C5" s="131" t="s">
        <v>494</v>
      </c>
      <c r="D5" s="131" t="s">
        <v>496</v>
      </c>
      <c r="E5" s="131" t="s">
        <v>495</v>
      </c>
      <c r="F5" s="132" t="s">
        <v>497</v>
      </c>
    </row>
    <row r="6" spans="1:6" ht="15">
      <c r="A6" s="129" t="s">
        <v>17</v>
      </c>
      <c r="B6" s="151" t="s">
        <v>682</v>
      </c>
      <c r="C6" s="152">
        <v>0</v>
      </c>
      <c r="D6" s="152">
        <v>0</v>
      </c>
      <c r="E6" s="152">
        <v>0</v>
      </c>
      <c r="F6" s="136">
        <f>SUM(C6:E6)</f>
        <v>0</v>
      </c>
    </row>
    <row r="7" spans="1:6" ht="15">
      <c r="A7" s="128" t="s">
        <v>18</v>
      </c>
      <c r="B7" s="153" t="s">
        <v>683</v>
      </c>
      <c r="C7" s="154">
        <v>0</v>
      </c>
      <c r="D7" s="154">
        <v>0</v>
      </c>
      <c r="E7" s="154">
        <v>0</v>
      </c>
      <c r="F7" s="137">
        <f>SUM(C7:E7)</f>
        <v>0</v>
      </c>
    </row>
    <row r="8" spans="1:6" ht="15">
      <c r="A8" s="128" t="s">
        <v>19</v>
      </c>
      <c r="B8" s="153" t="s">
        <v>684</v>
      </c>
      <c r="C8" s="154">
        <v>0</v>
      </c>
      <c r="D8" s="154">
        <v>0</v>
      </c>
      <c r="E8" s="154">
        <v>0</v>
      </c>
      <c r="F8" s="137">
        <f>SUM(C8:E8)</f>
        <v>0</v>
      </c>
    </row>
    <row r="9" spans="1:6" ht="15">
      <c r="A9" s="128" t="s">
        <v>20</v>
      </c>
      <c r="B9" s="153" t="s">
        <v>685</v>
      </c>
      <c r="C9" s="154">
        <v>0</v>
      </c>
      <c r="D9" s="154">
        <v>0</v>
      </c>
      <c r="E9" s="154">
        <v>0</v>
      </c>
      <c r="F9" s="137">
        <f>SUM(C9:E9)</f>
        <v>0</v>
      </c>
    </row>
    <row r="10" spans="1:6" ht="15.75" thickBot="1">
      <c r="A10" s="134" t="s">
        <v>21</v>
      </c>
      <c r="B10" s="155"/>
      <c r="C10" s="156"/>
      <c r="D10" s="156"/>
      <c r="E10" s="156"/>
      <c r="F10" s="137">
        <f>SUM(C10:E10)</f>
        <v>0</v>
      </c>
    </row>
    <row r="11" spans="1:6" s="322" customFormat="1" ht="15" thickBot="1">
      <c r="A11" s="319" t="s">
        <v>22</v>
      </c>
      <c r="B11" s="135" t="s">
        <v>195</v>
      </c>
      <c r="C11" s="320">
        <f>SUM(C6:C10)</f>
        <v>0</v>
      </c>
      <c r="D11" s="320">
        <f>SUM(D6:D10)</f>
        <v>0</v>
      </c>
      <c r="E11" s="320">
        <f>SUM(E6:E10)</f>
        <v>0</v>
      </c>
      <c r="F11" s="32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20. számú melléklet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23"/>
  <sheetViews>
    <sheetView zoomScalePageLayoutView="0" workbookViewId="0" topLeftCell="A1">
      <selection activeCell="A1" sqref="A1:I1"/>
    </sheetView>
  </sheetViews>
  <sheetFormatPr defaultColWidth="9.375" defaultRowHeight="12.75"/>
  <cols>
    <col min="1" max="1" width="6.875" style="173" customWidth="1"/>
    <col min="2" max="2" width="49.625" style="40" customWidth="1"/>
    <col min="3" max="8" width="12.875" style="40" customWidth="1"/>
    <col min="9" max="9" width="14.375" style="40" customWidth="1"/>
    <col min="10" max="10" width="3.375" style="40" customWidth="1"/>
    <col min="11" max="16384" width="9.375" style="40" customWidth="1"/>
  </cols>
  <sheetData>
    <row r="1" spans="1:9" ht="27.75" customHeight="1">
      <c r="A1" s="1565" t="s">
        <v>2</v>
      </c>
      <c r="B1" s="1565"/>
      <c r="C1" s="1565"/>
      <c r="D1" s="1565"/>
      <c r="E1" s="1565"/>
      <c r="F1" s="1565"/>
      <c r="G1" s="1565"/>
      <c r="H1" s="1565"/>
      <c r="I1" s="1565"/>
    </row>
    <row r="2" ht="20.25" customHeight="1" thickBot="1">
      <c r="I2" s="329" t="s">
        <v>61</v>
      </c>
    </row>
    <row r="3" spans="1:9" s="330" customFormat="1" ht="26.25" customHeight="1">
      <c r="A3" s="1573" t="s">
        <v>65</v>
      </c>
      <c r="B3" s="1568" t="s">
        <v>81</v>
      </c>
      <c r="C3" s="1573" t="s">
        <v>82</v>
      </c>
      <c r="D3" s="1573" t="str">
        <f>+CONCATENATE(LEFT(ÖSSZEFÜGGÉSEK!A5,4)," előtti kifizetés")</f>
        <v>2015 előtti kifizetés</v>
      </c>
      <c r="E3" s="1570" t="s">
        <v>64</v>
      </c>
      <c r="F3" s="1571"/>
      <c r="G3" s="1571"/>
      <c r="H3" s="1572"/>
      <c r="I3" s="1568" t="s">
        <v>50</v>
      </c>
    </row>
    <row r="4" spans="1:9" s="331" customFormat="1" ht="32.25" customHeight="1" thickBot="1">
      <c r="A4" s="1574"/>
      <c r="B4" s="1569"/>
      <c r="C4" s="1569"/>
      <c r="D4" s="1574"/>
      <c r="E4" s="236" t="str">
        <f>+CONCATENATE(LEFT(ÖSSZEFÜGGÉSEK!A5,4),".")</f>
        <v>2015.</v>
      </c>
      <c r="F4" s="236" t="str">
        <f>+CONCATENATE(LEFT(ÖSSZEFÜGGÉSEK!A5,4)+1,".")</f>
        <v>2016.</v>
      </c>
      <c r="G4" s="236" t="str">
        <f>+CONCATENATE(LEFT(ÖSSZEFÜGGÉSEK!A5,4)+2,".")</f>
        <v>2017.</v>
      </c>
      <c r="H4" s="237" t="str">
        <f>+CONCATENATE(LEFT(ÖSSZEFÜGGÉSEK!A5,4)+2,".",CHAR(10)," után")</f>
        <v>2017.
 után</v>
      </c>
      <c r="I4" s="1569"/>
    </row>
    <row r="5" spans="1:9" s="332" customFormat="1" ht="12.75" customHeight="1" thickBot="1">
      <c r="A5" s="238" t="s">
        <v>492</v>
      </c>
      <c r="B5" s="239" t="s">
        <v>493</v>
      </c>
      <c r="C5" s="240" t="s">
        <v>494</v>
      </c>
      <c r="D5" s="239" t="s">
        <v>496</v>
      </c>
      <c r="E5" s="238" t="s">
        <v>495</v>
      </c>
      <c r="F5" s="240" t="s">
        <v>497</v>
      </c>
      <c r="G5" s="240" t="s">
        <v>498</v>
      </c>
      <c r="H5" s="241" t="s">
        <v>499</v>
      </c>
      <c r="I5" s="242" t="s">
        <v>500</v>
      </c>
    </row>
    <row r="6" spans="1:9" ht="24.75" customHeight="1" thickBot="1">
      <c r="A6" s="243" t="s">
        <v>17</v>
      </c>
      <c r="B6" s="244" t="s">
        <v>3</v>
      </c>
      <c r="C6" s="324"/>
      <c r="D6" s="42">
        <f>+D7+D8</f>
        <v>0</v>
      </c>
      <c r="E6" s="43">
        <f>+E7+E8</f>
        <v>0</v>
      </c>
      <c r="F6" s="44">
        <f>+F7+F8</f>
        <v>0</v>
      </c>
      <c r="G6" s="44">
        <f>+G7+G8</f>
        <v>0</v>
      </c>
      <c r="H6" s="45">
        <f>+H7+H8</f>
        <v>0</v>
      </c>
      <c r="I6" s="42">
        <f aca="true" t="shared" si="0" ref="I6:I22">SUM(D6:H6)</f>
        <v>0</v>
      </c>
    </row>
    <row r="7" spans="1:10" ht="19.5" customHeight="1" thickBot="1">
      <c r="A7" s="245"/>
      <c r="B7" s="46" t="s">
        <v>66</v>
      </c>
      <c r="C7" s="325"/>
      <c r="D7" s="47"/>
      <c r="E7" s="48"/>
      <c r="F7" s="14"/>
      <c r="G7" s="14"/>
      <c r="H7" s="11"/>
      <c r="I7" s="246">
        <f t="shared" si="0"/>
        <v>0</v>
      </c>
      <c r="J7" s="1564"/>
    </row>
    <row r="8" spans="1:10" ht="19.5" customHeight="1" hidden="1" thickBot="1">
      <c r="A8" s="245"/>
      <c r="B8" s="46" t="s">
        <v>66</v>
      </c>
      <c r="C8" s="325"/>
      <c r="D8" s="47"/>
      <c r="E8" s="48"/>
      <c r="F8" s="14"/>
      <c r="G8" s="14"/>
      <c r="H8" s="11"/>
      <c r="I8" s="246">
        <f t="shared" si="0"/>
        <v>0</v>
      </c>
      <c r="J8" s="1564"/>
    </row>
    <row r="9" spans="1:10" ht="25.5" customHeight="1" thickBot="1">
      <c r="A9" s="243" t="s">
        <v>18</v>
      </c>
      <c r="B9" s="244" t="s">
        <v>4</v>
      </c>
      <c r="C9" s="326"/>
      <c r="D9" s="42">
        <f>+D10+D11</f>
        <v>0</v>
      </c>
      <c r="E9" s="43">
        <f>+E10+E11</f>
        <v>0</v>
      </c>
      <c r="F9" s="44">
        <f>+F10+F11</f>
        <v>0</v>
      </c>
      <c r="G9" s="44">
        <f>+G10+G11</f>
        <v>0</v>
      </c>
      <c r="H9" s="45">
        <f>+H10+H11</f>
        <v>0</v>
      </c>
      <c r="I9" s="42">
        <f t="shared" si="0"/>
        <v>0</v>
      </c>
      <c r="J9" s="1564"/>
    </row>
    <row r="10" spans="1:10" ht="19.5" customHeight="1" thickBot="1">
      <c r="A10" s="245"/>
      <c r="B10" s="46" t="s">
        <v>66</v>
      </c>
      <c r="C10" s="325"/>
      <c r="D10" s="47"/>
      <c r="E10" s="48"/>
      <c r="F10" s="14"/>
      <c r="G10" s="14"/>
      <c r="H10" s="11"/>
      <c r="I10" s="246">
        <f t="shared" si="0"/>
        <v>0</v>
      </c>
      <c r="J10" s="1564"/>
    </row>
    <row r="11" spans="1:10" ht="19.5" customHeight="1" hidden="1" thickBot="1">
      <c r="A11" s="245"/>
      <c r="B11" s="46" t="s">
        <v>66</v>
      </c>
      <c r="C11" s="325"/>
      <c r="D11" s="47"/>
      <c r="E11" s="48"/>
      <c r="F11" s="14"/>
      <c r="G11" s="14"/>
      <c r="H11" s="11"/>
      <c r="I11" s="246">
        <f t="shared" si="0"/>
        <v>0</v>
      </c>
      <c r="J11" s="1564"/>
    </row>
    <row r="12" spans="1:10" ht="19.5" customHeight="1" thickBot="1">
      <c r="A12" s="243" t="s">
        <v>19</v>
      </c>
      <c r="B12" s="244" t="s">
        <v>204</v>
      </c>
      <c r="C12" s="326"/>
      <c r="D12" s="42">
        <f>SUM(D13:D18)</f>
        <v>60501</v>
      </c>
      <c r="E12" s="43">
        <f>SUM(E13:E18)</f>
        <v>150000</v>
      </c>
      <c r="F12" s="44">
        <f>SUM(F13:F18)</f>
        <v>120000</v>
      </c>
      <c r="G12" s="44">
        <f>SUM(G13:G18)</f>
        <v>0</v>
      </c>
      <c r="H12" s="45">
        <f>SUM(H13:H18)</f>
        <v>0</v>
      </c>
      <c r="I12" s="42">
        <f t="shared" si="0"/>
        <v>330501</v>
      </c>
      <c r="J12" s="1564"/>
    </row>
    <row r="13" spans="1:10" ht="19.5" customHeight="1">
      <c r="A13" s="1358" t="s">
        <v>1175</v>
      </c>
      <c r="B13" s="1340" t="s">
        <v>1174</v>
      </c>
      <c r="C13" s="1336" t="s">
        <v>1176</v>
      </c>
      <c r="D13" s="1364">
        <f>59404+1097</f>
        <v>60501</v>
      </c>
      <c r="E13" s="1337">
        <v>30000</v>
      </c>
      <c r="F13" s="1338"/>
      <c r="G13" s="1338"/>
      <c r="H13" s="1339"/>
      <c r="I13" s="246">
        <f t="shared" si="0"/>
        <v>90501</v>
      </c>
      <c r="J13" s="1564"/>
    </row>
    <row r="14" spans="1:10" ht="19.5" customHeight="1" thickBot="1">
      <c r="A14" s="1359" t="s">
        <v>1178</v>
      </c>
      <c r="B14" s="1341" t="s">
        <v>1146</v>
      </c>
      <c r="C14" s="1365" t="s">
        <v>1179</v>
      </c>
      <c r="D14" s="1342"/>
      <c r="E14" s="1343">
        <v>120000</v>
      </c>
      <c r="F14" s="1344">
        <v>120000</v>
      </c>
      <c r="G14" s="1344"/>
      <c r="H14" s="1345"/>
      <c r="I14" s="1346">
        <f t="shared" si="0"/>
        <v>240000</v>
      </c>
      <c r="J14" s="1564"/>
    </row>
    <row r="15" spans="1:10" ht="19.5" customHeight="1" hidden="1">
      <c r="A15" s="1360"/>
      <c r="B15" s="1347"/>
      <c r="C15" s="1348"/>
      <c r="D15" s="1346"/>
      <c r="E15" s="1349"/>
      <c r="F15" s="1350"/>
      <c r="G15" s="1350"/>
      <c r="H15" s="1351"/>
      <c r="I15" s="1346">
        <f t="shared" si="0"/>
        <v>0</v>
      </c>
      <c r="J15" s="1564"/>
    </row>
    <row r="16" spans="1:10" ht="19.5" customHeight="1" hidden="1">
      <c r="A16" s="1360"/>
      <c r="B16" s="1347"/>
      <c r="C16" s="1348"/>
      <c r="D16" s="1346"/>
      <c r="E16" s="1349"/>
      <c r="F16" s="1350"/>
      <c r="G16" s="1350"/>
      <c r="H16" s="1351"/>
      <c r="I16" s="1346">
        <f t="shared" si="0"/>
        <v>0</v>
      </c>
      <c r="J16" s="1564"/>
    </row>
    <row r="17" spans="1:10" ht="19.5" customHeight="1" hidden="1">
      <c r="A17" s="1361"/>
      <c r="B17" s="1352"/>
      <c r="C17" s="1353"/>
      <c r="D17" s="1354"/>
      <c r="E17" s="1355"/>
      <c r="F17" s="1356"/>
      <c r="G17" s="1356"/>
      <c r="H17" s="1357"/>
      <c r="I17" s="1346">
        <f t="shared" si="0"/>
        <v>0</v>
      </c>
      <c r="J17" s="1564"/>
    </row>
    <row r="18" spans="1:10" ht="19.5" customHeight="1" hidden="1" thickBot="1">
      <c r="A18" s="1360"/>
      <c r="B18" s="46"/>
      <c r="C18" s="325"/>
      <c r="D18" s="47"/>
      <c r="E18" s="48"/>
      <c r="F18" s="14"/>
      <c r="G18" s="14"/>
      <c r="H18" s="11"/>
      <c r="I18" s="246">
        <f t="shared" si="0"/>
        <v>0</v>
      </c>
      <c r="J18" s="1564"/>
    </row>
    <row r="19" spans="1:10" ht="19.5" customHeight="1" thickBot="1">
      <c r="A19" s="243" t="s">
        <v>20</v>
      </c>
      <c r="B19" s="244" t="s">
        <v>205</v>
      </c>
      <c r="C19" s="326"/>
      <c r="D19" s="42">
        <f>+D20</f>
        <v>0</v>
      </c>
      <c r="E19" s="43">
        <f>+E20</f>
        <v>0</v>
      </c>
      <c r="F19" s="44">
        <f>+F20</f>
        <v>0</v>
      </c>
      <c r="G19" s="44">
        <f>+G20</f>
        <v>0</v>
      </c>
      <c r="H19" s="45">
        <f>+H20</f>
        <v>0</v>
      </c>
      <c r="I19" s="42">
        <f t="shared" si="0"/>
        <v>0</v>
      </c>
      <c r="J19" s="1564"/>
    </row>
    <row r="20" spans="1:10" ht="19.5" customHeight="1" thickBot="1">
      <c r="A20" s="247"/>
      <c r="B20" s="49" t="s">
        <v>66</v>
      </c>
      <c r="C20" s="327"/>
      <c r="D20" s="50"/>
      <c r="E20" s="51"/>
      <c r="F20" s="15"/>
      <c r="G20" s="15"/>
      <c r="H20" s="13"/>
      <c r="I20" s="248">
        <f t="shared" si="0"/>
        <v>0</v>
      </c>
      <c r="J20" s="1564"/>
    </row>
    <row r="21" spans="1:10" ht="19.5" customHeight="1" thickBot="1">
      <c r="A21" s="243" t="s">
        <v>21</v>
      </c>
      <c r="B21" s="249" t="s">
        <v>206</v>
      </c>
      <c r="C21" s="326"/>
      <c r="D21" s="42">
        <f>+D22</f>
        <v>0</v>
      </c>
      <c r="E21" s="43">
        <f>+E22</f>
        <v>0</v>
      </c>
      <c r="F21" s="44">
        <f>+F22</f>
        <v>0</v>
      </c>
      <c r="G21" s="44">
        <f>+G22</f>
        <v>0</v>
      </c>
      <c r="H21" s="45">
        <f>+H22</f>
        <v>0</v>
      </c>
      <c r="I21" s="42">
        <f t="shared" si="0"/>
        <v>0</v>
      </c>
      <c r="J21" s="1564"/>
    </row>
    <row r="22" spans="1:10" ht="19.5" customHeight="1" thickBot="1">
      <c r="A22" s="250"/>
      <c r="B22" s="52" t="s">
        <v>66</v>
      </c>
      <c r="C22" s="328"/>
      <c r="D22" s="53"/>
      <c r="E22" s="54"/>
      <c r="F22" s="55"/>
      <c r="G22" s="55"/>
      <c r="H22" s="12"/>
      <c r="I22" s="251">
        <f t="shared" si="0"/>
        <v>0</v>
      </c>
      <c r="J22" s="1564"/>
    </row>
    <row r="23" spans="1:10" ht="19.5" customHeight="1" thickBot="1">
      <c r="A23" s="1566" t="s">
        <v>1155</v>
      </c>
      <c r="B23" s="1567"/>
      <c r="C23" s="104"/>
      <c r="D23" s="42">
        <f aca="true" t="shared" si="1" ref="D23:I23">+D6+D9+D12+D19+D21</f>
        <v>60501</v>
      </c>
      <c r="E23" s="43">
        <f t="shared" si="1"/>
        <v>150000</v>
      </c>
      <c r="F23" s="44">
        <f t="shared" si="1"/>
        <v>120000</v>
      </c>
      <c r="G23" s="44">
        <f t="shared" si="1"/>
        <v>0</v>
      </c>
      <c r="H23" s="45">
        <f t="shared" si="1"/>
        <v>0</v>
      </c>
      <c r="I23" s="42">
        <f t="shared" si="1"/>
        <v>330501</v>
      </c>
      <c r="J23" s="1564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21. számú melléklet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31"/>
  <sheetViews>
    <sheetView zoomScalePageLayoutView="0" workbookViewId="0" topLeftCell="A1">
      <selection activeCell="B1" sqref="B1:D1"/>
    </sheetView>
  </sheetViews>
  <sheetFormatPr defaultColWidth="9.375" defaultRowHeight="12.75"/>
  <cols>
    <col min="1" max="1" width="5.875" style="69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1576" t="s">
        <v>5</v>
      </c>
      <c r="C1" s="1576"/>
      <c r="D1" s="1576"/>
    </row>
    <row r="2" spans="1:4" s="57" customFormat="1" ht="16.5" thickBot="1">
      <c r="A2" s="56"/>
      <c r="B2" s="278"/>
      <c r="D2" s="32" t="s">
        <v>61</v>
      </c>
    </row>
    <row r="3" spans="1:4" s="59" customFormat="1" ht="48" customHeight="1" thickBot="1">
      <c r="A3" s="58" t="s">
        <v>15</v>
      </c>
      <c r="B3" s="175" t="s">
        <v>16</v>
      </c>
      <c r="C3" s="175" t="s">
        <v>67</v>
      </c>
      <c r="D3" s="176" t="s">
        <v>68</v>
      </c>
    </row>
    <row r="4" spans="1:4" s="59" customFormat="1" ht="13.5" customHeight="1" thickBot="1">
      <c r="A4" s="24" t="s">
        <v>492</v>
      </c>
      <c r="B4" s="177" t="s">
        <v>493</v>
      </c>
      <c r="C4" s="177" t="s">
        <v>494</v>
      </c>
      <c r="D4" s="178" t="s">
        <v>496</v>
      </c>
    </row>
    <row r="5" spans="1:4" ht="18" customHeight="1">
      <c r="A5" s="116" t="s">
        <v>17</v>
      </c>
      <c r="B5" s="179" t="s">
        <v>164</v>
      </c>
      <c r="C5" s="114"/>
      <c r="D5" s="60"/>
    </row>
    <row r="6" spans="1:4" ht="18" customHeight="1">
      <c r="A6" s="61" t="s">
        <v>18</v>
      </c>
      <c r="B6" s="180" t="s">
        <v>165</v>
      </c>
      <c r="C6" s="115"/>
      <c r="D6" s="63"/>
    </row>
    <row r="7" spans="1:4" ht="18" customHeight="1">
      <c r="A7" s="61" t="s">
        <v>19</v>
      </c>
      <c r="B7" s="180" t="s">
        <v>116</v>
      </c>
      <c r="C7" s="115"/>
      <c r="D7" s="63"/>
    </row>
    <row r="8" spans="1:4" ht="18" customHeight="1">
      <c r="A8" s="61" t="s">
        <v>20</v>
      </c>
      <c r="B8" s="180" t="s">
        <v>117</v>
      </c>
      <c r="C8" s="115"/>
      <c r="D8" s="63"/>
    </row>
    <row r="9" spans="1:4" ht="18" customHeight="1">
      <c r="A9" s="61" t="s">
        <v>21</v>
      </c>
      <c r="B9" s="180" t="s">
        <v>157</v>
      </c>
      <c r="C9" s="790">
        <f>SUM(C10:C15)</f>
        <v>1820231</v>
      </c>
      <c r="D9" s="791">
        <f>SUM(D10:D15)</f>
        <v>573497</v>
      </c>
    </row>
    <row r="10" spans="1:4" ht="18" customHeight="1">
      <c r="A10" s="61" t="s">
        <v>22</v>
      </c>
      <c r="B10" s="180" t="s">
        <v>158</v>
      </c>
      <c r="C10" s="115">
        <v>1820231</v>
      </c>
      <c r="D10" s="63">
        <v>573497</v>
      </c>
    </row>
    <row r="11" spans="1:4" ht="18" customHeight="1">
      <c r="A11" s="61" t="s">
        <v>23</v>
      </c>
      <c r="B11" s="181" t="s">
        <v>159</v>
      </c>
      <c r="C11" s="115"/>
      <c r="D11" s="63"/>
    </row>
    <row r="12" spans="1:4" ht="18" customHeight="1">
      <c r="A12" s="61" t="s">
        <v>25</v>
      </c>
      <c r="B12" s="181" t="s">
        <v>160</v>
      </c>
      <c r="C12" s="115"/>
      <c r="D12" s="63"/>
    </row>
    <row r="13" spans="1:4" ht="18" customHeight="1">
      <c r="A13" s="61" t="s">
        <v>26</v>
      </c>
      <c r="B13" s="181" t="s">
        <v>161</v>
      </c>
      <c r="C13" s="115"/>
      <c r="D13" s="63"/>
    </row>
    <row r="14" spans="1:4" ht="18" customHeight="1">
      <c r="A14" s="61" t="s">
        <v>27</v>
      </c>
      <c r="B14" s="181" t="s">
        <v>162</v>
      </c>
      <c r="C14" s="115"/>
      <c r="D14" s="63"/>
    </row>
    <row r="15" spans="1:4" ht="22.5" customHeight="1">
      <c r="A15" s="61" t="s">
        <v>28</v>
      </c>
      <c r="B15" s="181" t="s">
        <v>163</v>
      </c>
      <c r="C15" s="115"/>
      <c r="D15" s="63"/>
    </row>
    <row r="16" spans="1:4" ht="18" customHeight="1">
      <c r="A16" s="61" t="s">
        <v>29</v>
      </c>
      <c r="B16" s="180" t="s">
        <v>118</v>
      </c>
      <c r="C16" s="790">
        <v>254988</v>
      </c>
      <c r="D16" s="791">
        <v>17235</v>
      </c>
    </row>
    <row r="17" spans="1:4" ht="18" customHeight="1">
      <c r="A17" s="61" t="s">
        <v>30</v>
      </c>
      <c r="B17" s="180" t="s">
        <v>7</v>
      </c>
      <c r="C17" s="790">
        <v>1127</v>
      </c>
      <c r="D17" s="791">
        <v>470</v>
      </c>
    </row>
    <row r="18" spans="1:4" ht="18" customHeight="1">
      <c r="A18" s="61" t="s">
        <v>31</v>
      </c>
      <c r="B18" s="180" t="s">
        <v>6</v>
      </c>
      <c r="C18" s="115"/>
      <c r="D18" s="63"/>
    </row>
    <row r="19" spans="1:4" ht="18" customHeight="1">
      <c r="A19" s="61" t="s">
        <v>32</v>
      </c>
      <c r="B19" s="180" t="s">
        <v>119</v>
      </c>
      <c r="C19" s="115"/>
      <c r="D19" s="63"/>
    </row>
    <row r="20" spans="1:4" ht="18" customHeight="1">
      <c r="A20" s="61" t="s">
        <v>33</v>
      </c>
      <c r="B20" s="180" t="s">
        <v>120</v>
      </c>
      <c r="C20" s="115"/>
      <c r="D20" s="63"/>
    </row>
    <row r="21" spans="1:4" ht="18" customHeight="1">
      <c r="A21" s="61" t="s">
        <v>34</v>
      </c>
      <c r="B21" s="106"/>
      <c r="C21" s="62"/>
      <c r="D21" s="63"/>
    </row>
    <row r="22" spans="1:4" ht="18" customHeight="1">
      <c r="A22" s="61" t="s">
        <v>35</v>
      </c>
      <c r="B22" s="64"/>
      <c r="C22" s="62"/>
      <c r="D22" s="63"/>
    </row>
    <row r="23" spans="1:4" ht="18" customHeight="1">
      <c r="A23" s="61" t="s">
        <v>36</v>
      </c>
      <c r="B23" s="64"/>
      <c r="C23" s="62"/>
      <c r="D23" s="63"/>
    </row>
    <row r="24" spans="1:4" ht="18" customHeight="1">
      <c r="A24" s="61" t="s">
        <v>37</v>
      </c>
      <c r="B24" s="64"/>
      <c r="C24" s="62"/>
      <c r="D24" s="63"/>
    </row>
    <row r="25" spans="1:4" ht="18" customHeight="1">
      <c r="A25" s="61" t="s">
        <v>38</v>
      </c>
      <c r="B25" s="64"/>
      <c r="C25" s="62"/>
      <c r="D25" s="63"/>
    </row>
    <row r="26" spans="1:4" ht="18" customHeight="1">
      <c r="A26" s="61" t="s">
        <v>39</v>
      </c>
      <c r="B26" s="64"/>
      <c r="C26" s="62"/>
      <c r="D26" s="63"/>
    </row>
    <row r="27" spans="1:4" ht="18" customHeight="1">
      <c r="A27" s="61" t="s">
        <v>40</v>
      </c>
      <c r="B27" s="64"/>
      <c r="C27" s="62"/>
      <c r="D27" s="63"/>
    </row>
    <row r="28" spans="1:4" ht="18" customHeight="1">
      <c r="A28" s="61" t="s">
        <v>41</v>
      </c>
      <c r="B28" s="64"/>
      <c r="C28" s="62"/>
      <c r="D28" s="63"/>
    </row>
    <row r="29" spans="1:4" ht="18" customHeight="1" thickBot="1">
      <c r="A29" s="117" t="s">
        <v>42</v>
      </c>
      <c r="B29" s="65"/>
      <c r="C29" s="66"/>
      <c r="D29" s="67"/>
    </row>
    <row r="30" spans="1:4" ht="18" customHeight="1" thickBot="1">
      <c r="A30" s="25" t="s">
        <v>43</v>
      </c>
      <c r="B30" s="184" t="s">
        <v>52</v>
      </c>
      <c r="C30" s="185">
        <f>+C5+C6+C7+C8+C9+C16+C17+C18+C19+C20+C21+C22+C23+C24+C25+C26+C27+C28+C29</f>
        <v>2076346</v>
      </c>
      <c r="D30" s="186">
        <f>+D5+D6+D7+D8+D9+D16+D17+D18+D19+D20+D21+D22+D23+D24+D25+D26+D27+D28+D29</f>
        <v>591202</v>
      </c>
    </row>
    <row r="31" spans="1:4" ht="8.25" customHeight="1">
      <c r="A31" s="68"/>
      <c r="B31" s="1575"/>
      <c r="C31" s="1575"/>
      <c r="D31" s="157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22. számú melléklet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82"/>
  <sheetViews>
    <sheetView zoomScalePageLayoutView="0" workbookViewId="0" topLeftCell="A1">
      <selection activeCell="A1" sqref="A1:O1"/>
    </sheetView>
  </sheetViews>
  <sheetFormatPr defaultColWidth="9.375" defaultRowHeight="12.75"/>
  <cols>
    <col min="1" max="1" width="4.875" style="82" customWidth="1"/>
    <col min="2" max="2" width="31.125" style="100" customWidth="1"/>
    <col min="3" max="4" width="9.00390625" style="100" customWidth="1"/>
    <col min="5" max="5" width="9.50390625" style="100" customWidth="1"/>
    <col min="6" max="6" width="8.875" style="100" customWidth="1"/>
    <col min="7" max="7" width="9.125" style="100" bestFit="1" customWidth="1"/>
    <col min="8" max="8" width="8.875" style="100" customWidth="1"/>
    <col min="9" max="9" width="8.125" style="100" customWidth="1"/>
    <col min="10" max="14" width="9.50390625" style="100" customWidth="1"/>
    <col min="15" max="15" width="12.625" style="82" customWidth="1"/>
    <col min="16" max="16" width="9.375" style="100" customWidth="1"/>
    <col min="17" max="17" width="11.875" style="100" hidden="1" customWidth="1"/>
    <col min="18" max="18" width="0" style="100" hidden="1" customWidth="1"/>
    <col min="19" max="19" width="11.875" style="100" hidden="1" customWidth="1"/>
    <col min="20" max="20" width="9.875" style="100" hidden="1" customWidth="1"/>
    <col min="21" max="21" width="0" style="100" hidden="1" customWidth="1"/>
    <col min="22" max="16384" width="9.375" style="100" customWidth="1"/>
  </cols>
  <sheetData>
    <row r="1" spans="1:15" ht="31.5" customHeight="1">
      <c r="A1" s="1580" t="str">
        <f>+CONCATENATE("Előirányzat-felhasználási terv",CHAR(10),LEFT(ÖSSZEFÜGGÉSEK!A5,4),". évre")</f>
        <v>Előirányzat-felhasználási terv
2015. évre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</row>
    <row r="2" ht="16.5" thickBot="1">
      <c r="O2" s="3" t="s">
        <v>54</v>
      </c>
    </row>
    <row r="3" spans="1:15" s="82" customFormat="1" ht="25.5" customHeight="1" thickBot="1">
      <c r="A3" s="79" t="s">
        <v>15</v>
      </c>
      <c r="B3" s="80" t="s">
        <v>62</v>
      </c>
      <c r="C3" s="80" t="s">
        <v>69</v>
      </c>
      <c r="D3" s="80" t="s">
        <v>70</v>
      </c>
      <c r="E3" s="80" t="s">
        <v>71</v>
      </c>
      <c r="F3" s="80" t="s">
        <v>72</v>
      </c>
      <c r="G3" s="80" t="s">
        <v>73</v>
      </c>
      <c r="H3" s="80" t="s">
        <v>74</v>
      </c>
      <c r="I3" s="80" t="s">
        <v>75</v>
      </c>
      <c r="J3" s="80" t="s">
        <v>76</v>
      </c>
      <c r="K3" s="80" t="s">
        <v>77</v>
      </c>
      <c r="L3" s="80" t="s">
        <v>78</v>
      </c>
      <c r="M3" s="80" t="s">
        <v>79</v>
      </c>
      <c r="N3" s="80" t="s">
        <v>80</v>
      </c>
      <c r="O3" s="81" t="s">
        <v>52</v>
      </c>
    </row>
    <row r="4" spans="1:15" s="84" customFormat="1" ht="15" customHeight="1" thickBot="1">
      <c r="A4" s="83" t="s">
        <v>17</v>
      </c>
      <c r="B4" s="1577" t="s">
        <v>56</v>
      </c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9"/>
    </row>
    <row r="5" spans="1:20" s="84" customFormat="1" ht="22.5">
      <c r="A5" s="85" t="s">
        <v>18</v>
      </c>
      <c r="B5" s="333" t="s">
        <v>375</v>
      </c>
      <c r="C5" s="86">
        <f>112000+1740</f>
        <v>113740</v>
      </c>
      <c r="D5" s="86">
        <v>121740</v>
      </c>
      <c r="E5" s="86">
        <v>105740</v>
      </c>
      <c r="F5" s="86">
        <f>115840+1740</f>
        <v>117580</v>
      </c>
      <c r="G5" s="86">
        <f>125500+1740</f>
        <v>127240</v>
      </c>
      <c r="H5" s="86">
        <f>116600+1740</f>
        <v>118340</v>
      </c>
      <c r="I5" s="86">
        <f>120060+1740</f>
        <v>121800</v>
      </c>
      <c r="J5" s="86">
        <f>110000+1740</f>
        <v>111740</v>
      </c>
      <c r="K5" s="86">
        <f>102026+1740</f>
        <v>103766</v>
      </c>
      <c r="L5" s="86">
        <f>125000+1740</f>
        <v>126740</v>
      </c>
      <c r="M5" s="86">
        <f>120000+1740</f>
        <v>121740</v>
      </c>
      <c r="N5" s="86">
        <f>130000+1740-4</f>
        <v>131736</v>
      </c>
      <c r="O5" s="87">
        <f aca="true" t="shared" si="0" ref="O5:O26">SUM(C5:N5)</f>
        <v>1421902</v>
      </c>
      <c r="Q5" s="84">
        <f>1421903</f>
        <v>1421903</v>
      </c>
      <c r="S5" s="1254">
        <f>Q5-O5</f>
        <v>1</v>
      </c>
      <c r="T5" s="1254">
        <f>S5/12</f>
        <v>0.08333333333333333</v>
      </c>
    </row>
    <row r="6" spans="1:20" s="91" customFormat="1" ht="22.5">
      <c r="A6" s="88" t="s">
        <v>19</v>
      </c>
      <c r="B6" s="254" t="s">
        <v>421</v>
      </c>
      <c r="C6" s="89">
        <f>3154+8421+31271-15834</f>
        <v>27012</v>
      </c>
      <c r="D6" s="89">
        <f>3154+8421+31271-15834</f>
        <v>27012</v>
      </c>
      <c r="E6" s="89">
        <f>3154+8421+31271-15834</f>
        <v>27012</v>
      </c>
      <c r="F6" s="89">
        <f>5130+8421+31271-15834</f>
        <v>28988</v>
      </c>
      <c r="G6" s="89">
        <f>5130+31270-15834</f>
        <v>20566</v>
      </c>
      <c r="H6" s="89">
        <f>31270+13-15834</f>
        <v>15449</v>
      </c>
      <c r="I6" s="89">
        <f>31270-15834</f>
        <v>15436</v>
      </c>
      <c r="J6" s="89">
        <f>31270-15834</f>
        <v>15436</v>
      </c>
      <c r="K6" s="89">
        <f>31270-15834</f>
        <v>15436</v>
      </c>
      <c r="L6" s="89">
        <f>31270-15834</f>
        <v>15436</v>
      </c>
      <c r="M6" s="89">
        <f>31270-15834</f>
        <v>15436</v>
      </c>
      <c r="N6" s="89">
        <f>31270-15834+2</f>
        <v>15438</v>
      </c>
      <c r="O6" s="90">
        <f t="shared" si="0"/>
        <v>238657</v>
      </c>
      <c r="Q6" s="91">
        <v>238657</v>
      </c>
      <c r="S6" s="1254">
        <f aca="true" t="shared" si="1" ref="S6:S25">Q6-O6</f>
        <v>0</v>
      </c>
      <c r="T6" s="1254">
        <f aca="true" t="shared" si="2" ref="T6:T24">S6/12</f>
        <v>0</v>
      </c>
    </row>
    <row r="7" spans="1:20" s="91" customFormat="1" ht="22.5">
      <c r="A7" s="88" t="s">
        <v>20</v>
      </c>
      <c r="B7" s="253" t="s">
        <v>422</v>
      </c>
      <c r="C7" s="92"/>
      <c r="D7" s="92"/>
      <c r="E7" s="92">
        <v>180600</v>
      </c>
      <c r="F7" s="92">
        <v>180600</v>
      </c>
      <c r="G7" s="92"/>
      <c r="H7" s="92">
        <v>180600</v>
      </c>
      <c r="I7" s="92">
        <v>361200</v>
      </c>
      <c r="J7" s="92">
        <v>361200</v>
      </c>
      <c r="K7" s="92">
        <v>135520</v>
      </c>
      <c r="L7" s="92">
        <v>135518</v>
      </c>
      <c r="M7" s="92">
        <v>135518</v>
      </c>
      <c r="N7" s="92">
        <f>135518-60</f>
        <v>135458</v>
      </c>
      <c r="O7" s="93">
        <f t="shared" si="0"/>
        <v>1806214</v>
      </c>
      <c r="Q7" s="91">
        <v>1806214</v>
      </c>
      <c r="S7" s="1254">
        <f t="shared" si="1"/>
        <v>0</v>
      </c>
      <c r="T7" s="1254">
        <f t="shared" si="2"/>
        <v>0</v>
      </c>
    </row>
    <row r="8" spans="1:20" s="91" customFormat="1" ht="13.5" customHeight="1">
      <c r="A8" s="88" t="s">
        <v>21</v>
      </c>
      <c r="B8" s="252" t="s">
        <v>171</v>
      </c>
      <c r="C8" s="89">
        <v>30500</v>
      </c>
      <c r="D8" s="89">
        <v>88400</v>
      </c>
      <c r="E8" s="89">
        <f>788100+74950</f>
        <v>863050</v>
      </c>
      <c r="F8" s="89">
        <v>206200</v>
      </c>
      <c r="G8" s="89">
        <v>173400</v>
      </c>
      <c r="H8" s="89">
        <v>95900</v>
      </c>
      <c r="I8" s="89">
        <v>89800</v>
      </c>
      <c r="J8" s="89">
        <v>185600</v>
      </c>
      <c r="K8" s="89">
        <f>892600+74950</f>
        <v>967550</v>
      </c>
      <c r="L8" s="89">
        <v>156500</v>
      </c>
      <c r="M8" s="89">
        <v>87600</v>
      </c>
      <c r="N8" s="89">
        <v>119200</v>
      </c>
      <c r="O8" s="90">
        <f t="shared" si="0"/>
        <v>3063700</v>
      </c>
      <c r="Q8" s="91">
        <v>3063700</v>
      </c>
      <c r="S8" s="1254">
        <f t="shared" si="1"/>
        <v>0</v>
      </c>
      <c r="T8" s="1254">
        <f>S8/2</f>
        <v>0</v>
      </c>
    </row>
    <row r="9" spans="1:20" s="91" customFormat="1" ht="13.5" customHeight="1">
      <c r="A9" s="88" t="s">
        <v>22</v>
      </c>
      <c r="B9" s="252" t="s">
        <v>423</v>
      </c>
      <c r="C9" s="89">
        <v>110450</v>
      </c>
      <c r="D9" s="89">
        <v>118451</v>
      </c>
      <c r="E9" s="89">
        <f>108450+9456</f>
        <v>117906</v>
      </c>
      <c r="F9" s="89">
        <f>108451+9456</f>
        <v>117907</v>
      </c>
      <c r="G9" s="89">
        <f>108455+9456</f>
        <v>117911</v>
      </c>
      <c r="H9" s="89">
        <f>108450+9456</f>
        <v>117906</v>
      </c>
      <c r="I9" s="89">
        <f>108452+9456</f>
        <v>117908</v>
      </c>
      <c r="J9" s="89">
        <f>108453+9456</f>
        <v>117909</v>
      </c>
      <c r="K9" s="89">
        <f>108455+9456</f>
        <v>117911</v>
      </c>
      <c r="L9" s="89">
        <f>108450+9457</f>
        <v>117907</v>
      </c>
      <c r="M9" s="89">
        <f>108450+9456</f>
        <v>117906</v>
      </c>
      <c r="N9" s="89">
        <f>108450+9456+2</f>
        <v>117908</v>
      </c>
      <c r="O9" s="90">
        <f t="shared" si="0"/>
        <v>1407980</v>
      </c>
      <c r="Q9" s="91">
        <v>1407979</v>
      </c>
      <c r="S9" s="1254">
        <f t="shared" si="1"/>
        <v>-1</v>
      </c>
      <c r="T9" s="1254">
        <f>S9/10</f>
        <v>-0.1</v>
      </c>
    </row>
    <row r="10" spans="1:20" s="91" customFormat="1" ht="13.5" customHeight="1">
      <c r="A10" s="88" t="s">
        <v>23</v>
      </c>
      <c r="B10" s="252" t="s">
        <v>8</v>
      </c>
      <c r="C10" s="89">
        <v>50000</v>
      </c>
      <c r="D10" s="89"/>
      <c r="E10" s="89"/>
      <c r="F10" s="89"/>
      <c r="G10" s="89">
        <v>200000</v>
      </c>
      <c r="H10" s="89">
        <v>150000</v>
      </c>
      <c r="I10" s="89">
        <v>50000</v>
      </c>
      <c r="J10" s="89">
        <v>50000</v>
      </c>
      <c r="K10" s="89"/>
      <c r="L10" s="89"/>
      <c r="M10" s="89"/>
      <c r="N10" s="89"/>
      <c r="O10" s="90">
        <f t="shared" si="0"/>
        <v>500000</v>
      </c>
      <c r="Q10" s="91">
        <v>500000</v>
      </c>
      <c r="S10" s="1254">
        <f t="shared" si="1"/>
        <v>0</v>
      </c>
      <c r="T10" s="1254">
        <f t="shared" si="2"/>
        <v>0</v>
      </c>
    </row>
    <row r="11" spans="1:20" s="91" customFormat="1" ht="13.5" customHeight="1">
      <c r="A11" s="88" t="s">
        <v>24</v>
      </c>
      <c r="B11" s="252" t="s">
        <v>377</v>
      </c>
      <c r="C11" s="89"/>
      <c r="D11" s="89"/>
      <c r="E11" s="89"/>
      <c r="F11" s="89"/>
      <c r="G11" s="89"/>
      <c r="H11" s="89"/>
      <c r="I11" s="89">
        <v>144830</v>
      </c>
      <c r="J11" s="89"/>
      <c r="K11" s="89"/>
      <c r="L11" s="89"/>
      <c r="M11" s="89"/>
      <c r="N11" s="89"/>
      <c r="O11" s="90">
        <f t="shared" si="0"/>
        <v>144830</v>
      </c>
      <c r="Q11" s="91">
        <v>144830</v>
      </c>
      <c r="S11" s="1254">
        <f t="shared" si="1"/>
        <v>0</v>
      </c>
      <c r="T11" s="1254">
        <f t="shared" si="2"/>
        <v>0</v>
      </c>
    </row>
    <row r="12" spans="1:20" s="91" customFormat="1" ht="22.5">
      <c r="A12" s="88" t="s">
        <v>25</v>
      </c>
      <c r="B12" s="254" t="s">
        <v>409</v>
      </c>
      <c r="C12" s="89">
        <v>242</v>
      </c>
      <c r="D12" s="89">
        <v>242</v>
      </c>
      <c r="E12" s="89">
        <v>242</v>
      </c>
      <c r="F12" s="89">
        <v>242</v>
      </c>
      <c r="G12" s="89">
        <f>23722+242</f>
        <v>23964</v>
      </c>
      <c r="H12" s="89">
        <v>242</v>
      </c>
      <c r="I12" s="89">
        <v>242</v>
      </c>
      <c r="J12" s="89">
        <v>100242</v>
      </c>
      <c r="K12" s="89">
        <v>242</v>
      </c>
      <c r="L12" s="89">
        <v>242</v>
      </c>
      <c r="M12" s="89">
        <v>242</v>
      </c>
      <c r="N12" s="89">
        <v>238</v>
      </c>
      <c r="O12" s="90">
        <f t="shared" si="0"/>
        <v>126622</v>
      </c>
      <c r="Q12" s="91">
        <v>126622</v>
      </c>
      <c r="S12" s="1254">
        <f t="shared" si="1"/>
        <v>0</v>
      </c>
      <c r="T12" s="1254">
        <f>S12/12</f>
        <v>0</v>
      </c>
    </row>
    <row r="13" spans="1:20" s="91" customFormat="1" ht="13.5" customHeight="1" thickBot="1">
      <c r="A13" s="88" t="s">
        <v>26</v>
      </c>
      <c r="B13" s="252" t="s">
        <v>9</v>
      </c>
      <c r="C13" s="89">
        <v>152014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>
        <f t="shared" si="0"/>
        <v>152014</v>
      </c>
      <c r="Q13" s="91">
        <v>152014</v>
      </c>
      <c r="S13" s="1254">
        <f t="shared" si="1"/>
        <v>0</v>
      </c>
      <c r="T13" s="1254">
        <f t="shared" si="2"/>
        <v>0</v>
      </c>
    </row>
    <row r="14" spans="1:20" s="84" customFormat="1" ht="15.75" customHeight="1" thickBot="1">
      <c r="A14" s="83" t="s">
        <v>27</v>
      </c>
      <c r="B14" s="26" t="s">
        <v>105</v>
      </c>
      <c r="C14" s="94">
        <f aca="true" t="shared" si="3" ref="C14:N14">SUM(C5:C13)</f>
        <v>483958</v>
      </c>
      <c r="D14" s="94">
        <f t="shared" si="3"/>
        <v>355845</v>
      </c>
      <c r="E14" s="94">
        <f t="shared" si="3"/>
        <v>1294550</v>
      </c>
      <c r="F14" s="94">
        <f t="shared" si="3"/>
        <v>651517</v>
      </c>
      <c r="G14" s="94">
        <f t="shared" si="3"/>
        <v>663081</v>
      </c>
      <c r="H14" s="94">
        <f t="shared" si="3"/>
        <v>678437</v>
      </c>
      <c r="I14" s="94">
        <f t="shared" si="3"/>
        <v>901216</v>
      </c>
      <c r="J14" s="94">
        <f t="shared" si="3"/>
        <v>942127</v>
      </c>
      <c r="K14" s="94">
        <f t="shared" si="3"/>
        <v>1340425</v>
      </c>
      <c r="L14" s="94">
        <f t="shared" si="3"/>
        <v>552343</v>
      </c>
      <c r="M14" s="94">
        <f t="shared" si="3"/>
        <v>478442</v>
      </c>
      <c r="N14" s="94">
        <f t="shared" si="3"/>
        <v>519978</v>
      </c>
      <c r="O14" s="95">
        <f>SUM(C14:N14)</f>
        <v>8861919</v>
      </c>
      <c r="S14" s="1254"/>
      <c r="T14" s="1254">
        <f t="shared" si="2"/>
        <v>0</v>
      </c>
    </row>
    <row r="15" spans="1:20" s="84" customFormat="1" ht="15" customHeight="1" thickBot="1">
      <c r="A15" s="83" t="s">
        <v>28</v>
      </c>
      <c r="B15" s="1577" t="s">
        <v>57</v>
      </c>
      <c r="C15" s="1578"/>
      <c r="D15" s="1578"/>
      <c r="E15" s="1578"/>
      <c r="F15" s="1578"/>
      <c r="G15" s="1578"/>
      <c r="H15" s="1578"/>
      <c r="I15" s="1578"/>
      <c r="J15" s="1578"/>
      <c r="K15" s="1578"/>
      <c r="L15" s="1578"/>
      <c r="M15" s="1578"/>
      <c r="N15" s="1578"/>
      <c r="O15" s="1579"/>
      <c r="S15" s="1254"/>
      <c r="T15" s="1254">
        <f t="shared" si="2"/>
        <v>0</v>
      </c>
    </row>
    <row r="16" spans="1:20" s="91" customFormat="1" ht="13.5" customHeight="1">
      <c r="A16" s="96" t="s">
        <v>29</v>
      </c>
      <c r="B16" s="255" t="s">
        <v>63</v>
      </c>
      <c r="C16" s="92">
        <f>103300+2520+7420+2434</f>
        <v>115674</v>
      </c>
      <c r="D16" s="92">
        <f>103300+2520+7420+2434</f>
        <v>115674</v>
      </c>
      <c r="E16" s="92">
        <f>103300+2520+7420+2434</f>
        <v>115674</v>
      </c>
      <c r="F16" s="92">
        <f>103300+3960+7420+2434</f>
        <v>117114</v>
      </c>
      <c r="G16" s="92">
        <f>103300+3960+2434</f>
        <v>109694</v>
      </c>
      <c r="H16" s="92">
        <f>103300+1000+88+2434</f>
        <v>106822</v>
      </c>
      <c r="I16" s="92">
        <f>103300+3000+250+2434</f>
        <v>108984</v>
      </c>
      <c r="J16" s="92">
        <f>103300+5500+250+2434</f>
        <v>111484</v>
      </c>
      <c r="K16" s="92">
        <f>103300+4500+2434</f>
        <v>110234</v>
      </c>
      <c r="L16" s="92">
        <f>103300+3960+2500+2434</f>
        <v>112194</v>
      </c>
      <c r="M16" s="92">
        <f>103300+2434</f>
        <v>105734</v>
      </c>
      <c r="N16" s="92">
        <f>103300+2430</f>
        <v>105730</v>
      </c>
      <c r="O16" s="93">
        <f t="shared" si="0"/>
        <v>1335012</v>
      </c>
      <c r="Q16" s="91">
        <v>1335012</v>
      </c>
      <c r="S16" s="1254">
        <f t="shared" si="1"/>
        <v>0</v>
      </c>
      <c r="T16" s="1254">
        <f t="shared" si="2"/>
        <v>0</v>
      </c>
    </row>
    <row r="17" spans="1:20" s="91" customFormat="1" ht="27" customHeight="1">
      <c r="A17" s="88" t="s">
        <v>30</v>
      </c>
      <c r="B17" s="254" t="s">
        <v>180</v>
      </c>
      <c r="C17" s="89">
        <f>31230+634+1001+943</f>
        <v>33808</v>
      </c>
      <c r="D17" s="89">
        <f>31230+634+1001+943</f>
        <v>33808</v>
      </c>
      <c r="E17" s="89">
        <f>31230+634+1001+943</f>
        <v>33808</v>
      </c>
      <c r="F17" s="89">
        <f>31230+1170+1001+943</f>
        <v>34344</v>
      </c>
      <c r="G17" s="89">
        <f>31230+1170+943</f>
        <v>33343</v>
      </c>
      <c r="H17" s="89">
        <f>31230+300+943</f>
        <v>32473</v>
      </c>
      <c r="I17" s="89">
        <f>31230+901+943</f>
        <v>33074</v>
      </c>
      <c r="J17" s="89">
        <f>31230+1652+943</f>
        <v>33825</v>
      </c>
      <c r="K17" s="89">
        <f>31230+1351+943</f>
        <v>33524</v>
      </c>
      <c r="L17" s="89">
        <f>31230+1170+752+943</f>
        <v>34095</v>
      </c>
      <c r="M17" s="89">
        <f>31240+943</f>
        <v>32183</v>
      </c>
      <c r="N17" s="89">
        <f>31230+939</f>
        <v>32169</v>
      </c>
      <c r="O17" s="90">
        <f t="shared" si="0"/>
        <v>400454</v>
      </c>
      <c r="Q17" s="91">
        <v>400454</v>
      </c>
      <c r="S17" s="1254">
        <f t="shared" si="1"/>
        <v>0</v>
      </c>
      <c r="T17" s="1254">
        <f t="shared" si="2"/>
        <v>0</v>
      </c>
    </row>
    <row r="18" spans="1:20" s="91" customFormat="1" ht="13.5" customHeight="1">
      <c r="A18" s="88" t="s">
        <v>31</v>
      </c>
      <c r="B18" s="252" t="s">
        <v>137</v>
      </c>
      <c r="C18" s="89">
        <v>155000</v>
      </c>
      <c r="D18" s="89">
        <f>235800-11566</f>
        <v>224234</v>
      </c>
      <c r="E18" s="89">
        <v>290560</v>
      </c>
      <c r="F18" s="89">
        <v>285005</v>
      </c>
      <c r="G18" s="89">
        <f>282300-12000</f>
        <v>270300</v>
      </c>
      <c r="H18" s="89">
        <v>264500</v>
      </c>
      <c r="I18" s="89">
        <v>282823</v>
      </c>
      <c r="J18" s="89">
        <v>257200</v>
      </c>
      <c r="K18" s="89">
        <v>414200</v>
      </c>
      <c r="L18" s="89">
        <f>227500-11133</f>
        <v>216367</v>
      </c>
      <c r="M18" s="89">
        <f>248100-11566</f>
        <v>236534</v>
      </c>
      <c r="N18" s="89">
        <v>247960</v>
      </c>
      <c r="O18" s="90">
        <f t="shared" si="0"/>
        <v>3144683</v>
      </c>
      <c r="Q18" s="91">
        <v>3144683</v>
      </c>
      <c r="S18" s="1254">
        <f t="shared" si="1"/>
        <v>0</v>
      </c>
      <c r="T18" s="1254">
        <f>S18/4</f>
        <v>0</v>
      </c>
    </row>
    <row r="19" spans="1:20" s="91" customFormat="1" ht="13.5" customHeight="1">
      <c r="A19" s="88" t="s">
        <v>32</v>
      </c>
      <c r="B19" s="252" t="s">
        <v>181</v>
      </c>
      <c r="C19" s="89">
        <v>9520</v>
      </c>
      <c r="D19" s="89">
        <v>9505</v>
      </c>
      <c r="E19" s="89">
        <v>3478</v>
      </c>
      <c r="F19" s="89">
        <v>3478</v>
      </c>
      <c r="G19" s="89">
        <v>3478</v>
      </c>
      <c r="H19" s="89">
        <v>3478</v>
      </c>
      <c r="I19" s="89">
        <v>3478</v>
      </c>
      <c r="J19" s="89">
        <v>3478</v>
      </c>
      <c r="K19" s="89">
        <v>3478</v>
      </c>
      <c r="L19" s="89">
        <v>3478</v>
      </c>
      <c r="M19" s="89">
        <v>3478</v>
      </c>
      <c r="N19" s="89">
        <v>3475</v>
      </c>
      <c r="O19" s="90">
        <f t="shared" si="0"/>
        <v>53802</v>
      </c>
      <c r="Q19" s="91">
        <v>53802</v>
      </c>
      <c r="S19" s="1254">
        <f t="shared" si="1"/>
        <v>0</v>
      </c>
      <c r="T19" s="1254">
        <f>S19/10</f>
        <v>0</v>
      </c>
    </row>
    <row r="20" spans="1:20" s="91" customFormat="1" ht="13.5" customHeight="1">
      <c r="A20" s="88" t="s">
        <v>33</v>
      </c>
      <c r="B20" s="252" t="s">
        <v>10</v>
      </c>
      <c r="C20" s="89">
        <v>1106</v>
      </c>
      <c r="D20" s="89">
        <v>800</v>
      </c>
      <c r="E20" s="89">
        <f>3492+7400+1600+100000</f>
        <v>112492</v>
      </c>
      <c r="F20" s="89">
        <v>800</v>
      </c>
      <c r="G20" s="89">
        <v>800</v>
      </c>
      <c r="H20" s="89">
        <v>800</v>
      </c>
      <c r="I20" s="89">
        <v>80800</v>
      </c>
      <c r="J20" s="89">
        <f>50800+9851</f>
        <v>60651</v>
      </c>
      <c r="K20" s="89">
        <v>7409</v>
      </c>
      <c r="L20" s="89">
        <v>800</v>
      </c>
      <c r="M20" s="89">
        <v>800</v>
      </c>
      <c r="N20" s="89">
        <v>800</v>
      </c>
      <c r="O20" s="90">
        <f t="shared" si="0"/>
        <v>268058</v>
      </c>
      <c r="Q20" s="91">
        <v>268058</v>
      </c>
      <c r="S20" s="1254">
        <f t="shared" si="1"/>
        <v>0</v>
      </c>
      <c r="T20" s="1254">
        <f>S20/5</f>
        <v>0</v>
      </c>
    </row>
    <row r="21" spans="1:20" s="91" customFormat="1" ht="13.5" customHeight="1">
      <c r="A21" s="88" t="s">
        <v>34</v>
      </c>
      <c r="B21" s="252" t="s">
        <v>49</v>
      </c>
      <c r="C21" s="89">
        <v>140000</v>
      </c>
      <c r="D21" s="89"/>
      <c r="E21" s="89">
        <v>25000</v>
      </c>
      <c r="F21" s="89">
        <v>20000</v>
      </c>
      <c r="G21" s="89">
        <v>90000</v>
      </c>
      <c r="H21" s="89">
        <v>70000</v>
      </c>
      <c r="I21" s="89">
        <v>5000</v>
      </c>
      <c r="J21" s="89">
        <v>5000</v>
      </c>
      <c r="K21" s="89">
        <v>40000</v>
      </c>
      <c r="L21" s="89">
        <v>85000</v>
      </c>
      <c r="M21" s="89">
        <v>95961</v>
      </c>
      <c r="N21" s="89">
        <v>40000</v>
      </c>
      <c r="O21" s="90">
        <f t="shared" si="0"/>
        <v>615961</v>
      </c>
      <c r="Q21" s="91">
        <v>615961</v>
      </c>
      <c r="S21" s="1254">
        <f t="shared" si="1"/>
        <v>0</v>
      </c>
      <c r="T21" s="1254"/>
    </row>
    <row r="22" spans="1:20" s="91" customFormat="1" ht="13.5" customHeight="1">
      <c r="A22" s="88" t="s">
        <v>35</v>
      </c>
      <c r="B22" s="252" t="s">
        <v>228</v>
      </c>
      <c r="C22" s="89"/>
      <c r="D22" s="89"/>
      <c r="E22" s="89">
        <v>650000</v>
      </c>
      <c r="F22" s="89">
        <v>189000</v>
      </c>
      <c r="G22" s="89">
        <v>155000</v>
      </c>
      <c r="H22" s="89">
        <v>200000</v>
      </c>
      <c r="I22" s="89">
        <v>350000</v>
      </c>
      <c r="J22" s="89">
        <v>470000</v>
      </c>
      <c r="K22" s="89">
        <v>700000</v>
      </c>
      <c r="L22" s="89">
        <v>100000</v>
      </c>
      <c r="M22" s="89"/>
      <c r="N22" s="89">
        <v>80560</v>
      </c>
      <c r="O22" s="90">
        <f t="shared" si="0"/>
        <v>2894560</v>
      </c>
      <c r="Q22" s="91">
        <v>2894560</v>
      </c>
      <c r="S22" s="1254">
        <f t="shared" si="1"/>
        <v>0</v>
      </c>
      <c r="T22" s="1254">
        <f>S22/8</f>
        <v>0</v>
      </c>
    </row>
    <row r="23" spans="1:20" s="91" customFormat="1" ht="15.75">
      <c r="A23" s="88" t="s">
        <v>36</v>
      </c>
      <c r="B23" s="254" t="s">
        <v>184</v>
      </c>
      <c r="C23" s="89">
        <v>0</v>
      </c>
      <c r="D23" s="89"/>
      <c r="E23" s="89">
        <v>62830</v>
      </c>
      <c r="F23" s="89"/>
      <c r="G23" s="89"/>
      <c r="H23" s="89"/>
      <c r="I23" s="89">
        <v>37000</v>
      </c>
      <c r="J23" s="89"/>
      <c r="K23" s="89">
        <v>30000</v>
      </c>
      <c r="L23" s="89"/>
      <c r="M23" s="89"/>
      <c r="N23" s="89"/>
      <c r="O23" s="90">
        <f t="shared" si="0"/>
        <v>129830</v>
      </c>
      <c r="Q23" s="91">
        <v>129830</v>
      </c>
      <c r="S23" s="1254">
        <f t="shared" si="1"/>
        <v>0</v>
      </c>
      <c r="T23" s="1254">
        <f t="shared" si="2"/>
        <v>0</v>
      </c>
    </row>
    <row r="24" spans="1:20" s="91" customFormat="1" ht="13.5" customHeight="1">
      <c r="A24" s="88" t="s">
        <v>37</v>
      </c>
      <c r="B24" s="252" t="s">
        <v>231</v>
      </c>
      <c r="C24" s="89">
        <v>19559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 t="shared" si="0"/>
        <v>19559</v>
      </c>
      <c r="Q24" s="91">
        <v>19559</v>
      </c>
      <c r="S24" s="1254">
        <f t="shared" si="1"/>
        <v>0</v>
      </c>
      <c r="T24" s="1254">
        <f t="shared" si="2"/>
        <v>0</v>
      </c>
    </row>
    <row r="25" spans="1:19" s="91" customFormat="1" ht="13.5" customHeight="1" thickBot="1">
      <c r="A25" s="88" t="s">
        <v>38</v>
      </c>
      <c r="B25" s="252" t="s">
        <v>11</v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3">
        <f t="shared" si="0"/>
        <v>0</v>
      </c>
      <c r="S25" s="1254">
        <f t="shared" si="1"/>
        <v>0</v>
      </c>
    </row>
    <row r="26" spans="1:19" s="84" customFormat="1" ht="15.75" customHeight="1" thickBot="1">
      <c r="A26" s="97" t="s">
        <v>39</v>
      </c>
      <c r="B26" s="26" t="s">
        <v>106</v>
      </c>
      <c r="C26" s="94">
        <f aca="true" t="shared" si="4" ref="C26:N26">SUM(C15:C25)</f>
        <v>474667</v>
      </c>
      <c r="D26" s="94">
        <f t="shared" si="4"/>
        <v>384021</v>
      </c>
      <c r="E26" s="94">
        <f t="shared" si="4"/>
        <v>1293842</v>
      </c>
      <c r="F26" s="94">
        <f t="shared" si="4"/>
        <v>649741</v>
      </c>
      <c r="G26" s="94">
        <f t="shared" si="4"/>
        <v>662615</v>
      </c>
      <c r="H26" s="94">
        <f t="shared" si="4"/>
        <v>678073</v>
      </c>
      <c r="I26" s="94">
        <f t="shared" si="4"/>
        <v>901159</v>
      </c>
      <c r="J26" s="94">
        <f t="shared" si="4"/>
        <v>941638</v>
      </c>
      <c r="K26" s="94">
        <f t="shared" si="4"/>
        <v>1338845</v>
      </c>
      <c r="L26" s="94">
        <f t="shared" si="4"/>
        <v>551934</v>
      </c>
      <c r="M26" s="94">
        <f t="shared" si="4"/>
        <v>474690</v>
      </c>
      <c r="N26" s="94">
        <f t="shared" si="4"/>
        <v>510694</v>
      </c>
      <c r="O26" s="1251">
        <f t="shared" si="0"/>
        <v>8861919</v>
      </c>
      <c r="S26" s="1254"/>
    </row>
    <row r="27" spans="1:19" ht="16.5" thickBot="1">
      <c r="A27" s="97" t="s">
        <v>40</v>
      </c>
      <c r="B27" s="256" t="s">
        <v>107</v>
      </c>
      <c r="C27" s="98">
        <f aca="true" t="shared" si="5" ref="C27:O27">C14-C26</f>
        <v>9291</v>
      </c>
      <c r="D27" s="98">
        <f t="shared" si="5"/>
        <v>-28176</v>
      </c>
      <c r="E27" s="98">
        <f t="shared" si="5"/>
        <v>708</v>
      </c>
      <c r="F27" s="98">
        <f t="shared" si="5"/>
        <v>1776</v>
      </c>
      <c r="G27" s="98">
        <f t="shared" si="5"/>
        <v>466</v>
      </c>
      <c r="H27" s="98">
        <f t="shared" si="5"/>
        <v>364</v>
      </c>
      <c r="I27" s="98">
        <f t="shared" si="5"/>
        <v>57</v>
      </c>
      <c r="J27" s="98">
        <f t="shared" si="5"/>
        <v>489</v>
      </c>
      <c r="K27" s="98">
        <f t="shared" si="5"/>
        <v>1580</v>
      </c>
      <c r="L27" s="98">
        <f t="shared" si="5"/>
        <v>409</v>
      </c>
      <c r="M27" s="98">
        <f t="shared" si="5"/>
        <v>3752</v>
      </c>
      <c r="N27" s="98">
        <f t="shared" si="5"/>
        <v>9284</v>
      </c>
      <c r="O27" s="99">
        <f t="shared" si="5"/>
        <v>0</v>
      </c>
      <c r="S27" s="1254"/>
    </row>
    <row r="28" ht="15.75">
      <c r="A28" s="101"/>
    </row>
    <row r="29" spans="2:15" ht="15.75">
      <c r="B29" s="102"/>
      <c r="C29" s="103"/>
      <c r="D29" s="103"/>
      <c r="O29" s="100"/>
    </row>
    <row r="30" ht="15.75">
      <c r="O30" s="100"/>
    </row>
    <row r="31" ht="15.75">
      <c r="O31" s="100"/>
    </row>
    <row r="32" ht="15.75">
      <c r="O32" s="100"/>
    </row>
    <row r="33" ht="15.75">
      <c r="O33" s="100"/>
    </row>
    <row r="34" ht="15.75">
      <c r="O34" s="100"/>
    </row>
    <row r="35" ht="15.75">
      <c r="O35" s="100"/>
    </row>
    <row r="36" ht="15.75">
      <c r="O36" s="100"/>
    </row>
    <row r="37" ht="15.75">
      <c r="O37" s="100"/>
    </row>
    <row r="38" ht="15.75">
      <c r="O38" s="100"/>
    </row>
    <row r="39" ht="15.75">
      <c r="O39" s="100"/>
    </row>
    <row r="40" ht="15.75">
      <c r="O40" s="100"/>
    </row>
    <row r="41" ht="15.75">
      <c r="O41" s="100"/>
    </row>
    <row r="42" ht="15.75">
      <c r="O42" s="100"/>
    </row>
    <row r="43" ht="15.75">
      <c r="O43" s="100"/>
    </row>
    <row r="44" ht="15.75">
      <c r="O44" s="100"/>
    </row>
    <row r="45" ht="15.75">
      <c r="O45" s="100"/>
    </row>
    <row r="46" ht="15.75">
      <c r="O46" s="100"/>
    </row>
    <row r="47" ht="15.75">
      <c r="O47" s="100"/>
    </row>
    <row r="48" ht="15.75">
      <c r="O48" s="100"/>
    </row>
    <row r="49" ht="15.75">
      <c r="O49" s="100"/>
    </row>
    <row r="50" ht="15.75">
      <c r="O50" s="100"/>
    </row>
    <row r="51" ht="15.75">
      <c r="O51" s="100"/>
    </row>
    <row r="52" ht="15.75">
      <c r="O52" s="100"/>
    </row>
    <row r="53" ht="15.75">
      <c r="O53" s="100"/>
    </row>
    <row r="54" ht="15.75">
      <c r="O54" s="100"/>
    </row>
    <row r="55" ht="15.75">
      <c r="O55" s="100"/>
    </row>
    <row r="56" ht="15.75">
      <c r="O56" s="100"/>
    </row>
    <row r="57" ht="15.75">
      <c r="O57" s="100"/>
    </row>
    <row r="58" ht="15.75">
      <c r="O58" s="100"/>
    </row>
    <row r="59" ht="15.75">
      <c r="O59" s="100"/>
    </row>
    <row r="60" ht="15.75">
      <c r="O60" s="100"/>
    </row>
    <row r="61" ht="15.75">
      <c r="O61" s="100"/>
    </row>
    <row r="62" ht="15.75">
      <c r="O62" s="100"/>
    </row>
    <row r="63" ht="15.75">
      <c r="O63" s="100"/>
    </row>
    <row r="64" ht="15.75">
      <c r="O64" s="100"/>
    </row>
    <row r="65" ht="15.75">
      <c r="O65" s="100"/>
    </row>
    <row r="66" ht="15.75">
      <c r="O66" s="100"/>
    </row>
    <row r="67" ht="15.75">
      <c r="O67" s="100"/>
    </row>
    <row r="68" ht="15.75">
      <c r="O68" s="100"/>
    </row>
    <row r="69" ht="15.75">
      <c r="O69" s="100"/>
    </row>
    <row r="70" ht="15.75">
      <c r="O70" s="100"/>
    </row>
    <row r="71" ht="15.75">
      <c r="O71" s="100"/>
    </row>
    <row r="72" ht="15.75">
      <c r="O72" s="100"/>
    </row>
    <row r="73" ht="15.75">
      <c r="O73" s="100"/>
    </row>
    <row r="74" ht="15.75">
      <c r="O74" s="100"/>
    </row>
    <row r="75" ht="15.75">
      <c r="O75" s="100"/>
    </row>
    <row r="76" ht="15.75">
      <c r="O76" s="100"/>
    </row>
    <row r="77" ht="15.75">
      <c r="O77" s="100"/>
    </row>
    <row r="78" ht="15.75">
      <c r="O78" s="100"/>
    </row>
    <row r="79" ht="15.75">
      <c r="O79" s="100"/>
    </row>
    <row r="80" ht="15.75">
      <c r="O80" s="100"/>
    </row>
    <row r="81" ht="15.75">
      <c r="O81" s="100"/>
    </row>
    <row r="82" ht="15.75">
      <c r="O82" s="10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23. számú melléklet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26"/>
  <sheetViews>
    <sheetView zoomScalePageLayoutView="0" workbookViewId="0" topLeftCell="A1">
      <selection activeCell="A1" sqref="A1:G1"/>
    </sheetView>
  </sheetViews>
  <sheetFormatPr defaultColWidth="9.37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1583" t="s">
        <v>1</v>
      </c>
      <c r="B1" s="1583"/>
      <c r="C1" s="1583"/>
      <c r="D1" s="1583"/>
      <c r="E1" s="1583"/>
      <c r="F1" s="1583"/>
      <c r="G1" s="1583"/>
    </row>
    <row r="3" spans="1:7" s="142" customFormat="1" ht="27" customHeight="1">
      <c r="A3" s="140" t="s">
        <v>207</v>
      </c>
      <c r="B3" s="141"/>
      <c r="C3" s="1582" t="s">
        <v>208</v>
      </c>
      <c r="D3" s="1582"/>
      <c r="E3" s="1582"/>
      <c r="F3" s="1582"/>
      <c r="G3" s="1582"/>
    </row>
    <row r="4" spans="1:7" s="142" customFormat="1" ht="15.75">
      <c r="A4" s="141"/>
      <c r="B4" s="141"/>
      <c r="C4" s="141"/>
      <c r="D4" s="141"/>
      <c r="E4" s="141"/>
      <c r="F4" s="141"/>
      <c r="G4" s="141"/>
    </row>
    <row r="5" spans="1:7" s="142" customFormat="1" ht="24.75" customHeight="1">
      <c r="A5" s="140" t="s">
        <v>209</v>
      </c>
      <c r="B5" s="141"/>
      <c r="C5" s="1582" t="s">
        <v>208</v>
      </c>
      <c r="D5" s="1582"/>
      <c r="E5" s="1582"/>
      <c r="F5" s="1582"/>
      <c r="G5" s="141"/>
    </row>
    <row r="6" spans="1:7" s="143" customFormat="1" ht="12.75">
      <c r="A6" s="193"/>
      <c r="B6" s="193"/>
      <c r="C6" s="193"/>
      <c r="D6" s="193"/>
      <c r="E6" s="193"/>
      <c r="F6" s="193"/>
      <c r="G6" s="193"/>
    </row>
    <row r="7" spans="1:7" s="144" customFormat="1" ht="15" customHeight="1">
      <c r="A7" s="231" t="s">
        <v>210</v>
      </c>
      <c r="B7" s="230"/>
      <c r="C7" s="230"/>
      <c r="D7" s="216"/>
      <c r="E7" s="216"/>
      <c r="F7" s="216"/>
      <c r="G7" s="216"/>
    </row>
    <row r="8" spans="1:7" s="144" customFormat="1" ht="15" customHeight="1" thickBot="1">
      <c r="A8" s="231" t="s">
        <v>211</v>
      </c>
      <c r="B8" s="216"/>
      <c r="C8" s="216"/>
      <c r="D8" s="216"/>
      <c r="E8" s="216"/>
      <c r="F8" s="216"/>
      <c r="G8" s="216"/>
    </row>
    <row r="9" spans="1:7" s="59" customFormat="1" ht="42" customHeight="1" thickBot="1">
      <c r="A9" s="174" t="s">
        <v>15</v>
      </c>
      <c r="B9" s="175" t="s">
        <v>212</v>
      </c>
      <c r="C9" s="175" t="s">
        <v>213</v>
      </c>
      <c r="D9" s="175" t="s">
        <v>214</v>
      </c>
      <c r="E9" s="175" t="s">
        <v>215</v>
      </c>
      <c r="F9" s="175" t="s">
        <v>216</v>
      </c>
      <c r="G9" s="176" t="s">
        <v>52</v>
      </c>
    </row>
    <row r="10" spans="1:7" ht="24" customHeight="1">
      <c r="A10" s="217" t="s">
        <v>17</v>
      </c>
      <c r="B10" s="182" t="s">
        <v>217</v>
      </c>
      <c r="C10" s="145"/>
      <c r="D10" s="145"/>
      <c r="E10" s="145"/>
      <c r="F10" s="145"/>
      <c r="G10" s="218">
        <f>SUM(C10:F10)</f>
        <v>0</v>
      </c>
    </row>
    <row r="11" spans="1:7" ht="24" customHeight="1">
      <c r="A11" s="219" t="s">
        <v>18</v>
      </c>
      <c r="B11" s="183" t="s">
        <v>218</v>
      </c>
      <c r="C11" s="146"/>
      <c r="D11" s="146"/>
      <c r="E11" s="146"/>
      <c r="F11" s="146"/>
      <c r="G11" s="220">
        <f aca="true" t="shared" si="0" ref="G11:G16">SUM(C11:F11)</f>
        <v>0</v>
      </c>
    </row>
    <row r="12" spans="1:7" ht="24" customHeight="1">
      <c r="A12" s="219" t="s">
        <v>19</v>
      </c>
      <c r="B12" s="183" t="s">
        <v>219</v>
      </c>
      <c r="C12" s="146"/>
      <c r="D12" s="146"/>
      <c r="E12" s="146"/>
      <c r="F12" s="146"/>
      <c r="G12" s="220">
        <f t="shared" si="0"/>
        <v>0</v>
      </c>
    </row>
    <row r="13" spans="1:7" ht="24" customHeight="1">
      <c r="A13" s="219" t="s">
        <v>20</v>
      </c>
      <c r="B13" s="183" t="s">
        <v>220</v>
      </c>
      <c r="C13" s="146"/>
      <c r="D13" s="146"/>
      <c r="E13" s="146"/>
      <c r="F13" s="146"/>
      <c r="G13" s="220">
        <f t="shared" si="0"/>
        <v>0</v>
      </c>
    </row>
    <row r="14" spans="1:7" ht="24" customHeight="1">
      <c r="A14" s="219" t="s">
        <v>21</v>
      </c>
      <c r="B14" s="183" t="s">
        <v>221</v>
      </c>
      <c r="C14" s="146"/>
      <c r="D14" s="146"/>
      <c r="E14" s="146"/>
      <c r="F14" s="146"/>
      <c r="G14" s="220">
        <f t="shared" si="0"/>
        <v>0</v>
      </c>
    </row>
    <row r="15" spans="1:7" ht="24" customHeight="1" thickBot="1">
      <c r="A15" s="221" t="s">
        <v>22</v>
      </c>
      <c r="B15" s="222" t="s">
        <v>222</v>
      </c>
      <c r="C15" s="147"/>
      <c r="D15" s="147"/>
      <c r="E15" s="147"/>
      <c r="F15" s="147"/>
      <c r="G15" s="223">
        <f t="shared" si="0"/>
        <v>0</v>
      </c>
    </row>
    <row r="16" spans="1:7" s="148" customFormat="1" ht="24" customHeight="1" thickBot="1">
      <c r="A16" s="224" t="s">
        <v>23</v>
      </c>
      <c r="B16" s="225" t="s">
        <v>52</v>
      </c>
      <c r="C16" s="226">
        <f>SUM(C10:C15)</f>
        <v>0</v>
      </c>
      <c r="D16" s="226">
        <f>SUM(D10:D15)</f>
        <v>0</v>
      </c>
      <c r="E16" s="226">
        <f>SUM(E10:E15)</f>
        <v>0</v>
      </c>
      <c r="F16" s="226">
        <f>SUM(F10:F15)</f>
        <v>0</v>
      </c>
      <c r="G16" s="227">
        <f t="shared" si="0"/>
        <v>0</v>
      </c>
    </row>
    <row r="17" spans="1:7" s="143" customFormat="1" ht="12.75">
      <c r="A17" s="193"/>
      <c r="B17" s="193"/>
      <c r="C17" s="193"/>
      <c r="D17" s="193"/>
      <c r="E17" s="193"/>
      <c r="F17" s="193"/>
      <c r="G17" s="193"/>
    </row>
    <row r="18" spans="1:7" s="143" customFormat="1" ht="12.75">
      <c r="A18" s="193"/>
      <c r="B18" s="193"/>
      <c r="C18" s="193"/>
      <c r="D18" s="193"/>
      <c r="E18" s="193"/>
      <c r="F18" s="193"/>
      <c r="G18" s="193"/>
    </row>
    <row r="19" spans="1:7" s="143" customFormat="1" ht="12.75">
      <c r="A19" s="193"/>
      <c r="B19" s="193"/>
      <c r="C19" s="193"/>
      <c r="D19" s="193"/>
      <c r="E19" s="193"/>
      <c r="F19" s="193"/>
      <c r="G19" s="193"/>
    </row>
    <row r="20" spans="1:7" s="143" customFormat="1" ht="15.75">
      <c r="A20" s="142" t="str">
        <f>+CONCATENATE("......................, ",LEFT(ÖSSZEFÜGGÉSEK!A5,4),". .......................... hó ..... nap")</f>
        <v>......................, 2015. .......................... hó ..... nap</v>
      </c>
      <c r="B20" s="193"/>
      <c r="C20" s="193"/>
      <c r="D20" s="193"/>
      <c r="E20" s="193"/>
      <c r="F20" s="193"/>
      <c r="G20" s="193"/>
    </row>
    <row r="21" spans="1:7" s="143" customFormat="1" ht="12.75">
      <c r="A21" s="193"/>
      <c r="B21" s="193"/>
      <c r="C21" s="193"/>
      <c r="D21" s="193"/>
      <c r="E21" s="193"/>
      <c r="F21" s="193"/>
      <c r="G21" s="193"/>
    </row>
    <row r="22" spans="1:7" ht="12.75">
      <c r="A22" s="193"/>
      <c r="B22" s="193"/>
      <c r="C22" s="193"/>
      <c r="D22" s="193"/>
      <c r="E22" s="193"/>
      <c r="F22" s="193"/>
      <c r="G22" s="193"/>
    </row>
    <row r="23" spans="1:7" ht="12.75">
      <c r="A23" s="193"/>
      <c r="B23" s="193"/>
      <c r="C23" s="143"/>
      <c r="D23" s="143"/>
      <c r="E23" s="143"/>
      <c r="F23" s="143"/>
      <c r="G23" s="193"/>
    </row>
    <row r="24" spans="1:7" ht="13.5">
      <c r="A24" s="193"/>
      <c r="B24" s="193"/>
      <c r="C24" s="228"/>
      <c r="D24" s="229" t="s">
        <v>223</v>
      </c>
      <c r="E24" s="229"/>
      <c r="F24" s="228"/>
      <c r="G24" s="193"/>
    </row>
    <row r="25" spans="3:6" ht="13.5">
      <c r="C25" s="149"/>
      <c r="D25" s="150"/>
      <c r="E25" s="150"/>
      <c r="F25" s="149"/>
    </row>
    <row r="26" spans="3:6" ht="13.5">
      <c r="C26" s="149"/>
      <c r="D26" s="150"/>
      <c r="E26" s="150"/>
      <c r="F26" s="149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24. számú melléklet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48"/>
  <sheetViews>
    <sheetView zoomScale="120" zoomScaleNormal="120" zoomScaleSheetLayoutView="100" zoomScalePageLayoutView="0" workbookViewId="0" topLeftCell="A1">
      <selection activeCell="A1" sqref="A1:E1"/>
    </sheetView>
  </sheetViews>
  <sheetFormatPr defaultColWidth="9.375" defaultRowHeight="12.75"/>
  <cols>
    <col min="1" max="1" width="9.00390625" style="286" customWidth="1"/>
    <col min="2" max="2" width="66.375" style="286" bestFit="1" customWidth="1"/>
    <col min="3" max="3" width="15.50390625" style="287" customWidth="1"/>
    <col min="4" max="5" width="15.50390625" style="286" customWidth="1"/>
    <col min="6" max="6" width="9.00390625" style="301" customWidth="1"/>
    <col min="7" max="16384" width="9.375" style="301" customWidth="1"/>
  </cols>
  <sheetData>
    <row r="1" spans="1:5" ht="15.75" customHeight="1">
      <c r="A1" s="1431" t="s">
        <v>14</v>
      </c>
      <c r="B1" s="1431"/>
      <c r="C1" s="1431"/>
      <c r="D1" s="1431"/>
      <c r="E1" s="1431"/>
    </row>
    <row r="2" spans="1:5" ht="15.75" customHeight="1" thickBot="1">
      <c r="A2" s="1584" t="s">
        <v>149</v>
      </c>
      <c r="B2" s="1584"/>
      <c r="D2" s="122"/>
      <c r="E2" s="260" t="s">
        <v>229</v>
      </c>
    </row>
    <row r="3" spans="1:5" ht="37.5" customHeight="1" thickBot="1">
      <c r="A3" s="9" t="s">
        <v>65</v>
      </c>
      <c r="B3" s="10" t="s">
        <v>16</v>
      </c>
      <c r="C3" s="10" t="str">
        <f>+CONCATENATE(LEFT(ÖSSZEFÜGGÉSEK!A5,4)+1,". évi")</f>
        <v>2016. évi</v>
      </c>
      <c r="D3" s="298" t="str">
        <f>+CONCATENATE(LEFT(ÖSSZEFÜGGÉSEK!A5,4)+2,". évi")</f>
        <v>2017. évi</v>
      </c>
      <c r="E3" s="139" t="str">
        <f>+CONCATENATE(LEFT(ÖSSZEFÜGGÉSEK!A5,4)+3,". évi")</f>
        <v>2018. évi</v>
      </c>
    </row>
    <row r="4" spans="1:5" s="302" customFormat="1" ht="12" customHeight="1" thickBot="1">
      <c r="A4" s="22" t="s">
        <v>492</v>
      </c>
      <c r="B4" s="23" t="s">
        <v>493</v>
      </c>
      <c r="C4" s="23" t="s">
        <v>494</v>
      </c>
      <c r="D4" s="23" t="s">
        <v>496</v>
      </c>
      <c r="E4" s="310" t="s">
        <v>495</v>
      </c>
    </row>
    <row r="5" spans="1:5" s="303" customFormat="1" ht="12" customHeight="1" thickBot="1">
      <c r="A5" s="22" t="s">
        <v>17</v>
      </c>
      <c r="B5" s="8" t="s">
        <v>527</v>
      </c>
      <c r="C5" s="317">
        <v>1400000</v>
      </c>
      <c r="D5" s="317">
        <v>1400000</v>
      </c>
      <c r="E5" s="318">
        <v>1400000</v>
      </c>
    </row>
    <row r="6" spans="1:5" s="303" customFormat="1" ht="12" customHeight="1" thickBot="1">
      <c r="A6" s="22" t="s">
        <v>18</v>
      </c>
      <c r="B6" s="257" t="s">
        <v>376</v>
      </c>
      <c r="C6" s="317">
        <v>150000</v>
      </c>
      <c r="D6" s="317">
        <v>150000</v>
      </c>
      <c r="E6" s="318">
        <v>250000</v>
      </c>
    </row>
    <row r="7" spans="1:5" s="303" customFormat="1" ht="12" customHeight="1" thickBot="1">
      <c r="A7" s="22" t="s">
        <v>19</v>
      </c>
      <c r="B7" s="8" t="s">
        <v>384</v>
      </c>
      <c r="C7" s="317">
        <v>1500000</v>
      </c>
      <c r="D7" s="317">
        <v>1550000</v>
      </c>
      <c r="E7" s="318">
        <v>1400000</v>
      </c>
    </row>
    <row r="8" spans="1:5" s="303" customFormat="1" ht="12" customHeight="1" thickBot="1">
      <c r="A8" s="9" t="s">
        <v>170</v>
      </c>
      <c r="B8" s="779" t="s">
        <v>268</v>
      </c>
      <c r="C8" s="297">
        <f>+C9+C10+C11+C15</f>
        <v>3070000</v>
      </c>
      <c r="D8" s="297">
        <f>+D9+D10+D11+D15</f>
        <v>3120000</v>
      </c>
      <c r="E8" s="318">
        <f>+E9+E10+E11+E15</f>
        <v>3170000</v>
      </c>
    </row>
    <row r="9" spans="1:5" s="303" customFormat="1" ht="12" customHeight="1">
      <c r="A9" s="780" t="s">
        <v>269</v>
      </c>
      <c r="B9" s="781" t="s">
        <v>567</v>
      </c>
      <c r="C9" s="309">
        <v>0</v>
      </c>
      <c r="D9" s="309">
        <v>0</v>
      </c>
      <c r="E9" s="308">
        <v>0</v>
      </c>
    </row>
    <row r="10" spans="1:5" s="303" customFormat="1" ht="12" customHeight="1">
      <c r="A10" s="782" t="s">
        <v>270</v>
      </c>
      <c r="B10" s="783" t="s">
        <v>575</v>
      </c>
      <c r="C10" s="294">
        <v>1260000</v>
      </c>
      <c r="D10" s="294">
        <v>1260000</v>
      </c>
      <c r="E10" s="233">
        <v>1300000</v>
      </c>
    </row>
    <row r="11" spans="1:5" s="303" customFormat="1" ht="12" customHeight="1">
      <c r="A11" s="782" t="s">
        <v>271</v>
      </c>
      <c r="B11" s="783" t="s">
        <v>568</v>
      </c>
      <c r="C11" s="294">
        <f>SUM(C12:C14)</f>
        <v>1787000</v>
      </c>
      <c r="D11" s="294">
        <f>SUM(D12:D14)</f>
        <v>1837000</v>
      </c>
      <c r="E11" s="233">
        <f>SUM(E12:E14)</f>
        <v>1847000</v>
      </c>
    </row>
    <row r="12" spans="1:5" s="303" customFormat="1" ht="12" customHeight="1">
      <c r="A12" s="784" t="s">
        <v>569</v>
      </c>
      <c r="B12" s="785" t="s">
        <v>570</v>
      </c>
      <c r="C12" s="294">
        <v>95000</v>
      </c>
      <c r="D12" s="294">
        <v>95000</v>
      </c>
      <c r="E12" s="233">
        <v>95000</v>
      </c>
    </row>
    <row r="13" spans="1:5" s="303" customFormat="1" ht="12" customHeight="1">
      <c r="A13" s="784" t="s">
        <v>571</v>
      </c>
      <c r="B13" s="785" t="s">
        <v>572</v>
      </c>
      <c r="C13" s="294">
        <v>1400000</v>
      </c>
      <c r="D13" s="294">
        <v>1450000</v>
      </c>
      <c r="E13" s="233">
        <v>1460000</v>
      </c>
    </row>
    <row r="14" spans="1:5" s="303" customFormat="1" ht="12" customHeight="1">
      <c r="A14" s="784" t="s">
        <v>573</v>
      </c>
      <c r="B14" s="785" t="s">
        <v>574</v>
      </c>
      <c r="C14" s="294">
        <v>292000</v>
      </c>
      <c r="D14" s="294">
        <v>292000</v>
      </c>
      <c r="E14" s="233">
        <v>292000</v>
      </c>
    </row>
    <row r="15" spans="1:5" s="303" customFormat="1" ht="12" customHeight="1" thickBot="1">
      <c r="A15" s="782" t="s">
        <v>272</v>
      </c>
      <c r="B15" s="783" t="s">
        <v>273</v>
      </c>
      <c r="C15" s="296">
        <v>23000</v>
      </c>
      <c r="D15" s="296">
        <v>23000</v>
      </c>
      <c r="E15" s="235">
        <v>23000</v>
      </c>
    </row>
    <row r="16" spans="1:5" s="303" customFormat="1" ht="12" customHeight="1" thickBot="1">
      <c r="A16" s="22" t="s">
        <v>21</v>
      </c>
      <c r="B16" s="8" t="s">
        <v>530</v>
      </c>
      <c r="C16" s="317">
        <v>1300000</v>
      </c>
      <c r="D16" s="317">
        <v>1350000</v>
      </c>
      <c r="E16" s="318">
        <v>1400000</v>
      </c>
    </row>
    <row r="17" spans="1:5" s="303" customFormat="1" ht="12" customHeight="1" thickBot="1">
      <c r="A17" s="22" t="s">
        <v>22</v>
      </c>
      <c r="B17" s="8" t="s">
        <v>8</v>
      </c>
      <c r="C17" s="317">
        <v>350000</v>
      </c>
      <c r="D17" s="317">
        <v>350000</v>
      </c>
      <c r="E17" s="318">
        <v>250000</v>
      </c>
    </row>
    <row r="18" spans="1:5" s="303" customFormat="1" ht="12" customHeight="1" thickBot="1">
      <c r="A18" s="22" t="s">
        <v>177</v>
      </c>
      <c r="B18" s="8" t="s">
        <v>529</v>
      </c>
      <c r="C18" s="317">
        <v>100000</v>
      </c>
      <c r="D18" s="317">
        <v>50000</v>
      </c>
      <c r="E18" s="318">
        <v>50000</v>
      </c>
    </row>
    <row r="19" spans="1:5" s="303" customFormat="1" ht="12" customHeight="1" thickBot="1">
      <c r="A19" s="22" t="s">
        <v>24</v>
      </c>
      <c r="B19" s="257" t="s">
        <v>528</v>
      </c>
      <c r="C19" s="317">
        <v>25000</v>
      </c>
      <c r="D19" s="317">
        <v>25000</v>
      </c>
      <c r="E19" s="318">
        <v>25000</v>
      </c>
    </row>
    <row r="20" spans="1:5" s="303" customFormat="1" ht="12" customHeight="1" thickBot="1">
      <c r="A20" s="22" t="s">
        <v>25</v>
      </c>
      <c r="B20" s="8" t="s">
        <v>306</v>
      </c>
      <c r="C20" s="297">
        <f>+C5+C6+C7+C8+C16+C17+C18+C19</f>
        <v>7895000</v>
      </c>
      <c r="D20" s="297">
        <f>+D5+D6+D7+D8+D16+D17+D18+D19</f>
        <v>7995000</v>
      </c>
      <c r="E20" s="259">
        <f>+E5+E6+E7+E8+E16+E17+E18+E19</f>
        <v>7945000</v>
      </c>
    </row>
    <row r="21" spans="1:5" s="303" customFormat="1" ht="12" customHeight="1" thickBot="1">
      <c r="A21" s="22" t="s">
        <v>26</v>
      </c>
      <c r="B21" s="8" t="s">
        <v>531</v>
      </c>
      <c r="C21" s="344"/>
      <c r="D21" s="344"/>
      <c r="E21" s="345"/>
    </row>
    <row r="22" spans="1:5" s="303" customFormat="1" ht="12" customHeight="1" thickBot="1">
      <c r="A22" s="22" t="s">
        <v>27</v>
      </c>
      <c r="B22" s="8" t="s">
        <v>532</v>
      </c>
      <c r="C22" s="297">
        <f>+C20+C21</f>
        <v>7895000</v>
      </c>
      <c r="D22" s="297">
        <f>+D20+D21</f>
        <v>7995000</v>
      </c>
      <c r="E22" s="307">
        <f>+E20+E21</f>
        <v>7945000</v>
      </c>
    </row>
    <row r="23" spans="1:5" s="303" customFormat="1" ht="12" customHeight="1">
      <c r="A23" s="273"/>
      <c r="B23" s="274"/>
      <c r="C23" s="275"/>
      <c r="D23" s="341"/>
      <c r="E23" s="342"/>
    </row>
    <row r="24" spans="1:5" s="303" customFormat="1" ht="12" customHeight="1">
      <c r="A24" s="1431" t="s">
        <v>46</v>
      </c>
      <c r="B24" s="1431"/>
      <c r="C24" s="1431"/>
      <c r="D24" s="1431"/>
      <c r="E24" s="1431"/>
    </row>
    <row r="25" spans="1:5" s="303" customFormat="1" ht="12" customHeight="1" thickBot="1">
      <c r="A25" s="1585" t="s">
        <v>150</v>
      </c>
      <c r="B25" s="1585"/>
      <c r="C25" s="287"/>
      <c r="D25" s="122"/>
      <c r="E25" s="260" t="s">
        <v>229</v>
      </c>
    </row>
    <row r="26" spans="1:6" s="303" customFormat="1" ht="24" customHeight="1" thickBot="1">
      <c r="A26" s="9" t="s">
        <v>15</v>
      </c>
      <c r="B26" s="10" t="s">
        <v>47</v>
      </c>
      <c r="C26" s="10" t="str">
        <f>+C3</f>
        <v>2016. évi</v>
      </c>
      <c r="D26" s="10" t="str">
        <f>+D3</f>
        <v>2017. évi</v>
      </c>
      <c r="E26" s="139" t="str">
        <f>+E3</f>
        <v>2018. évi</v>
      </c>
      <c r="F26" s="343"/>
    </row>
    <row r="27" spans="1:6" s="303" customFormat="1" ht="12" customHeight="1" thickBot="1">
      <c r="A27" s="299" t="s">
        <v>492</v>
      </c>
      <c r="B27" s="300" t="s">
        <v>493</v>
      </c>
      <c r="C27" s="300" t="s">
        <v>494</v>
      </c>
      <c r="D27" s="300" t="s">
        <v>496</v>
      </c>
      <c r="E27" s="337" t="s">
        <v>495</v>
      </c>
      <c r="F27" s="343"/>
    </row>
    <row r="28" spans="1:6" s="303" customFormat="1" ht="13.5" thickBot="1">
      <c r="A28" s="22" t="s">
        <v>17</v>
      </c>
      <c r="B28" s="16" t="s">
        <v>533</v>
      </c>
      <c r="C28" s="317">
        <f>C22-C30-C31-C32</f>
        <v>5330000</v>
      </c>
      <c r="D28" s="317">
        <f>D22-D30-D31-D32</f>
        <v>5440000</v>
      </c>
      <c r="E28" s="316">
        <f>E22-E30-E31-E32</f>
        <v>5390000</v>
      </c>
      <c r="F28" s="343"/>
    </row>
    <row r="29" spans="1:5" ht="12.75" customHeight="1" thickBot="1">
      <c r="A29" s="786" t="s">
        <v>18</v>
      </c>
      <c r="B29" s="338" t="s">
        <v>538</v>
      </c>
      <c r="C29" s="339">
        <f>+C30+C31+C32</f>
        <v>2565000</v>
      </c>
      <c r="D29" s="339">
        <f>+D30+D31+D32</f>
        <v>2555000</v>
      </c>
      <c r="E29" s="340">
        <f>+E30+E31+E32</f>
        <v>2555000</v>
      </c>
    </row>
    <row r="30" spans="1:5" ht="12" customHeight="1">
      <c r="A30" s="305" t="s">
        <v>100</v>
      </c>
      <c r="B30" s="6" t="s">
        <v>228</v>
      </c>
      <c r="C30" s="295">
        <v>2500000</v>
      </c>
      <c r="D30" s="295">
        <v>2500000</v>
      </c>
      <c r="E30" s="234">
        <v>2500000</v>
      </c>
    </row>
    <row r="31" spans="1:5" ht="12" customHeight="1">
      <c r="A31" s="305" t="s">
        <v>101</v>
      </c>
      <c r="B31" s="7" t="s">
        <v>184</v>
      </c>
      <c r="C31" s="294">
        <v>60000</v>
      </c>
      <c r="D31" s="294">
        <v>50000</v>
      </c>
      <c r="E31" s="233">
        <v>50000</v>
      </c>
    </row>
    <row r="32" spans="1:5" ht="12" customHeight="1" thickBot="1">
      <c r="A32" s="305" t="s">
        <v>102</v>
      </c>
      <c r="B32" s="258" t="s">
        <v>231</v>
      </c>
      <c r="C32" s="294">
        <v>5000</v>
      </c>
      <c r="D32" s="294">
        <v>5000</v>
      </c>
      <c r="E32" s="233">
        <v>5000</v>
      </c>
    </row>
    <row r="33" spans="1:5" ht="12" customHeight="1" thickBot="1">
      <c r="A33" s="22" t="s">
        <v>19</v>
      </c>
      <c r="B33" s="107" t="s">
        <v>448</v>
      </c>
      <c r="C33" s="293">
        <f>+C28+C29</f>
        <v>7895000</v>
      </c>
      <c r="D33" s="293">
        <f>+D28+D29</f>
        <v>7995000</v>
      </c>
      <c r="E33" s="232">
        <f>+E28+E29</f>
        <v>7945000</v>
      </c>
    </row>
    <row r="34" spans="1:6" ht="15" customHeight="1" thickBot="1">
      <c r="A34" s="22" t="s">
        <v>20</v>
      </c>
      <c r="B34" s="107" t="s">
        <v>534</v>
      </c>
      <c r="C34" s="346"/>
      <c r="D34" s="346"/>
      <c r="E34" s="347"/>
      <c r="F34" s="304"/>
    </row>
    <row r="35" spans="1:5" s="303" customFormat="1" ht="12.75" customHeight="1" thickBot="1">
      <c r="A35" s="306" t="s">
        <v>21</v>
      </c>
      <c r="B35" s="285" t="s">
        <v>535</v>
      </c>
      <c r="C35" s="336">
        <f>+C33+C34</f>
        <v>7895000</v>
      </c>
      <c r="D35" s="336">
        <f>+D33+D34</f>
        <v>7995000</v>
      </c>
      <c r="E35" s="335">
        <f>+E33+E34</f>
        <v>7945000</v>
      </c>
    </row>
    <row r="36" ht="15.75">
      <c r="C36" s="286"/>
    </row>
    <row r="37" ht="15.75">
      <c r="C37" s="286"/>
    </row>
    <row r="38" ht="15.75">
      <c r="C38" s="286"/>
    </row>
    <row r="39" ht="16.5" customHeight="1">
      <c r="C39" s="286"/>
    </row>
    <row r="40" ht="15.75">
      <c r="C40" s="286"/>
    </row>
    <row r="41" ht="15.75">
      <c r="C41" s="286"/>
    </row>
    <row r="42" spans="6:7" s="286" customFormat="1" ht="15.75">
      <c r="F42" s="301"/>
      <c r="G42" s="301"/>
    </row>
    <row r="43" spans="6:7" s="286" customFormat="1" ht="15.75">
      <c r="F43" s="301"/>
      <c r="G43" s="301"/>
    </row>
    <row r="44" spans="6:7" s="286" customFormat="1" ht="15.75">
      <c r="F44" s="301"/>
      <c r="G44" s="301"/>
    </row>
    <row r="45" spans="6:7" s="286" customFormat="1" ht="15.75">
      <c r="F45" s="301"/>
      <c r="G45" s="301"/>
    </row>
    <row r="46" spans="6:7" s="286" customFormat="1" ht="15.75">
      <c r="F46" s="301"/>
      <c r="G46" s="301"/>
    </row>
    <row r="47" spans="6:7" s="286" customFormat="1" ht="15.75">
      <c r="F47" s="301"/>
      <c r="G47" s="301"/>
    </row>
    <row r="48" spans="6:7" s="286" customFormat="1" ht="15.75">
      <c r="F48" s="301"/>
      <c r="G48" s="301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CE,Félkövér"&amp;12Siófok Város Önkormányzat
2015. ÉVI KÖLTSÉGVETÉSI ÉVET KÖVETŐ 3 ÉV TERVEZETT BEVÉTELEI, KIADÁSAI&amp;R&amp;"Times New Roman CE,Félkövér dőlt"&amp;11 25. számú melléklet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F16" sqref="F16"/>
    </sheetView>
  </sheetViews>
  <sheetFormatPr defaultColWidth="9.375" defaultRowHeight="12.75"/>
  <cols>
    <col min="1" max="1" width="5.625" style="126" customWidth="1"/>
    <col min="2" max="2" width="66.875" style="126" customWidth="1"/>
    <col min="3" max="3" width="27.00390625" style="126" customWidth="1"/>
    <col min="4" max="16384" width="9.375" style="126" customWidth="1"/>
  </cols>
  <sheetData>
    <row r="1" spans="1:3" ht="33" customHeight="1">
      <c r="A1" s="1552" t="str">
        <f>+CONCATENATE("………….. Önkormányzat ",CONCATENATE(LEFT(ÖSSZEFÜGGÉSEK!A5,4),". évi adósságot keletkeztető fejlesztési céljai"))</f>
        <v>………….. Önkormányzat 2015. évi adósságot keletkeztető fejlesztési céljai</v>
      </c>
      <c r="B1" s="1552"/>
      <c r="C1" s="1552"/>
    </row>
    <row r="2" spans="1:4" ht="15.75" customHeight="1" thickBot="1">
      <c r="A2" s="127"/>
      <c r="B2" s="127"/>
      <c r="C2" s="138" t="s">
        <v>54</v>
      </c>
      <c r="D2" s="133"/>
    </row>
    <row r="3" spans="1:3" ht="26.25" customHeight="1" thickBot="1">
      <c r="A3" s="157" t="s">
        <v>15</v>
      </c>
      <c r="B3" s="158" t="s">
        <v>197</v>
      </c>
      <c r="C3" s="159" t="s">
        <v>224</v>
      </c>
    </row>
    <row r="4" spans="1:3" ht="15.75" thickBot="1">
      <c r="A4" s="160" t="s">
        <v>492</v>
      </c>
      <c r="B4" s="161" t="s">
        <v>493</v>
      </c>
      <c r="C4" s="162" t="s">
        <v>494</v>
      </c>
    </row>
    <row r="5" spans="1:3" ht="15">
      <c r="A5" s="163" t="s">
        <v>17</v>
      </c>
      <c r="B5" s="170"/>
      <c r="C5" s="167"/>
    </row>
    <row r="6" spans="1:3" ht="15">
      <c r="A6" s="164" t="s">
        <v>18</v>
      </c>
      <c r="B6" s="171"/>
      <c r="C6" s="168"/>
    </row>
    <row r="7" spans="1:3" ht="15.75" thickBot="1">
      <c r="A7" s="165" t="s">
        <v>19</v>
      </c>
      <c r="B7" s="172"/>
      <c r="C7" s="169"/>
    </row>
    <row r="8" spans="1:3" s="322" customFormat="1" ht="17.25" customHeight="1" thickBot="1">
      <c r="A8" s="323" t="s">
        <v>20</v>
      </c>
      <c r="B8" s="113" t="s">
        <v>198</v>
      </c>
      <c r="C8" s="16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67"/>
  <sheetViews>
    <sheetView zoomScale="120" zoomScaleNormal="120" zoomScaleSheetLayoutView="100" zoomScalePageLayoutView="0" workbookViewId="0" topLeftCell="A1">
      <selection activeCell="E6" sqref="E6"/>
    </sheetView>
  </sheetViews>
  <sheetFormatPr defaultColWidth="9.375" defaultRowHeight="12.75"/>
  <cols>
    <col min="1" max="1" width="9.00390625" style="288" customWidth="1"/>
    <col min="2" max="2" width="75.875" style="288" customWidth="1"/>
    <col min="3" max="3" width="15.50390625" style="289" customWidth="1"/>
    <col min="4" max="5" width="15.50390625" style="288" customWidth="1"/>
    <col min="6" max="6" width="5.375" style="27" customWidth="1"/>
    <col min="7" max="16384" width="9.375" style="27" customWidth="1"/>
  </cols>
  <sheetData>
    <row r="1" spans="1:5" ht="15.75" customHeight="1">
      <c r="A1" s="1431" t="s">
        <v>14</v>
      </c>
      <c r="B1" s="1431"/>
      <c r="C1" s="1431"/>
      <c r="D1" s="1431"/>
      <c r="E1" s="1431"/>
    </row>
    <row r="2" spans="1:5" ht="15.75" customHeight="1" thickBot="1">
      <c r="A2" s="1584" t="s">
        <v>149</v>
      </c>
      <c r="B2" s="1584"/>
      <c r="D2" s="122"/>
      <c r="E2" s="260" t="s">
        <v>229</v>
      </c>
    </row>
    <row r="3" spans="1:5" ht="37.5" customHeight="1" thickBot="1">
      <c r="A3" s="9" t="s">
        <v>65</v>
      </c>
      <c r="B3" s="10" t="s">
        <v>16</v>
      </c>
      <c r="C3" s="10" t="str">
        <f>+CONCATENATE(LEFT(ÖSSZEFÜGGÉSEK!A5,4)-2,". évi tény")</f>
        <v>2013. évi tény</v>
      </c>
      <c r="D3" s="298" t="str">
        <f>+CONCATENATE(LEFT(ÖSSZEFÜGGÉSEK!A5,4)-1,". évi várható")</f>
        <v>2014. évi várható</v>
      </c>
      <c r="E3" s="139" t="str">
        <f>+4!C3</f>
        <v>2015. évi előirányzat</v>
      </c>
    </row>
    <row r="4" spans="1:5" s="28" customFormat="1" ht="12" customHeight="1" thickBot="1">
      <c r="A4" s="22" t="s">
        <v>492</v>
      </c>
      <c r="B4" s="23" t="s">
        <v>493</v>
      </c>
      <c r="C4" s="23" t="s">
        <v>494</v>
      </c>
      <c r="D4" s="23" t="s">
        <v>496</v>
      </c>
      <c r="E4" s="310" t="s">
        <v>495</v>
      </c>
    </row>
    <row r="5" spans="1:5" s="1" customFormat="1" ht="12" customHeight="1" thickBot="1">
      <c r="A5" s="1257" t="s">
        <v>17</v>
      </c>
      <c r="B5" s="1258" t="s">
        <v>253</v>
      </c>
      <c r="C5" s="1259">
        <f>+C6+C7+C8+C9+C10+C11</f>
        <v>1807574</v>
      </c>
      <c r="D5" s="1259">
        <f>+D6+D7+D8+D9+D10+D11</f>
        <v>1698611</v>
      </c>
      <c r="E5" s="1260">
        <f>+E6+E7+E8+E9+E10+E11</f>
        <v>1421902</v>
      </c>
    </row>
    <row r="6" spans="1:5" s="1" customFormat="1" ht="12" customHeight="1">
      <c r="A6" s="1261" t="s">
        <v>94</v>
      </c>
      <c r="B6" s="1262" t="s">
        <v>254</v>
      </c>
      <c r="C6" s="1263">
        <v>188844</v>
      </c>
      <c r="D6" s="1263">
        <v>306043</v>
      </c>
      <c r="E6" s="1264">
        <v>684162</v>
      </c>
    </row>
    <row r="7" spans="1:5" s="1" customFormat="1" ht="12" customHeight="1">
      <c r="A7" s="1265" t="s">
        <v>95</v>
      </c>
      <c r="B7" s="1266" t="s">
        <v>255</v>
      </c>
      <c r="C7" s="1267">
        <v>502001</v>
      </c>
      <c r="D7" s="1267">
        <v>375516</v>
      </c>
      <c r="E7" s="1268">
        <v>387619</v>
      </c>
    </row>
    <row r="8" spans="1:5" s="1" customFormat="1" ht="12" customHeight="1">
      <c r="A8" s="1265" t="s">
        <v>96</v>
      </c>
      <c r="B8" s="1266" t="s">
        <v>256</v>
      </c>
      <c r="C8" s="1267">
        <f>214493+108042</f>
        <v>322535</v>
      </c>
      <c r="D8" s="1267">
        <v>383070</v>
      </c>
      <c r="E8" s="1268">
        <v>321594</v>
      </c>
    </row>
    <row r="9" spans="1:5" s="1" customFormat="1" ht="12" customHeight="1">
      <c r="A9" s="1265" t="s">
        <v>97</v>
      </c>
      <c r="B9" s="1266" t="s">
        <v>257</v>
      </c>
      <c r="C9" s="1267"/>
      <c r="D9" s="1267">
        <v>28536</v>
      </c>
      <c r="E9" s="1268">
        <v>28527</v>
      </c>
    </row>
    <row r="10" spans="1:5" s="1" customFormat="1" ht="12" customHeight="1">
      <c r="A10" s="1265" t="s">
        <v>145</v>
      </c>
      <c r="B10" s="1269" t="s">
        <v>433</v>
      </c>
      <c r="C10" s="1267">
        <f>21144+279314+493736</f>
        <v>794194</v>
      </c>
      <c r="D10" s="1267">
        <f>564830+40616</f>
        <v>605446</v>
      </c>
      <c r="E10" s="1268"/>
    </row>
    <row r="11" spans="1:5" s="1" customFormat="1" ht="12" customHeight="1" thickBot="1">
      <c r="A11" s="1270" t="s">
        <v>98</v>
      </c>
      <c r="B11" s="1271" t="s">
        <v>434</v>
      </c>
      <c r="C11" s="1267"/>
      <c r="D11" s="1267"/>
      <c r="E11" s="1268"/>
    </row>
    <row r="12" spans="1:5" s="1" customFormat="1" ht="12" customHeight="1" thickBot="1">
      <c r="A12" s="1257" t="s">
        <v>18</v>
      </c>
      <c r="B12" s="1272" t="s">
        <v>258</v>
      </c>
      <c r="C12" s="1259">
        <f>+C13+C14+C15+C16+C17</f>
        <v>352482</v>
      </c>
      <c r="D12" s="1259">
        <f>+D13+D14+D15+D16+D17</f>
        <v>555982</v>
      </c>
      <c r="E12" s="1260">
        <f>+E13+E14+E15+E16+E17</f>
        <v>238657</v>
      </c>
    </row>
    <row r="13" spans="1:5" s="1" customFormat="1" ht="12" customHeight="1">
      <c r="A13" s="1261" t="s">
        <v>100</v>
      </c>
      <c r="B13" s="1262" t="s">
        <v>259</v>
      </c>
      <c r="C13" s="1263"/>
      <c r="D13" s="1263"/>
      <c r="E13" s="1264"/>
    </row>
    <row r="14" spans="1:5" s="1" customFormat="1" ht="12" customHeight="1">
      <c r="A14" s="1265" t="s">
        <v>101</v>
      </c>
      <c r="B14" s="1266" t="s">
        <v>260</v>
      </c>
      <c r="C14" s="1267"/>
      <c r="D14" s="1267"/>
      <c r="E14" s="1268"/>
    </row>
    <row r="15" spans="1:5" s="1" customFormat="1" ht="12" customHeight="1">
      <c r="A15" s="1265" t="s">
        <v>102</v>
      </c>
      <c r="B15" s="1266" t="s">
        <v>424</v>
      </c>
      <c r="C15" s="1267"/>
      <c r="D15" s="1267"/>
      <c r="E15" s="1268"/>
    </row>
    <row r="16" spans="1:5" s="1" customFormat="1" ht="12" customHeight="1">
      <c r="A16" s="1265" t="s">
        <v>103</v>
      </c>
      <c r="B16" s="1266" t="s">
        <v>425</v>
      </c>
      <c r="C16" s="1267"/>
      <c r="D16" s="1267"/>
      <c r="E16" s="1268"/>
    </row>
    <row r="17" spans="1:5" s="1" customFormat="1" ht="12" customHeight="1">
      <c r="A17" s="1265" t="s">
        <v>104</v>
      </c>
      <c r="B17" s="1266" t="s">
        <v>261</v>
      </c>
      <c r="C17" s="1267">
        <v>352482</v>
      </c>
      <c r="D17" s="1267">
        <v>555982</v>
      </c>
      <c r="E17" s="1268">
        <v>238657</v>
      </c>
    </row>
    <row r="18" spans="1:5" s="1" customFormat="1" ht="12" customHeight="1" thickBot="1">
      <c r="A18" s="1270" t="s">
        <v>113</v>
      </c>
      <c r="B18" s="1271" t="s">
        <v>262</v>
      </c>
      <c r="C18" s="1273">
        <v>70113</v>
      </c>
      <c r="D18" s="1273">
        <v>188378</v>
      </c>
      <c r="E18" s="1274">
        <v>3937</v>
      </c>
    </row>
    <row r="19" spans="1:5" s="1" customFormat="1" ht="12" customHeight="1" thickBot="1">
      <c r="A19" s="1257" t="s">
        <v>19</v>
      </c>
      <c r="B19" s="1258" t="s">
        <v>263</v>
      </c>
      <c r="C19" s="1259">
        <f>+C20+C21+C22+C23+C24</f>
        <v>307112</v>
      </c>
      <c r="D19" s="1259">
        <f>+D20+D21+D22+D23+D24</f>
        <v>569644</v>
      </c>
      <c r="E19" s="1260">
        <f>+E20+E21+E22+E23+E24</f>
        <v>1806214</v>
      </c>
    </row>
    <row r="20" spans="1:5" s="1" customFormat="1" ht="12" customHeight="1">
      <c r="A20" s="1261" t="s">
        <v>83</v>
      </c>
      <c r="B20" s="1262" t="s">
        <v>264</v>
      </c>
      <c r="C20" s="1263"/>
      <c r="D20" s="1263">
        <v>383808</v>
      </c>
      <c r="E20" s="1264"/>
    </row>
    <row r="21" spans="1:5" s="1" customFormat="1" ht="12" customHeight="1">
      <c r="A21" s="1265" t="s">
        <v>84</v>
      </c>
      <c r="B21" s="1266" t="s">
        <v>265</v>
      </c>
      <c r="C21" s="1267"/>
      <c r="D21" s="1267"/>
      <c r="E21" s="1268"/>
    </row>
    <row r="22" spans="1:5" s="1" customFormat="1" ht="12" customHeight="1">
      <c r="A22" s="1265" t="s">
        <v>85</v>
      </c>
      <c r="B22" s="1266" t="s">
        <v>426</v>
      </c>
      <c r="C22" s="1267"/>
      <c r="D22" s="1267"/>
      <c r="E22" s="1268"/>
    </row>
    <row r="23" spans="1:5" s="1" customFormat="1" ht="12" customHeight="1">
      <c r="A23" s="1265" t="s">
        <v>86</v>
      </c>
      <c r="B23" s="1266" t="s">
        <v>427</v>
      </c>
      <c r="C23" s="1267"/>
      <c r="D23" s="1267"/>
      <c r="E23" s="1268"/>
    </row>
    <row r="24" spans="1:5" s="1" customFormat="1" ht="12" customHeight="1">
      <c r="A24" s="1265" t="s">
        <v>168</v>
      </c>
      <c r="B24" s="1266" t="s">
        <v>266</v>
      </c>
      <c r="C24" s="1267">
        <f>300753+6359</f>
        <v>307112</v>
      </c>
      <c r="D24" s="1267">
        <v>185836</v>
      </c>
      <c r="E24" s="1268">
        <v>1806214</v>
      </c>
    </row>
    <row r="25" spans="1:5" s="1" customFormat="1" ht="12" customHeight="1" thickBot="1">
      <c r="A25" s="1270" t="s">
        <v>169</v>
      </c>
      <c r="B25" s="1275" t="s">
        <v>267</v>
      </c>
      <c r="C25" s="1273">
        <v>290699</v>
      </c>
      <c r="D25" s="1273">
        <v>97773</v>
      </c>
      <c r="E25" s="1274">
        <v>1068630</v>
      </c>
    </row>
    <row r="26" spans="1:5" s="1" customFormat="1" ht="12" customHeight="1" thickBot="1">
      <c r="A26" s="1257" t="s">
        <v>170</v>
      </c>
      <c r="B26" s="1258" t="s">
        <v>268</v>
      </c>
      <c r="C26" s="1276">
        <f>C33+C29+C28+C27</f>
        <v>2966144</v>
      </c>
      <c r="D26" s="1276">
        <f>D33+D29+D28+D27</f>
        <v>3223859</v>
      </c>
      <c r="E26" s="1277">
        <f>+E27+E28+E29+E33</f>
        <v>3063700</v>
      </c>
    </row>
    <row r="27" spans="1:5" s="1" customFormat="1" ht="12" customHeight="1">
      <c r="A27" s="482" t="s">
        <v>269</v>
      </c>
      <c r="B27" s="439" t="s">
        <v>567</v>
      </c>
      <c r="C27" s="1278">
        <v>163</v>
      </c>
      <c r="D27" s="1278">
        <v>0</v>
      </c>
      <c r="E27" s="1279">
        <v>0</v>
      </c>
    </row>
    <row r="28" spans="1:5" s="1" customFormat="1" ht="12" customHeight="1">
      <c r="A28" s="483" t="s">
        <v>270</v>
      </c>
      <c r="B28" s="441" t="s">
        <v>575</v>
      </c>
      <c r="C28" s="1267">
        <f>1214854+6844</f>
        <v>1221698</v>
      </c>
      <c r="D28" s="1267">
        <v>1297299</v>
      </c>
      <c r="E28" s="1268">
        <v>1250000</v>
      </c>
    </row>
    <row r="29" spans="1:5" s="1" customFormat="1" ht="12" customHeight="1">
      <c r="A29" s="483" t="s">
        <v>271</v>
      </c>
      <c r="B29" s="441" t="s">
        <v>568</v>
      </c>
      <c r="C29" s="1267">
        <f>SUM(C30:C32)</f>
        <v>1719514</v>
      </c>
      <c r="D29" s="1267">
        <f>SUM(D30:D32)</f>
        <v>1894586</v>
      </c>
      <c r="E29" s="1268">
        <f>SUM(E30:E32)</f>
        <v>1787000</v>
      </c>
    </row>
    <row r="30" spans="1:5" s="1" customFormat="1" ht="12" customHeight="1">
      <c r="A30" s="485" t="s">
        <v>569</v>
      </c>
      <c r="B30" s="481" t="s">
        <v>570</v>
      </c>
      <c r="C30" s="1267">
        <f>91836-163</f>
        <v>91673</v>
      </c>
      <c r="D30" s="1267">
        <v>96166</v>
      </c>
      <c r="E30" s="1268">
        <v>95000</v>
      </c>
    </row>
    <row r="31" spans="1:5" s="1" customFormat="1" ht="12" customHeight="1">
      <c r="A31" s="485" t="s">
        <v>571</v>
      </c>
      <c r="B31" s="481" t="s">
        <v>572</v>
      </c>
      <c r="C31" s="1267">
        <v>1331836</v>
      </c>
      <c r="D31" s="1267">
        <v>1509405</v>
      </c>
      <c r="E31" s="1268">
        <v>1400000</v>
      </c>
    </row>
    <row r="32" spans="1:5" s="1" customFormat="1" ht="12" customHeight="1">
      <c r="A32" s="485" t="s">
        <v>573</v>
      </c>
      <c r="B32" s="481" t="s">
        <v>574</v>
      </c>
      <c r="C32" s="1267">
        <f>290572+5433</f>
        <v>296005</v>
      </c>
      <c r="D32" s="1267">
        <v>289015</v>
      </c>
      <c r="E32" s="1268">
        <v>292000</v>
      </c>
    </row>
    <row r="33" spans="1:5" s="1" customFormat="1" ht="12" customHeight="1" thickBot="1">
      <c r="A33" s="483" t="s">
        <v>272</v>
      </c>
      <c r="B33" s="441" t="s">
        <v>273</v>
      </c>
      <c r="C33" s="1273">
        <f>2+22085+2221+461</f>
        <v>24769</v>
      </c>
      <c r="D33" s="1273">
        <v>31974</v>
      </c>
      <c r="E33" s="1274">
        <v>26700</v>
      </c>
    </row>
    <row r="34" spans="1:5" s="1" customFormat="1" ht="12" customHeight="1" thickBot="1">
      <c r="A34" s="1257" t="s">
        <v>21</v>
      </c>
      <c r="B34" s="1258" t="s">
        <v>435</v>
      </c>
      <c r="C34" s="1259">
        <f>SUM(C35:C45)</f>
        <v>1509773</v>
      </c>
      <c r="D34" s="1259">
        <f>SUM(D35:D45)</f>
        <v>1148581</v>
      </c>
      <c r="E34" s="1260">
        <f>SUM(E35:E45)</f>
        <v>1407980</v>
      </c>
    </row>
    <row r="35" spans="1:5" s="1" customFormat="1" ht="12" customHeight="1">
      <c r="A35" s="1261" t="s">
        <v>87</v>
      </c>
      <c r="B35" s="1262" t="s">
        <v>276</v>
      </c>
      <c r="C35" s="1263">
        <v>130</v>
      </c>
      <c r="D35" s="1263">
        <v>6287</v>
      </c>
      <c r="E35" s="1264">
        <v>6500</v>
      </c>
    </row>
    <row r="36" spans="1:5" s="1" customFormat="1" ht="12" customHeight="1">
      <c r="A36" s="1265" t="s">
        <v>88</v>
      </c>
      <c r="B36" s="1266" t="s">
        <v>277</v>
      </c>
      <c r="C36" s="1267">
        <f>219122-42524</f>
        <v>176598</v>
      </c>
      <c r="D36" s="1267">
        <v>171434</v>
      </c>
      <c r="E36" s="1268">
        <v>167740</v>
      </c>
    </row>
    <row r="37" spans="1:5" s="1" customFormat="1" ht="12" customHeight="1">
      <c r="A37" s="1265" t="s">
        <v>89</v>
      </c>
      <c r="B37" s="1266" t="s">
        <v>278</v>
      </c>
      <c r="C37" s="1267">
        <v>42524</v>
      </c>
      <c r="D37" s="1267">
        <v>54765</v>
      </c>
      <c r="E37" s="1268">
        <v>65900</v>
      </c>
    </row>
    <row r="38" spans="1:5" s="1" customFormat="1" ht="12" customHeight="1">
      <c r="A38" s="1265" t="s">
        <v>172</v>
      </c>
      <c r="B38" s="1266" t="s">
        <v>279</v>
      </c>
      <c r="C38" s="1267">
        <f>656729+4896+63427-250</f>
        <v>724802</v>
      </c>
      <c r="D38" s="1267">
        <v>263834</v>
      </c>
      <c r="E38" s="1268">
        <v>421151</v>
      </c>
    </row>
    <row r="39" spans="1:5" s="1" customFormat="1" ht="12" customHeight="1">
      <c r="A39" s="1265" t="s">
        <v>173</v>
      </c>
      <c r="B39" s="1266" t="s">
        <v>280</v>
      </c>
      <c r="C39" s="1267">
        <v>143483</v>
      </c>
      <c r="D39" s="1267">
        <v>207874</v>
      </c>
      <c r="E39" s="1268">
        <v>208644</v>
      </c>
    </row>
    <row r="40" spans="1:5" s="1" customFormat="1" ht="12" customHeight="1">
      <c r="A40" s="1265" t="s">
        <v>174</v>
      </c>
      <c r="B40" s="1266" t="s">
        <v>281</v>
      </c>
      <c r="C40" s="1267">
        <v>410928</v>
      </c>
      <c r="D40" s="1267">
        <v>230746</v>
      </c>
      <c r="E40" s="1268">
        <v>339863</v>
      </c>
    </row>
    <row r="41" spans="1:5" s="1" customFormat="1" ht="12" customHeight="1">
      <c r="A41" s="1265" t="s">
        <v>175</v>
      </c>
      <c r="B41" s="1266" t="s">
        <v>282</v>
      </c>
      <c r="C41" s="1267"/>
      <c r="D41" s="1267">
        <v>194598</v>
      </c>
      <c r="E41" s="1268">
        <v>185966</v>
      </c>
    </row>
    <row r="42" spans="1:5" s="1" customFormat="1" ht="12" customHeight="1">
      <c r="A42" s="1265" t="s">
        <v>176</v>
      </c>
      <c r="B42" s="1266" t="s">
        <v>283</v>
      </c>
      <c r="C42" s="1267">
        <v>11308</v>
      </c>
      <c r="D42" s="1267">
        <v>2803</v>
      </c>
      <c r="E42" s="1268">
        <v>2280</v>
      </c>
    </row>
    <row r="43" spans="1:5" s="1" customFormat="1" ht="12" customHeight="1">
      <c r="A43" s="1265" t="s">
        <v>274</v>
      </c>
      <c r="B43" s="1266" t="s">
        <v>284</v>
      </c>
      <c r="C43" s="1280"/>
      <c r="D43" s="1280"/>
      <c r="E43" s="1281"/>
    </row>
    <row r="44" spans="1:5" s="1" customFormat="1" ht="12" customHeight="1">
      <c r="A44" s="1270" t="s">
        <v>275</v>
      </c>
      <c r="B44" s="1275" t="s">
        <v>437</v>
      </c>
      <c r="C44" s="1282"/>
      <c r="D44" s="1282"/>
      <c r="E44" s="1283">
        <v>4000</v>
      </c>
    </row>
    <row r="45" spans="1:5" s="1" customFormat="1" ht="12" customHeight="1" thickBot="1">
      <c r="A45" s="1270" t="s">
        <v>436</v>
      </c>
      <c r="B45" s="1271" t="s">
        <v>285</v>
      </c>
      <c r="C45" s="1282"/>
      <c r="D45" s="1282">
        <v>16240</v>
      </c>
      <c r="E45" s="1283">
        <v>5936</v>
      </c>
    </row>
    <row r="46" spans="1:5" s="1" customFormat="1" ht="12" customHeight="1" thickBot="1">
      <c r="A46" s="1257" t="s">
        <v>22</v>
      </c>
      <c r="B46" s="1258" t="s">
        <v>286</v>
      </c>
      <c r="C46" s="1259">
        <f>SUM(C47:C51)</f>
        <v>18850</v>
      </c>
      <c r="D46" s="1259">
        <f>SUM(D47:D51)</f>
        <v>330209</v>
      </c>
      <c r="E46" s="1260">
        <f>SUM(E47:E51)</f>
        <v>500000</v>
      </c>
    </row>
    <row r="47" spans="1:5" s="1" customFormat="1" ht="12" customHeight="1">
      <c r="A47" s="1261" t="s">
        <v>90</v>
      </c>
      <c r="B47" s="1262" t="s">
        <v>290</v>
      </c>
      <c r="C47" s="1284"/>
      <c r="D47" s="1284"/>
      <c r="E47" s="1285"/>
    </row>
    <row r="48" spans="1:5" s="1" customFormat="1" ht="12" customHeight="1">
      <c r="A48" s="1265" t="s">
        <v>91</v>
      </c>
      <c r="B48" s="1266" t="s">
        <v>291</v>
      </c>
      <c r="C48" s="1280">
        <v>18600</v>
      </c>
      <c r="D48" s="1280">
        <v>330206</v>
      </c>
      <c r="E48" s="1281">
        <v>500000</v>
      </c>
    </row>
    <row r="49" spans="1:5" s="1" customFormat="1" ht="12" customHeight="1">
      <c r="A49" s="1265" t="s">
        <v>287</v>
      </c>
      <c r="B49" s="1266" t="s">
        <v>292</v>
      </c>
      <c r="C49" s="1280"/>
      <c r="D49" s="1280"/>
      <c r="E49" s="1281"/>
    </row>
    <row r="50" spans="1:5" s="1" customFormat="1" ht="12" customHeight="1">
      <c r="A50" s="1265" t="s">
        <v>288</v>
      </c>
      <c r="B50" s="1266" t="s">
        <v>293</v>
      </c>
      <c r="C50" s="1280">
        <v>250</v>
      </c>
      <c r="D50" s="1280">
        <v>3</v>
      </c>
      <c r="E50" s="1281"/>
    </row>
    <row r="51" spans="1:5" s="1" customFormat="1" ht="12" customHeight="1" thickBot="1">
      <c r="A51" s="1270" t="s">
        <v>289</v>
      </c>
      <c r="B51" s="1271" t="s">
        <v>294</v>
      </c>
      <c r="C51" s="1282"/>
      <c r="D51" s="1282"/>
      <c r="E51" s="1283"/>
    </row>
    <row r="52" spans="1:5" s="1" customFormat="1" ht="12" customHeight="1" thickBot="1">
      <c r="A52" s="1257" t="s">
        <v>177</v>
      </c>
      <c r="B52" s="1258" t="s">
        <v>295</v>
      </c>
      <c r="C52" s="1259">
        <f>SUM(C53:C55)</f>
        <v>18594</v>
      </c>
      <c r="D52" s="1259">
        <f>SUM(D53:D55)</f>
        <v>10334</v>
      </c>
      <c r="E52" s="1260">
        <f>SUM(E53:E55)</f>
        <v>144830</v>
      </c>
    </row>
    <row r="53" spans="1:5" s="1" customFormat="1" ht="12" customHeight="1">
      <c r="A53" s="1261" t="s">
        <v>92</v>
      </c>
      <c r="B53" s="1262" t="s">
        <v>296</v>
      </c>
      <c r="C53" s="1263"/>
      <c r="D53" s="1263"/>
      <c r="E53" s="1264">
        <v>94830</v>
      </c>
    </row>
    <row r="54" spans="1:5" s="1" customFormat="1" ht="12" customHeight="1">
      <c r="A54" s="1265" t="s">
        <v>93</v>
      </c>
      <c r="B54" s="1266" t="s">
        <v>428</v>
      </c>
      <c r="C54" s="1267"/>
      <c r="D54" s="1280">
        <v>10000</v>
      </c>
      <c r="E54" s="1268">
        <v>50000</v>
      </c>
    </row>
    <row r="55" spans="1:5" s="1" customFormat="1" ht="12" customHeight="1">
      <c r="A55" s="1265" t="s">
        <v>299</v>
      </c>
      <c r="B55" s="1266" t="s">
        <v>297</v>
      </c>
      <c r="C55" s="1267">
        <v>18594</v>
      </c>
      <c r="D55" s="1280">
        <v>334</v>
      </c>
      <c r="E55" s="1268"/>
    </row>
    <row r="56" spans="1:5" s="1" customFormat="1" ht="12" customHeight="1" thickBot="1">
      <c r="A56" s="1270" t="s">
        <v>300</v>
      </c>
      <c r="B56" s="1271" t="s">
        <v>298</v>
      </c>
      <c r="C56" s="1273"/>
      <c r="D56" s="1273"/>
      <c r="E56" s="1274"/>
    </row>
    <row r="57" spans="1:5" s="1" customFormat="1" ht="12" customHeight="1" thickBot="1">
      <c r="A57" s="1257" t="s">
        <v>24</v>
      </c>
      <c r="B57" s="1272" t="s">
        <v>301</v>
      </c>
      <c r="C57" s="1259">
        <f>SUM(C58:C60)</f>
        <v>6907</v>
      </c>
      <c r="D57" s="1259">
        <f>SUM(D58:D60)</f>
        <v>20456</v>
      </c>
      <c r="E57" s="1260">
        <f>SUM(E58:E60)</f>
        <v>126622</v>
      </c>
    </row>
    <row r="58" spans="1:5" s="1" customFormat="1" ht="12" customHeight="1">
      <c r="A58" s="1261" t="s">
        <v>178</v>
      </c>
      <c r="B58" s="1262" t="s">
        <v>303</v>
      </c>
      <c r="C58" s="1280"/>
      <c r="D58" s="1280"/>
      <c r="E58" s="1281"/>
    </row>
    <row r="59" spans="1:5" s="1" customFormat="1" ht="12" customHeight="1">
      <c r="A59" s="1265" t="s">
        <v>179</v>
      </c>
      <c r="B59" s="1266" t="s">
        <v>429</v>
      </c>
      <c r="C59" s="1280">
        <v>5463</v>
      </c>
      <c r="D59" s="1280">
        <v>20366</v>
      </c>
      <c r="E59" s="1281">
        <v>126522</v>
      </c>
    </row>
    <row r="60" spans="1:5" s="1" customFormat="1" ht="12" customHeight="1">
      <c r="A60" s="1265" t="s">
        <v>230</v>
      </c>
      <c r="B60" s="1266" t="s">
        <v>304</v>
      </c>
      <c r="C60" s="1280">
        <v>1444</v>
      </c>
      <c r="D60" s="1280">
        <v>90</v>
      </c>
      <c r="E60" s="1281">
        <v>100</v>
      </c>
    </row>
    <row r="61" spans="1:5" s="1" customFormat="1" ht="12" customHeight="1" thickBot="1">
      <c r="A61" s="1270" t="s">
        <v>302</v>
      </c>
      <c r="B61" s="1271" t="s">
        <v>305</v>
      </c>
      <c r="C61" s="1280"/>
      <c r="D61" s="1280"/>
      <c r="E61" s="1281"/>
    </row>
    <row r="62" spans="1:5" s="1" customFormat="1" ht="12" customHeight="1" thickBot="1">
      <c r="A62" s="1286" t="s">
        <v>476</v>
      </c>
      <c r="B62" s="1258" t="s">
        <v>306</v>
      </c>
      <c r="C62" s="1276">
        <f>+C5+C12+C19+C26+C34+C46+C52+C57</f>
        <v>6987436</v>
      </c>
      <c r="D62" s="1276">
        <f>+D5+D12+D19+D26+D34+D46+D52+D57</f>
        <v>7557676</v>
      </c>
      <c r="E62" s="1277">
        <f>+E5+E12+E19+E26+E34+E46+E52+E57</f>
        <v>8709905</v>
      </c>
    </row>
    <row r="63" spans="1:5" s="1" customFormat="1" ht="12" customHeight="1" thickBot="1">
      <c r="A63" s="1287" t="s">
        <v>307</v>
      </c>
      <c r="B63" s="1272" t="s">
        <v>539</v>
      </c>
      <c r="C63" s="1259">
        <f>SUM(C64:C66)</f>
        <v>600000</v>
      </c>
      <c r="D63" s="1259">
        <f>SUM(D64:D66)</f>
        <v>362864</v>
      </c>
      <c r="E63" s="1260">
        <f>SUM(E64:E66)</f>
        <v>0</v>
      </c>
    </row>
    <row r="64" spans="1:5" s="1" customFormat="1" ht="12" customHeight="1">
      <c r="A64" s="1261" t="s">
        <v>339</v>
      </c>
      <c r="B64" s="1262" t="s">
        <v>309</v>
      </c>
      <c r="C64" s="1280"/>
      <c r="D64" s="1280"/>
      <c r="E64" s="1281"/>
    </row>
    <row r="65" spans="1:5" s="1" customFormat="1" ht="12" customHeight="1">
      <c r="A65" s="1265" t="s">
        <v>348</v>
      </c>
      <c r="B65" s="1266" t="s">
        <v>310</v>
      </c>
      <c r="C65" s="1280"/>
      <c r="D65" s="1280"/>
      <c r="E65" s="1281"/>
    </row>
    <row r="66" spans="1:5" s="1" customFormat="1" ht="12" customHeight="1" thickBot="1">
      <c r="A66" s="1270" t="s">
        <v>349</v>
      </c>
      <c r="B66" s="382" t="s">
        <v>461</v>
      </c>
      <c r="C66" s="1280">
        <v>600000</v>
      </c>
      <c r="D66" s="1280">
        <v>362864</v>
      </c>
      <c r="E66" s="1281"/>
    </row>
    <row r="67" spans="1:5" s="1" customFormat="1" ht="12" customHeight="1" thickBot="1">
      <c r="A67" s="1287" t="s">
        <v>312</v>
      </c>
      <c r="B67" s="1272" t="s">
        <v>313</v>
      </c>
      <c r="C67" s="1259">
        <f>SUM(C68:C71)</f>
        <v>0</v>
      </c>
      <c r="D67" s="1259">
        <f>SUM(D68:D71)</f>
        <v>0</v>
      </c>
      <c r="E67" s="1260">
        <f>SUM(E68:E71)</f>
        <v>0</v>
      </c>
    </row>
    <row r="68" spans="1:5" s="1" customFormat="1" ht="12" customHeight="1">
      <c r="A68" s="1261" t="s">
        <v>146</v>
      </c>
      <c r="B68" s="1262" t="s">
        <v>314</v>
      </c>
      <c r="C68" s="1280"/>
      <c r="D68" s="1280"/>
      <c r="E68" s="1281"/>
    </row>
    <row r="69" spans="1:7" s="1" customFormat="1" ht="15.75">
      <c r="A69" s="1265" t="s">
        <v>147</v>
      </c>
      <c r="B69" s="1266" t="s">
        <v>315</v>
      </c>
      <c r="C69" s="1280"/>
      <c r="D69" s="1280"/>
      <c r="E69" s="1281"/>
      <c r="G69" s="29"/>
    </row>
    <row r="70" spans="1:5" s="1" customFormat="1" ht="12" customHeight="1">
      <c r="A70" s="1265" t="s">
        <v>340</v>
      </c>
      <c r="B70" s="1266" t="s">
        <v>316</v>
      </c>
      <c r="C70" s="1280"/>
      <c r="D70" s="1280"/>
      <c r="E70" s="1281"/>
    </row>
    <row r="71" spans="1:5" s="1" customFormat="1" ht="12" customHeight="1" thickBot="1">
      <c r="A71" s="1270" t="s">
        <v>341</v>
      </c>
      <c r="B71" s="1271" t="s">
        <v>317</v>
      </c>
      <c r="C71" s="1280"/>
      <c r="D71" s="1280"/>
      <c r="E71" s="1281"/>
    </row>
    <row r="72" spans="1:5" s="1" customFormat="1" ht="12" customHeight="1" thickBot="1">
      <c r="A72" s="1287" t="s">
        <v>318</v>
      </c>
      <c r="B72" s="1272" t="s">
        <v>319</v>
      </c>
      <c r="C72" s="1259">
        <f>SUM(C73:C74)</f>
        <v>39707</v>
      </c>
      <c r="D72" s="1259">
        <f>SUM(D73:D74)</f>
        <v>416905</v>
      </c>
      <c r="E72" s="1260">
        <f>SUM(E73:E74)</f>
        <v>152014</v>
      </c>
    </row>
    <row r="73" spans="1:5" s="1" customFormat="1" ht="12" customHeight="1">
      <c r="A73" s="1261" t="s">
        <v>342</v>
      </c>
      <c r="B73" s="1262" t="s">
        <v>320</v>
      </c>
      <c r="C73" s="1280">
        <v>39707</v>
      </c>
      <c r="D73" s="1280">
        <v>416905</v>
      </c>
      <c r="E73" s="1281">
        <v>152014</v>
      </c>
    </row>
    <row r="74" spans="1:5" s="1" customFormat="1" ht="12" customHeight="1" thickBot="1">
      <c r="A74" s="1270" t="s">
        <v>343</v>
      </c>
      <c r="B74" s="1271" t="s">
        <v>321</v>
      </c>
      <c r="C74" s="1280"/>
      <c r="D74" s="1280"/>
      <c r="E74" s="1281"/>
    </row>
    <row r="75" spans="1:5" s="1" customFormat="1" ht="12" customHeight="1" thickBot="1">
      <c r="A75" s="1287" t="s">
        <v>322</v>
      </c>
      <c r="B75" s="1272" t="s">
        <v>323</v>
      </c>
      <c r="C75" s="1259">
        <f>SUM(C76:C78)</f>
        <v>0</v>
      </c>
      <c r="D75" s="1259">
        <f>SUM(D76:D78)</f>
        <v>603557</v>
      </c>
      <c r="E75" s="1260">
        <f>SUM(E76:E78)</f>
        <v>0</v>
      </c>
    </row>
    <row r="76" spans="1:5" s="1" customFormat="1" ht="12" customHeight="1">
      <c r="A76" s="1261" t="s">
        <v>344</v>
      </c>
      <c r="B76" s="1262" t="s">
        <v>324</v>
      </c>
      <c r="C76" s="1280"/>
      <c r="D76" s="1280">
        <v>53557</v>
      </c>
      <c r="E76" s="1281"/>
    </row>
    <row r="77" spans="1:5" s="1" customFormat="1" ht="12" customHeight="1">
      <c r="A77" s="1265" t="s">
        <v>345</v>
      </c>
      <c r="B77" s="1266" t="s">
        <v>325</v>
      </c>
      <c r="C77" s="1280"/>
      <c r="D77" s="1280"/>
      <c r="E77" s="1281"/>
    </row>
    <row r="78" spans="1:5" s="1" customFormat="1" ht="12" customHeight="1" thickBot="1">
      <c r="A78" s="1270" t="s">
        <v>346</v>
      </c>
      <c r="B78" s="1271" t="s">
        <v>326</v>
      </c>
      <c r="C78" s="1280"/>
      <c r="D78" s="1280">
        <v>550000</v>
      </c>
      <c r="E78" s="1281"/>
    </row>
    <row r="79" spans="1:5" s="1" customFormat="1" ht="12" customHeight="1" thickBot="1">
      <c r="A79" s="1287" t="s">
        <v>327</v>
      </c>
      <c r="B79" s="1272" t="s">
        <v>347</v>
      </c>
      <c r="C79" s="1259">
        <f>SUM(C80:C83)</f>
        <v>0</v>
      </c>
      <c r="D79" s="1259">
        <f>SUM(D80:D83)</f>
        <v>0</v>
      </c>
      <c r="E79" s="1260">
        <f>SUM(E80:E83)</f>
        <v>0</v>
      </c>
    </row>
    <row r="80" spans="1:5" s="1" customFormat="1" ht="12" customHeight="1">
      <c r="A80" s="1288" t="s">
        <v>328</v>
      </c>
      <c r="B80" s="1262" t="s">
        <v>329</v>
      </c>
      <c r="C80" s="1280"/>
      <c r="D80" s="1280"/>
      <c r="E80" s="1281"/>
    </row>
    <row r="81" spans="1:5" s="1" customFormat="1" ht="12" customHeight="1">
      <c r="A81" s="1289" t="s">
        <v>330</v>
      </c>
      <c r="B81" s="1266" t="s">
        <v>331</v>
      </c>
      <c r="C81" s="1280"/>
      <c r="D81" s="1280"/>
      <c r="E81" s="1281"/>
    </row>
    <row r="82" spans="1:5" s="1" customFormat="1" ht="12" customHeight="1">
      <c r="A82" s="1289" t="s">
        <v>332</v>
      </c>
      <c r="B82" s="1266" t="s">
        <v>333</v>
      </c>
      <c r="C82" s="1280"/>
      <c r="D82" s="1280"/>
      <c r="E82" s="1281"/>
    </row>
    <row r="83" spans="1:5" s="1" customFormat="1" ht="12" customHeight="1" thickBot="1">
      <c r="A83" s="1290" t="s">
        <v>334</v>
      </c>
      <c r="B83" s="1271" t="s">
        <v>335</v>
      </c>
      <c r="C83" s="1280"/>
      <c r="D83" s="1280"/>
      <c r="E83" s="1281"/>
    </row>
    <row r="84" spans="1:5" s="1" customFormat="1" ht="12" customHeight="1" thickBot="1">
      <c r="A84" s="1287" t="s">
        <v>336</v>
      </c>
      <c r="B84" s="1272" t="s">
        <v>475</v>
      </c>
      <c r="C84" s="1291"/>
      <c r="D84" s="1291"/>
      <c r="E84" s="1292"/>
    </row>
    <row r="85" spans="1:5" s="1" customFormat="1" ht="12" customHeight="1" thickBot="1">
      <c r="A85" s="1287" t="s">
        <v>338</v>
      </c>
      <c r="B85" s="1272" t="s">
        <v>337</v>
      </c>
      <c r="C85" s="1291"/>
      <c r="D85" s="1291"/>
      <c r="E85" s="1292"/>
    </row>
    <row r="86" spans="1:5" s="1" customFormat="1" ht="12" customHeight="1" thickBot="1">
      <c r="A86" s="1287" t="s">
        <v>350</v>
      </c>
      <c r="B86" s="1293" t="s">
        <v>478</v>
      </c>
      <c r="C86" s="1276">
        <f>+C63+C67+C72+C75+C79+C85+C84</f>
        <v>639707</v>
      </c>
      <c r="D86" s="1276">
        <f>+D63+D67+D72+D75+D79+D85+D84</f>
        <v>1383326</v>
      </c>
      <c r="E86" s="1277">
        <f>+E63+E67+E72+E75+E79+E85+E84</f>
        <v>152014</v>
      </c>
    </row>
    <row r="87" spans="1:5" s="1" customFormat="1" ht="12" customHeight="1" thickBot="1">
      <c r="A87" s="1294" t="s">
        <v>477</v>
      </c>
      <c r="B87" s="1295" t="s">
        <v>479</v>
      </c>
      <c r="C87" s="1276">
        <f>+C62+C86</f>
        <v>7627143</v>
      </c>
      <c r="D87" s="1276">
        <f>+D62+D86</f>
        <v>8941002</v>
      </c>
      <c r="E87" s="1277">
        <f>+E62+E86</f>
        <v>8861919</v>
      </c>
    </row>
    <row r="88" spans="1:5" s="1" customFormat="1" ht="12" customHeight="1">
      <c r="A88" s="273"/>
      <c r="B88" s="274"/>
      <c r="C88" s="275"/>
      <c r="D88" s="276"/>
      <c r="E88" s="277"/>
    </row>
    <row r="89" spans="1:5" s="1" customFormat="1" ht="12" customHeight="1">
      <c r="A89" s="1431" t="s">
        <v>46</v>
      </c>
      <c r="B89" s="1431"/>
      <c r="C89" s="1431"/>
      <c r="D89" s="1431"/>
      <c r="E89" s="1431"/>
    </row>
    <row r="90" spans="1:5" s="1" customFormat="1" ht="12" customHeight="1" thickBot="1">
      <c r="A90" s="1585" t="s">
        <v>150</v>
      </c>
      <c r="B90" s="1585"/>
      <c r="C90" s="289"/>
      <c r="D90" s="122"/>
      <c r="E90" s="260" t="s">
        <v>229</v>
      </c>
    </row>
    <row r="91" spans="1:6" s="1" customFormat="1" ht="24" customHeight="1" thickBot="1">
      <c r="A91" s="9" t="s">
        <v>15</v>
      </c>
      <c r="B91" s="10" t="s">
        <v>47</v>
      </c>
      <c r="C91" s="10" t="str">
        <f>+C3</f>
        <v>2013. évi tény</v>
      </c>
      <c r="D91" s="10" t="str">
        <f>+D3</f>
        <v>2014. évi várható</v>
      </c>
      <c r="E91" s="139" t="str">
        <f>+E3</f>
        <v>2015. évi előirányzat</v>
      </c>
      <c r="F91" s="125"/>
    </row>
    <row r="92" spans="1:6" s="1" customFormat="1" ht="12" customHeight="1" thickBot="1">
      <c r="A92" s="22" t="s">
        <v>492</v>
      </c>
      <c r="B92" s="23" t="s">
        <v>493</v>
      </c>
      <c r="C92" s="23" t="s">
        <v>494</v>
      </c>
      <c r="D92" s="23" t="s">
        <v>496</v>
      </c>
      <c r="E92" s="310" t="s">
        <v>495</v>
      </c>
      <c r="F92" s="125"/>
    </row>
    <row r="93" spans="1:6" s="1" customFormat="1" ht="15" customHeight="1" thickBot="1">
      <c r="A93" s="1296" t="s">
        <v>17</v>
      </c>
      <c r="B93" s="393" t="s">
        <v>565</v>
      </c>
      <c r="C93" s="1297">
        <f>C94+C95+C96+C97+C98+C111</f>
        <v>4450834</v>
      </c>
      <c r="D93" s="1297">
        <f>D94+D95+D96+D97+D98+D111</f>
        <v>5760772</v>
      </c>
      <c r="E93" s="1298">
        <f>E94+E95+E96+E97+E98+E111</f>
        <v>5817970</v>
      </c>
      <c r="F93" s="125"/>
    </row>
    <row r="94" spans="1:5" s="1" customFormat="1" ht="12.75" customHeight="1">
      <c r="A94" s="1299" t="s">
        <v>94</v>
      </c>
      <c r="B94" s="394" t="s">
        <v>48</v>
      </c>
      <c r="C94" s="1300">
        <v>1151308</v>
      </c>
      <c r="D94" s="1300">
        <v>1300856</v>
      </c>
      <c r="E94" s="1301">
        <v>1335012</v>
      </c>
    </row>
    <row r="95" spans="1:5" ht="16.5" customHeight="1">
      <c r="A95" s="1265" t="s">
        <v>95</v>
      </c>
      <c r="B95" s="395" t="s">
        <v>180</v>
      </c>
      <c r="C95" s="1267">
        <v>299597</v>
      </c>
      <c r="D95" s="1267">
        <v>364181</v>
      </c>
      <c r="E95" s="1268">
        <v>400454</v>
      </c>
    </row>
    <row r="96" spans="1:5" ht="15.75">
      <c r="A96" s="1265" t="s">
        <v>96</v>
      </c>
      <c r="B96" s="395" t="s">
        <v>137</v>
      </c>
      <c r="C96" s="1273">
        <v>2515905</v>
      </c>
      <c r="D96" s="1273">
        <v>3057828</v>
      </c>
      <c r="E96" s="1274">
        <v>3144683</v>
      </c>
    </row>
    <row r="97" spans="1:5" s="28" customFormat="1" ht="12" customHeight="1">
      <c r="A97" s="1265" t="s">
        <v>97</v>
      </c>
      <c r="B97" s="1302" t="s">
        <v>181</v>
      </c>
      <c r="C97" s="1273">
        <v>4113</v>
      </c>
      <c r="D97" s="1273">
        <v>125871</v>
      </c>
      <c r="E97" s="1274">
        <v>53802</v>
      </c>
    </row>
    <row r="98" spans="1:5" ht="12" customHeight="1">
      <c r="A98" s="1265" t="s">
        <v>108</v>
      </c>
      <c r="B98" s="1303" t="s">
        <v>182</v>
      </c>
      <c r="C98" s="1273">
        <v>479911</v>
      </c>
      <c r="D98" s="1273">
        <v>912036</v>
      </c>
      <c r="E98" s="1274">
        <v>268058</v>
      </c>
    </row>
    <row r="99" spans="1:5" ht="12" customHeight="1">
      <c r="A99" s="1265" t="s">
        <v>98</v>
      </c>
      <c r="B99" s="395" t="s">
        <v>442</v>
      </c>
      <c r="C99" s="1273"/>
      <c r="D99" s="1273"/>
      <c r="E99" s="1274"/>
    </row>
    <row r="100" spans="1:5" ht="12" customHeight="1">
      <c r="A100" s="1265" t="s">
        <v>99</v>
      </c>
      <c r="B100" s="1304" t="s">
        <v>1177</v>
      </c>
      <c r="C100" s="1273">
        <v>141245</v>
      </c>
      <c r="D100" s="1273"/>
      <c r="E100" s="1274"/>
    </row>
    <row r="101" spans="1:5" ht="12" customHeight="1">
      <c r="A101" s="1265" t="s">
        <v>109</v>
      </c>
      <c r="B101" s="1304" t="s">
        <v>440</v>
      </c>
      <c r="C101" s="1273"/>
      <c r="D101" s="1273">
        <v>59807</v>
      </c>
      <c r="E101" s="1274"/>
    </row>
    <row r="102" spans="1:5" ht="12" customHeight="1">
      <c r="A102" s="1265" t="s">
        <v>110</v>
      </c>
      <c r="B102" s="1305" t="s">
        <v>353</v>
      </c>
      <c r="C102" s="1273"/>
      <c r="D102" s="1273"/>
      <c r="E102" s="1274"/>
    </row>
    <row r="103" spans="1:5" ht="12" customHeight="1">
      <c r="A103" s="1265" t="s">
        <v>111</v>
      </c>
      <c r="B103" s="1306" t="s">
        <v>354</v>
      </c>
      <c r="C103" s="1273"/>
      <c r="D103" s="1273"/>
      <c r="E103" s="1274"/>
    </row>
    <row r="104" spans="1:5" ht="12" customHeight="1">
      <c r="A104" s="1265" t="s">
        <v>112</v>
      </c>
      <c r="B104" s="1306" t="s">
        <v>355</v>
      </c>
      <c r="C104" s="1273"/>
      <c r="D104" s="1273">
        <v>200000</v>
      </c>
      <c r="E104" s="1274"/>
    </row>
    <row r="105" spans="1:5" ht="12" customHeight="1">
      <c r="A105" s="1265" t="s">
        <v>114</v>
      </c>
      <c r="B105" s="1305" t="s">
        <v>356</v>
      </c>
      <c r="C105" s="1273">
        <v>45779</v>
      </c>
      <c r="D105" s="1273">
        <v>102221</v>
      </c>
      <c r="E105" s="1274">
        <v>93534</v>
      </c>
    </row>
    <row r="106" spans="1:5" ht="12" customHeight="1">
      <c r="A106" s="1265" t="s">
        <v>183</v>
      </c>
      <c r="B106" s="1305" t="s">
        <v>357</v>
      </c>
      <c r="C106" s="1273">
        <v>94830</v>
      </c>
      <c r="D106" s="1273"/>
      <c r="E106" s="1274"/>
    </row>
    <row r="107" spans="1:5" ht="12" customHeight="1">
      <c r="A107" s="1265" t="s">
        <v>351</v>
      </c>
      <c r="B107" s="1306" t="s">
        <v>358</v>
      </c>
      <c r="C107" s="1273"/>
      <c r="D107" s="1273"/>
      <c r="E107" s="1274">
        <v>50000</v>
      </c>
    </row>
    <row r="108" spans="1:5" ht="12" customHeight="1">
      <c r="A108" s="1307" t="s">
        <v>352</v>
      </c>
      <c r="B108" s="1304" t="s">
        <v>359</v>
      </c>
      <c r="C108" s="1273"/>
      <c r="D108" s="1273"/>
      <c r="E108" s="1274"/>
    </row>
    <row r="109" spans="1:5" ht="12" customHeight="1">
      <c r="A109" s="1265" t="s">
        <v>438</v>
      </c>
      <c r="B109" s="1304" t="s">
        <v>360</v>
      </c>
      <c r="C109" s="1273"/>
      <c r="D109" s="1273"/>
      <c r="E109" s="1274"/>
    </row>
    <row r="110" spans="1:5" ht="12" customHeight="1">
      <c r="A110" s="1270" t="s">
        <v>439</v>
      </c>
      <c r="B110" s="1304" t="s">
        <v>361</v>
      </c>
      <c r="C110" s="1273">
        <v>198057</v>
      </c>
      <c r="D110" s="1273">
        <v>550008</v>
      </c>
      <c r="E110" s="1274">
        <v>124524</v>
      </c>
    </row>
    <row r="111" spans="1:5" ht="12" customHeight="1">
      <c r="A111" s="1265" t="s">
        <v>443</v>
      </c>
      <c r="B111" s="1302" t="s">
        <v>49</v>
      </c>
      <c r="C111" s="1273">
        <f>C113+C112</f>
        <v>0</v>
      </c>
      <c r="D111" s="1273">
        <f>D113+D112</f>
        <v>0</v>
      </c>
      <c r="E111" s="1274">
        <f>E113+E112</f>
        <v>615961</v>
      </c>
    </row>
    <row r="112" spans="1:5" ht="12" customHeight="1">
      <c r="A112" s="1265" t="s">
        <v>444</v>
      </c>
      <c r="B112" s="395" t="s">
        <v>446</v>
      </c>
      <c r="C112" s="1267"/>
      <c r="D112" s="1267"/>
      <c r="E112" s="1268">
        <v>320000</v>
      </c>
    </row>
    <row r="113" spans="1:5" ht="12" customHeight="1" thickBot="1">
      <c r="A113" s="1308" t="s">
        <v>445</v>
      </c>
      <c r="B113" s="1309" t="s">
        <v>447</v>
      </c>
      <c r="C113" s="1310"/>
      <c r="D113" s="1310"/>
      <c r="E113" s="1311">
        <v>295961</v>
      </c>
    </row>
    <row r="114" spans="1:5" ht="12" customHeight="1" thickBot="1">
      <c r="A114" s="1312" t="s">
        <v>18</v>
      </c>
      <c r="B114" s="396" t="s">
        <v>566</v>
      </c>
      <c r="C114" s="1313">
        <f>+C115+C117+C119</f>
        <v>1654031</v>
      </c>
      <c r="D114" s="1313">
        <f>+D115+D117+D119</f>
        <v>1421450</v>
      </c>
      <c r="E114" s="1314">
        <f>+E115+E117+E119</f>
        <v>3043949</v>
      </c>
    </row>
    <row r="115" spans="1:5" ht="12" customHeight="1">
      <c r="A115" s="1261" t="s">
        <v>100</v>
      </c>
      <c r="B115" s="395" t="s">
        <v>228</v>
      </c>
      <c r="C115" s="1263">
        <v>1197134</v>
      </c>
      <c r="D115" s="1263">
        <v>937203</v>
      </c>
      <c r="E115" s="1264">
        <v>2894560</v>
      </c>
    </row>
    <row r="116" spans="1:5" ht="15.75">
      <c r="A116" s="1261" t="s">
        <v>101</v>
      </c>
      <c r="B116" s="1315" t="s">
        <v>365</v>
      </c>
      <c r="C116" s="1263">
        <v>299308</v>
      </c>
      <c r="D116" s="1263"/>
      <c r="E116" s="1264">
        <v>1109742</v>
      </c>
    </row>
    <row r="117" spans="1:5" ht="12" customHeight="1">
      <c r="A117" s="1261" t="s">
        <v>102</v>
      </c>
      <c r="B117" s="1315" t="s">
        <v>184</v>
      </c>
      <c r="C117" s="1267">
        <v>456897</v>
      </c>
      <c r="D117" s="1267">
        <v>8959</v>
      </c>
      <c r="E117" s="1268">
        <v>129830</v>
      </c>
    </row>
    <row r="118" spans="1:5" ht="12" customHeight="1">
      <c r="A118" s="1261" t="s">
        <v>103</v>
      </c>
      <c r="B118" s="1315" t="s">
        <v>366</v>
      </c>
      <c r="C118" s="1267"/>
      <c r="D118" s="1267"/>
      <c r="E118" s="1268"/>
    </row>
    <row r="119" spans="1:5" ht="12" customHeight="1">
      <c r="A119" s="1261" t="s">
        <v>104</v>
      </c>
      <c r="B119" s="1271" t="s">
        <v>231</v>
      </c>
      <c r="C119" s="1267"/>
      <c r="D119" s="1267">
        <v>475288</v>
      </c>
      <c r="E119" s="1268">
        <v>19559</v>
      </c>
    </row>
    <row r="120" spans="1:5" ht="12" customHeight="1">
      <c r="A120" s="1261" t="s">
        <v>113</v>
      </c>
      <c r="B120" s="1269" t="s">
        <v>430</v>
      </c>
      <c r="C120" s="1267"/>
      <c r="D120" s="1267"/>
      <c r="E120" s="1268"/>
    </row>
    <row r="121" spans="1:5" ht="12" customHeight="1">
      <c r="A121" s="1261" t="s">
        <v>115</v>
      </c>
      <c r="B121" s="1316" t="s">
        <v>371</v>
      </c>
      <c r="C121" s="1267"/>
      <c r="D121" s="1267"/>
      <c r="E121" s="1268"/>
    </row>
    <row r="122" spans="1:5" ht="12" customHeight="1">
      <c r="A122" s="1261" t="s">
        <v>185</v>
      </c>
      <c r="B122" s="1306" t="s">
        <v>355</v>
      </c>
      <c r="C122" s="1267"/>
      <c r="D122" s="1267"/>
      <c r="E122" s="1268"/>
    </row>
    <row r="123" spans="1:5" ht="12" customHeight="1">
      <c r="A123" s="1261" t="s">
        <v>186</v>
      </c>
      <c r="B123" s="1306" t="s">
        <v>370</v>
      </c>
      <c r="C123" s="1267"/>
      <c r="D123" s="1267">
        <v>2000</v>
      </c>
      <c r="E123" s="1268"/>
    </row>
    <row r="124" spans="1:5" ht="12" customHeight="1">
      <c r="A124" s="1261" t="s">
        <v>187</v>
      </c>
      <c r="B124" s="1306" t="s">
        <v>369</v>
      </c>
      <c r="C124" s="1267"/>
      <c r="D124" s="1267"/>
      <c r="E124" s="1268"/>
    </row>
    <row r="125" spans="1:5" ht="12" customHeight="1">
      <c r="A125" s="1261" t="s">
        <v>362</v>
      </c>
      <c r="B125" s="1306" t="s">
        <v>358</v>
      </c>
      <c r="C125" s="1267"/>
      <c r="D125" s="1267">
        <v>100000</v>
      </c>
      <c r="E125" s="1268"/>
    </row>
    <row r="126" spans="1:5" ht="12" customHeight="1">
      <c r="A126" s="1261" t="s">
        <v>363</v>
      </c>
      <c r="B126" s="1306" t="s">
        <v>368</v>
      </c>
      <c r="C126" s="1267"/>
      <c r="D126" s="1267"/>
      <c r="E126" s="1268"/>
    </row>
    <row r="127" spans="1:5" ht="12" customHeight="1" thickBot="1">
      <c r="A127" s="1307" t="s">
        <v>364</v>
      </c>
      <c r="B127" s="1306" t="s">
        <v>367</v>
      </c>
      <c r="C127" s="1273"/>
      <c r="D127" s="1273">
        <v>373288</v>
      </c>
      <c r="E127" s="1274"/>
    </row>
    <row r="128" spans="1:5" ht="12" customHeight="1" thickBot="1">
      <c r="A128" s="1257" t="s">
        <v>19</v>
      </c>
      <c r="B128" s="397" t="s">
        <v>448</v>
      </c>
      <c r="C128" s="1259">
        <f>+C93+C114</f>
        <v>6104865</v>
      </c>
      <c r="D128" s="1259">
        <f>+D93+D114</f>
        <v>7182222</v>
      </c>
      <c r="E128" s="1260">
        <f>+E93+E114</f>
        <v>8861919</v>
      </c>
    </row>
    <row r="129" spans="1:5" ht="12" customHeight="1" thickBot="1">
      <c r="A129" s="1257" t="s">
        <v>20</v>
      </c>
      <c r="B129" s="397" t="s">
        <v>449</v>
      </c>
      <c r="C129" s="1259">
        <f>+C130+C131+C132</f>
        <v>1181431</v>
      </c>
      <c r="D129" s="1259">
        <f>+D130+D131+D132</f>
        <v>0</v>
      </c>
      <c r="E129" s="1260">
        <f>+E130+E131+E132</f>
        <v>0</v>
      </c>
    </row>
    <row r="130" spans="1:5" ht="12" customHeight="1">
      <c r="A130" s="1261" t="s">
        <v>269</v>
      </c>
      <c r="B130" s="1315" t="s">
        <v>456</v>
      </c>
      <c r="C130" s="1267">
        <v>547986</v>
      </c>
      <c r="D130" s="1267"/>
      <c r="E130" s="1268"/>
    </row>
    <row r="131" spans="1:5" ht="12" customHeight="1">
      <c r="A131" s="1261" t="s">
        <v>270</v>
      </c>
      <c r="B131" s="1315" t="s">
        <v>457</v>
      </c>
      <c r="C131" s="1267"/>
      <c r="D131" s="1267"/>
      <c r="E131" s="1268"/>
    </row>
    <row r="132" spans="1:5" ht="12" customHeight="1" thickBot="1">
      <c r="A132" s="1307" t="s">
        <v>271</v>
      </c>
      <c r="B132" s="1315" t="s">
        <v>458</v>
      </c>
      <c r="C132" s="1267">
        <v>633445</v>
      </c>
      <c r="D132" s="1267"/>
      <c r="E132" s="1268"/>
    </row>
    <row r="133" spans="1:5" ht="12" customHeight="1" thickBot="1">
      <c r="A133" s="1257" t="s">
        <v>21</v>
      </c>
      <c r="B133" s="397" t="s">
        <v>450</v>
      </c>
      <c r="C133" s="1259">
        <f>SUM(C134:C139)</f>
        <v>0</v>
      </c>
      <c r="D133" s="1259">
        <f>SUM(D134:D139)</f>
        <v>0</v>
      </c>
      <c r="E133" s="1260">
        <f>SUM(E134:E139)</f>
        <v>0</v>
      </c>
    </row>
    <row r="134" spans="1:5" ht="12" customHeight="1">
      <c r="A134" s="1261" t="s">
        <v>87</v>
      </c>
      <c r="B134" s="398" t="s">
        <v>459</v>
      </c>
      <c r="C134" s="1267"/>
      <c r="D134" s="1267"/>
      <c r="E134" s="1268"/>
    </row>
    <row r="135" spans="1:5" ht="12" customHeight="1">
      <c r="A135" s="1261" t="s">
        <v>88</v>
      </c>
      <c r="B135" s="398" t="s">
        <v>451</v>
      </c>
      <c r="C135" s="1267"/>
      <c r="D135" s="1267"/>
      <c r="E135" s="1268"/>
    </row>
    <row r="136" spans="1:5" ht="12" customHeight="1">
      <c r="A136" s="1261" t="s">
        <v>89</v>
      </c>
      <c r="B136" s="398" t="s">
        <v>452</v>
      </c>
      <c r="C136" s="1267"/>
      <c r="D136" s="1267"/>
      <c r="E136" s="1268"/>
    </row>
    <row r="137" spans="1:5" ht="12" customHeight="1">
      <c r="A137" s="1261" t="s">
        <v>172</v>
      </c>
      <c r="B137" s="398" t="s">
        <v>453</v>
      </c>
      <c r="C137" s="1267"/>
      <c r="D137" s="1267"/>
      <c r="E137" s="1268"/>
    </row>
    <row r="138" spans="1:5" ht="12" customHeight="1">
      <c r="A138" s="1261" t="s">
        <v>173</v>
      </c>
      <c r="B138" s="398" t="s">
        <v>454</v>
      </c>
      <c r="C138" s="1267"/>
      <c r="D138" s="1267"/>
      <c r="E138" s="1268"/>
    </row>
    <row r="139" spans="1:5" ht="12" customHeight="1" thickBot="1">
      <c r="A139" s="1307" t="s">
        <v>174</v>
      </c>
      <c r="B139" s="398" t="s">
        <v>455</v>
      </c>
      <c r="C139" s="1267"/>
      <c r="D139" s="1267"/>
      <c r="E139" s="1268"/>
    </row>
    <row r="140" spans="1:5" ht="12" customHeight="1" thickBot="1">
      <c r="A140" s="1257" t="s">
        <v>22</v>
      </c>
      <c r="B140" s="397" t="s">
        <v>463</v>
      </c>
      <c r="C140" s="1276">
        <f>+C141+C142+C143+C144</f>
        <v>0</v>
      </c>
      <c r="D140" s="1276">
        <f>+D141+D142+D143+D144</f>
        <v>550000</v>
      </c>
      <c r="E140" s="1277">
        <f>+E141+E142+E143+E144</f>
        <v>0</v>
      </c>
    </row>
    <row r="141" spans="1:5" ht="12" customHeight="1">
      <c r="A141" s="1261" t="s">
        <v>90</v>
      </c>
      <c r="B141" s="398" t="s">
        <v>372</v>
      </c>
      <c r="C141" s="1267"/>
      <c r="D141" s="1267"/>
      <c r="E141" s="1268"/>
    </row>
    <row r="142" spans="1:5" ht="12" customHeight="1">
      <c r="A142" s="1261" t="s">
        <v>91</v>
      </c>
      <c r="B142" s="398" t="s">
        <v>373</v>
      </c>
      <c r="C142" s="1267"/>
      <c r="D142" s="1267"/>
      <c r="E142" s="1268"/>
    </row>
    <row r="143" spans="1:5" ht="12" customHeight="1">
      <c r="A143" s="1261" t="s">
        <v>287</v>
      </c>
      <c r="B143" s="398" t="s">
        <v>464</v>
      </c>
      <c r="C143" s="1267"/>
      <c r="D143" s="1267">
        <v>550000</v>
      </c>
      <c r="E143" s="1268"/>
    </row>
    <row r="144" spans="1:5" ht="12" customHeight="1" thickBot="1">
      <c r="A144" s="1307" t="s">
        <v>288</v>
      </c>
      <c r="B144" s="399" t="s">
        <v>392</v>
      </c>
      <c r="C144" s="1267"/>
      <c r="D144" s="1267"/>
      <c r="E144" s="1268"/>
    </row>
    <row r="145" spans="1:5" ht="12" customHeight="1" thickBot="1">
      <c r="A145" s="1257" t="s">
        <v>23</v>
      </c>
      <c r="B145" s="397" t="s">
        <v>465</v>
      </c>
      <c r="C145" s="1317">
        <f>SUM(C146:C150)</f>
        <v>0</v>
      </c>
      <c r="D145" s="1317">
        <f>SUM(D146:D150)</f>
        <v>0</v>
      </c>
      <c r="E145" s="1318">
        <f>SUM(E146:E150)</f>
        <v>0</v>
      </c>
    </row>
    <row r="146" spans="1:5" ht="12" customHeight="1">
      <c r="A146" s="1261" t="s">
        <v>92</v>
      </c>
      <c r="B146" s="398" t="s">
        <v>460</v>
      </c>
      <c r="C146" s="1267"/>
      <c r="D146" s="1267"/>
      <c r="E146" s="1268"/>
    </row>
    <row r="147" spans="1:5" ht="12" customHeight="1">
      <c r="A147" s="1261" t="s">
        <v>93</v>
      </c>
      <c r="B147" s="398" t="s">
        <v>467</v>
      </c>
      <c r="C147" s="1267"/>
      <c r="D147" s="1267"/>
      <c r="E147" s="1268"/>
    </row>
    <row r="148" spans="1:5" ht="12" customHeight="1">
      <c r="A148" s="1261" t="s">
        <v>299</v>
      </c>
      <c r="B148" s="398" t="s">
        <v>462</v>
      </c>
      <c r="C148" s="1267"/>
      <c r="D148" s="1267"/>
      <c r="E148" s="1268"/>
    </row>
    <row r="149" spans="1:5" ht="12" customHeight="1">
      <c r="A149" s="1261" t="s">
        <v>300</v>
      </c>
      <c r="B149" s="398" t="s">
        <v>468</v>
      </c>
      <c r="C149" s="1267"/>
      <c r="D149" s="1267"/>
      <c r="E149" s="1268"/>
    </row>
    <row r="150" spans="1:5" ht="12" customHeight="1" thickBot="1">
      <c r="A150" s="1261" t="s">
        <v>466</v>
      </c>
      <c r="B150" s="398" t="s">
        <v>469</v>
      </c>
      <c r="C150" s="1267"/>
      <c r="D150" s="1267"/>
      <c r="E150" s="1268"/>
    </row>
    <row r="151" spans="1:5" ht="12" customHeight="1" thickBot="1">
      <c r="A151" s="1257" t="s">
        <v>24</v>
      </c>
      <c r="B151" s="397" t="s">
        <v>470</v>
      </c>
      <c r="C151" s="1319"/>
      <c r="D151" s="1319"/>
      <c r="E151" s="1320"/>
    </row>
    <row r="152" spans="1:5" ht="12" customHeight="1" thickBot="1">
      <c r="A152" s="1257" t="s">
        <v>25</v>
      </c>
      <c r="B152" s="397" t="s">
        <v>471</v>
      </c>
      <c r="C152" s="1319"/>
      <c r="D152" s="1319"/>
      <c r="E152" s="1320"/>
    </row>
    <row r="153" spans="1:6" ht="15" customHeight="1" thickBot="1">
      <c r="A153" s="1257" t="s">
        <v>26</v>
      </c>
      <c r="B153" s="397" t="s">
        <v>473</v>
      </c>
      <c r="C153" s="1321">
        <f>+C129+C133+C140+C145+C151+C152</f>
        <v>1181431</v>
      </c>
      <c r="D153" s="1321">
        <f>+D129+D133+D140+D145+D151+D152</f>
        <v>550000</v>
      </c>
      <c r="E153" s="1322">
        <f>+E129+E133+E140+E145+E151+E152</f>
        <v>0</v>
      </c>
      <c r="F153" s="108"/>
    </row>
    <row r="154" spans="1:5" s="1" customFormat="1" ht="12.75" customHeight="1" thickBot="1">
      <c r="A154" s="1323" t="s">
        <v>27</v>
      </c>
      <c r="B154" s="1324" t="s">
        <v>472</v>
      </c>
      <c r="C154" s="1321">
        <f>+C128+C153</f>
        <v>7286296</v>
      </c>
      <c r="D154" s="1321">
        <f>+D128+D153</f>
        <v>7732222</v>
      </c>
      <c r="E154" s="1322">
        <f>+E128+E153</f>
        <v>8861919</v>
      </c>
    </row>
    <row r="155" ht="15.75">
      <c r="C155" s="288"/>
    </row>
    <row r="156" ht="15.75">
      <c r="C156" s="288"/>
    </row>
    <row r="157" ht="15.75">
      <c r="C157" s="288"/>
    </row>
    <row r="158" ht="16.5" customHeight="1">
      <c r="C158" s="288"/>
    </row>
    <row r="159" ht="15.75">
      <c r="C159" s="288"/>
    </row>
    <row r="160" ht="15.75">
      <c r="C160" s="288"/>
    </row>
    <row r="161" ht="15.75">
      <c r="C161" s="288"/>
    </row>
    <row r="162" ht="15.75">
      <c r="C162" s="288"/>
    </row>
    <row r="163" ht="15.75">
      <c r="C163" s="288"/>
    </row>
    <row r="164" ht="15.75">
      <c r="C164" s="288"/>
    </row>
    <row r="165" ht="15.75">
      <c r="C165" s="288"/>
    </row>
    <row r="166" ht="15.75">
      <c r="C166" s="288"/>
    </row>
    <row r="167" ht="15.75">
      <c r="C167" s="288"/>
    </row>
  </sheetData>
  <sheetProtection/>
  <mergeCells count="4">
    <mergeCell ref="A1:E1"/>
    <mergeCell ref="A89:E89"/>
    <mergeCell ref="A90:B90"/>
    <mergeCell ref="A2:B2"/>
  </mergeCells>
  <printOptions horizontalCentered="1"/>
  <pageMargins left="0.3937007874015748" right="0.3937007874015748" top="1.4566929133858268" bottom="0.6692913385826772" header="0.7874015748031497" footer="0.5905511811023623"/>
  <pageSetup fitToHeight="2" fitToWidth="3" horizontalDpi="600" verticalDpi="600" orientation="portrait" paperSize="9" scale="80" r:id="rId1"/>
  <headerFooter alignWithMargins="0">
    <oddHeader>&amp;C&amp;"Times New Roman CE,Félkövér"&amp;12&amp;UTájékoztató kimutatások, mérlegek&amp;U
Siófok Város Önkormányzat
2015. ÉVI KÖLTSÉGVETÉSÉNEK MÉRLEGE&amp;R&amp;"Times New Roman CE,Félkövér dőlt"&amp;11 1. számú tájékoztató tábla</oddHeader>
  </headerFooter>
  <rowBreaks count="2" manualBreakCount="2">
    <brk id="62" max="4" man="1"/>
    <brk id="88" max="4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589" t="str">
        <f>+CONCATENATE("K I M U T A T Á S",CHAR(10),"a ",LEFT(ÖSSZEFÜGGÉSEK!A5,4),". évben céljelleggel juttatott támogatásokról")</f>
        <v>K I M U T A T Á S
a 2015. évben céljelleggel juttatott támogatásokról</v>
      </c>
      <c r="B1" s="1589"/>
      <c r="C1" s="1589"/>
      <c r="D1" s="1589"/>
    </row>
    <row r="2" spans="1:4" ht="17.25" customHeight="1">
      <c r="A2" s="279"/>
      <c r="B2" s="279"/>
      <c r="C2" s="279"/>
      <c r="D2" s="279"/>
    </row>
    <row r="3" spans="1:4" ht="13.5" thickBot="1">
      <c r="A3" s="187"/>
      <c r="B3" s="187"/>
      <c r="C3" s="1586" t="s">
        <v>54</v>
      </c>
      <c r="D3" s="1586"/>
    </row>
    <row r="4" spans="1:4" ht="42.75" customHeight="1" thickBot="1">
      <c r="A4" s="282" t="s">
        <v>65</v>
      </c>
      <c r="B4" s="283" t="s">
        <v>121</v>
      </c>
      <c r="C4" s="283" t="s">
        <v>122</v>
      </c>
      <c r="D4" s="284" t="s">
        <v>13</v>
      </c>
    </row>
    <row r="5" spans="1:4" ht="15.75" customHeight="1">
      <c r="A5" s="188" t="s">
        <v>17</v>
      </c>
      <c r="B5" s="17"/>
      <c r="C5" s="17"/>
      <c r="D5" s="18"/>
    </row>
    <row r="6" spans="1:4" ht="15.75" customHeight="1">
      <c r="A6" s="189" t="s">
        <v>18</v>
      </c>
      <c r="B6" s="19"/>
      <c r="C6" s="19"/>
      <c r="D6" s="20"/>
    </row>
    <row r="7" spans="1:4" ht="15.75" customHeight="1">
      <c r="A7" s="189" t="s">
        <v>19</v>
      </c>
      <c r="B7" s="19"/>
      <c r="C7" s="19"/>
      <c r="D7" s="20"/>
    </row>
    <row r="8" spans="1:4" ht="15.75" customHeight="1">
      <c r="A8" s="189" t="s">
        <v>20</v>
      </c>
      <c r="B8" s="19"/>
      <c r="C8" s="19"/>
      <c r="D8" s="20"/>
    </row>
    <row r="9" spans="1:4" ht="15.75" customHeight="1">
      <c r="A9" s="189" t="s">
        <v>21</v>
      </c>
      <c r="B9" s="19"/>
      <c r="C9" s="19"/>
      <c r="D9" s="20"/>
    </row>
    <row r="10" spans="1:4" ht="15.75" customHeight="1">
      <c r="A10" s="189" t="s">
        <v>22</v>
      </c>
      <c r="B10" s="19"/>
      <c r="C10" s="19"/>
      <c r="D10" s="20"/>
    </row>
    <row r="11" spans="1:4" ht="15.75" customHeight="1">
      <c r="A11" s="189" t="s">
        <v>23</v>
      </c>
      <c r="B11" s="19"/>
      <c r="C11" s="19"/>
      <c r="D11" s="20"/>
    </row>
    <row r="12" spans="1:4" ht="15.75" customHeight="1">
      <c r="A12" s="189" t="s">
        <v>24</v>
      </c>
      <c r="B12" s="19"/>
      <c r="C12" s="19"/>
      <c r="D12" s="20"/>
    </row>
    <row r="13" spans="1:4" ht="15.75" customHeight="1">
      <c r="A13" s="189" t="s">
        <v>25</v>
      </c>
      <c r="B13" s="19"/>
      <c r="C13" s="19"/>
      <c r="D13" s="20"/>
    </row>
    <row r="14" spans="1:4" ht="15.75" customHeight="1">
      <c r="A14" s="189" t="s">
        <v>26</v>
      </c>
      <c r="B14" s="19"/>
      <c r="C14" s="19"/>
      <c r="D14" s="20"/>
    </row>
    <row r="15" spans="1:4" ht="15.75" customHeight="1">
      <c r="A15" s="189" t="s">
        <v>27</v>
      </c>
      <c r="B15" s="19"/>
      <c r="C15" s="19"/>
      <c r="D15" s="20"/>
    </row>
    <row r="16" spans="1:4" ht="15.75" customHeight="1">
      <c r="A16" s="189" t="s">
        <v>28</v>
      </c>
      <c r="B16" s="19"/>
      <c r="C16" s="19"/>
      <c r="D16" s="20"/>
    </row>
    <row r="17" spans="1:4" ht="15.75" customHeight="1">
      <c r="A17" s="189" t="s">
        <v>29</v>
      </c>
      <c r="B17" s="19"/>
      <c r="C17" s="19"/>
      <c r="D17" s="20"/>
    </row>
    <row r="18" spans="1:4" ht="15.75" customHeight="1">
      <c r="A18" s="189" t="s">
        <v>30</v>
      </c>
      <c r="B18" s="19"/>
      <c r="C18" s="19"/>
      <c r="D18" s="20"/>
    </row>
    <row r="19" spans="1:4" ht="15.75" customHeight="1">
      <c r="A19" s="189" t="s">
        <v>31</v>
      </c>
      <c r="B19" s="19"/>
      <c r="C19" s="19"/>
      <c r="D19" s="20"/>
    </row>
    <row r="20" spans="1:4" ht="15.75" customHeight="1">
      <c r="A20" s="189" t="s">
        <v>32</v>
      </c>
      <c r="B20" s="19"/>
      <c r="C20" s="19"/>
      <c r="D20" s="20"/>
    </row>
    <row r="21" spans="1:4" ht="15.75" customHeight="1">
      <c r="A21" s="189" t="s">
        <v>33</v>
      </c>
      <c r="B21" s="19"/>
      <c r="C21" s="19"/>
      <c r="D21" s="20"/>
    </row>
    <row r="22" spans="1:4" ht="15.75" customHeight="1">
      <c r="A22" s="189" t="s">
        <v>34</v>
      </c>
      <c r="B22" s="19"/>
      <c r="C22" s="19"/>
      <c r="D22" s="20"/>
    </row>
    <row r="23" spans="1:4" ht="15.75" customHeight="1">
      <c r="A23" s="189" t="s">
        <v>35</v>
      </c>
      <c r="B23" s="19"/>
      <c r="C23" s="19"/>
      <c r="D23" s="20"/>
    </row>
    <row r="24" spans="1:4" ht="15.75" customHeight="1">
      <c r="A24" s="189" t="s">
        <v>36</v>
      </c>
      <c r="B24" s="19"/>
      <c r="C24" s="19"/>
      <c r="D24" s="20"/>
    </row>
    <row r="25" spans="1:4" ht="15.75" customHeight="1">
      <c r="A25" s="189" t="s">
        <v>37</v>
      </c>
      <c r="B25" s="19"/>
      <c r="C25" s="19"/>
      <c r="D25" s="20"/>
    </row>
    <row r="26" spans="1:4" ht="15.75" customHeight="1">
      <c r="A26" s="189" t="s">
        <v>38</v>
      </c>
      <c r="B26" s="19"/>
      <c r="C26" s="19"/>
      <c r="D26" s="20"/>
    </row>
    <row r="27" spans="1:4" ht="15.75" customHeight="1">
      <c r="A27" s="189" t="s">
        <v>39</v>
      </c>
      <c r="B27" s="19"/>
      <c r="C27" s="19"/>
      <c r="D27" s="20"/>
    </row>
    <row r="28" spans="1:4" ht="15.75" customHeight="1">
      <c r="A28" s="189" t="s">
        <v>40</v>
      </c>
      <c r="B28" s="19"/>
      <c r="C28" s="19"/>
      <c r="D28" s="20"/>
    </row>
    <row r="29" spans="1:4" ht="15.75" customHeight="1">
      <c r="A29" s="189" t="s">
        <v>41</v>
      </c>
      <c r="B29" s="19"/>
      <c r="C29" s="19"/>
      <c r="D29" s="20"/>
    </row>
    <row r="30" spans="1:4" ht="15.75" customHeight="1">
      <c r="A30" s="189" t="s">
        <v>42</v>
      </c>
      <c r="B30" s="19"/>
      <c r="C30" s="19"/>
      <c r="D30" s="20"/>
    </row>
    <row r="31" spans="1:4" ht="15.75" customHeight="1">
      <c r="A31" s="189" t="s">
        <v>43</v>
      </c>
      <c r="B31" s="19"/>
      <c r="C31" s="19"/>
      <c r="D31" s="20"/>
    </row>
    <row r="32" spans="1:4" ht="15.75" customHeight="1">
      <c r="A32" s="189" t="s">
        <v>44</v>
      </c>
      <c r="B32" s="19"/>
      <c r="C32" s="19"/>
      <c r="D32" s="20"/>
    </row>
    <row r="33" spans="1:4" ht="15.75" customHeight="1">
      <c r="A33" s="189" t="s">
        <v>45</v>
      </c>
      <c r="B33" s="19"/>
      <c r="C33" s="19"/>
      <c r="D33" s="20"/>
    </row>
    <row r="34" spans="1:4" ht="15.75" customHeight="1">
      <c r="A34" s="189" t="s">
        <v>123</v>
      </c>
      <c r="B34" s="19"/>
      <c r="C34" s="19"/>
      <c r="D34" s="70"/>
    </row>
    <row r="35" spans="1:4" ht="15.75" customHeight="1">
      <c r="A35" s="189" t="s">
        <v>124</v>
      </c>
      <c r="B35" s="19"/>
      <c r="C35" s="19"/>
      <c r="D35" s="70"/>
    </row>
    <row r="36" spans="1:4" ht="15.75" customHeight="1">
      <c r="A36" s="189" t="s">
        <v>125</v>
      </c>
      <c r="B36" s="19"/>
      <c r="C36" s="19"/>
      <c r="D36" s="70"/>
    </row>
    <row r="37" spans="1:4" ht="15.75" customHeight="1" thickBot="1">
      <c r="A37" s="190" t="s">
        <v>126</v>
      </c>
      <c r="B37" s="21"/>
      <c r="C37" s="21"/>
      <c r="D37" s="71"/>
    </row>
    <row r="38" spans="1:4" ht="15.75" customHeight="1" thickBot="1">
      <c r="A38" s="1587" t="s">
        <v>52</v>
      </c>
      <c r="B38" s="1588"/>
      <c r="C38" s="191"/>
      <c r="D38" s="192">
        <f>SUM(D5:D37)</f>
        <v>0</v>
      </c>
    </row>
    <row r="39" ht="12.75">
      <c r="A39" t="s">
        <v>199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37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31" t="s">
        <v>14</v>
      </c>
      <c r="B1" s="1431"/>
      <c r="C1" s="1431"/>
    </row>
    <row r="2" spans="1:3" ht="15.75" customHeight="1" thickBot="1">
      <c r="A2" s="1432" t="s">
        <v>149</v>
      </c>
      <c r="B2" s="1432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1464098</v>
      </c>
    </row>
    <row r="6" spans="1:3" s="438" customFormat="1" ht="14.25" customHeight="1">
      <c r="A6" s="482" t="s">
        <v>94</v>
      </c>
      <c r="B6" s="439" t="s">
        <v>254</v>
      </c>
      <c r="C6" s="440">
        <f>'9.1'!C9</f>
        <v>686433</v>
      </c>
    </row>
    <row r="7" spans="1:3" s="438" customFormat="1" ht="14.25" customHeight="1">
      <c r="A7" s="483" t="s">
        <v>95</v>
      </c>
      <c r="B7" s="441" t="s">
        <v>255</v>
      </c>
      <c r="C7" s="440">
        <f>'9.1'!C10</f>
        <v>387619</v>
      </c>
    </row>
    <row r="8" spans="1:3" s="438" customFormat="1" ht="14.25" customHeight="1">
      <c r="A8" s="483" t="s">
        <v>96</v>
      </c>
      <c r="B8" s="441" t="s">
        <v>256</v>
      </c>
      <c r="C8" s="440">
        <f>'9.1'!C11</f>
        <v>350928</v>
      </c>
    </row>
    <row r="9" spans="1:3" s="438" customFormat="1" ht="14.25" customHeight="1">
      <c r="A9" s="483" t="s">
        <v>97</v>
      </c>
      <c r="B9" s="441" t="s">
        <v>257</v>
      </c>
      <c r="C9" s="440">
        <f>'9.1'!C12</f>
        <v>31937</v>
      </c>
    </row>
    <row r="10" spans="1:3" s="438" customFormat="1" ht="14.25" customHeight="1">
      <c r="A10" s="483" t="s">
        <v>145</v>
      </c>
      <c r="B10" s="441" t="s">
        <v>433</v>
      </c>
      <c r="C10" s="440">
        <f>'9.1'!C13</f>
        <v>7181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'9.1'!C14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242022</v>
      </c>
    </row>
    <row r="13" spans="1:3" s="438" customFormat="1" ht="14.25" customHeight="1">
      <c r="A13" s="482" t="s">
        <v>100</v>
      </c>
      <c r="B13" s="439" t="s">
        <v>259</v>
      </c>
      <c r="C13" s="440">
        <f>'9.1'!C16+'10.1'!C21+'11.1'!C21+'12.1'!C21+'13.1'!C21+'14.1'!C21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'9.1'!C17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'9.1'!C18+'10.1'!C22+'11.1'!C22+'12.1'!C22+'13.1'!C22+'14.1'!C22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'9.1'!C19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'9.1'!C20+'10.1'!C23+'11.1'!C23+'12.1'!C23+'13.1'!C23+'14.1'!C23</f>
        <v>242022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'9.1'!C21+'10.1'!C24+'11.1'!C24+'12.1'!C24+'13.1'!C24+'14.1'!C24</f>
        <v>3937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1885940</v>
      </c>
    </row>
    <row r="20" spans="1:3" s="438" customFormat="1" ht="14.25" customHeight="1">
      <c r="A20" s="482" t="s">
        <v>83</v>
      </c>
      <c r="B20" s="439" t="s">
        <v>264</v>
      </c>
      <c r="C20" s="440">
        <f>'9.1'!C23+'10.1'!C27+'11.1'!C27+'12.1'!C27+'13.1'!C27+'14.1'!C27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'9.1'!C24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'9.1'!C25+'10.1'!C28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'9.1'!C26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'9.1'!C27+'10.1'!C29+'11.1'!C28+'12.1'!C28+'13.1'!C28+'14.1'!C28</f>
        <v>1885940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'9.1'!C28+'10.1'!C30+'11.1'!C29+'12.1'!C29+'13.1'!C29+'14.1'!C29</f>
        <v>1119752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3063200</v>
      </c>
    </row>
    <row r="27" spans="1:3" s="438" customFormat="1" ht="14.25" customHeight="1">
      <c r="A27" s="482" t="s">
        <v>269</v>
      </c>
      <c r="B27" s="439" t="s">
        <v>567</v>
      </c>
      <c r="C27" s="445">
        <f>'9.1'!C30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'9.1'!C31</f>
        <v>1250000</v>
      </c>
    </row>
    <row r="29" spans="1:3" s="438" customFormat="1" ht="14.25" customHeight="1">
      <c r="A29" s="483" t="s">
        <v>271</v>
      </c>
      <c r="B29" s="441" t="s">
        <v>568</v>
      </c>
      <c r="C29" s="445">
        <f>'9.1'!C32</f>
        <v>1787000</v>
      </c>
    </row>
    <row r="30" spans="1:3" s="438" customFormat="1" ht="14.25" customHeight="1">
      <c r="A30" s="485" t="s">
        <v>569</v>
      </c>
      <c r="B30" s="481" t="s">
        <v>570</v>
      </c>
      <c r="C30" s="445">
        <f>'9.1'!C33</f>
        <v>95000</v>
      </c>
    </row>
    <row r="31" spans="1:3" s="438" customFormat="1" ht="14.25" customHeight="1">
      <c r="A31" s="485" t="s">
        <v>571</v>
      </c>
      <c r="B31" s="481" t="s">
        <v>572</v>
      </c>
      <c r="C31" s="445">
        <f>'9.1'!C34</f>
        <v>1400000</v>
      </c>
    </row>
    <row r="32" spans="1:3" s="438" customFormat="1" ht="14.25" customHeight="1">
      <c r="A32" s="485" t="s">
        <v>573</v>
      </c>
      <c r="B32" s="481" t="s">
        <v>574</v>
      </c>
      <c r="C32" s="445">
        <f>'9.1'!C35</f>
        <v>292000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'9.1'!C36+'10.1'!C25+'11.1'!C25+'12.1'!C25+'13.1'!C25+'14.1'!C25</f>
        <v>26200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2274900</v>
      </c>
    </row>
    <row r="35" spans="1:3" s="438" customFormat="1" ht="14.25" customHeight="1">
      <c r="A35" s="482" t="s">
        <v>87</v>
      </c>
      <c r="B35" s="439" t="s">
        <v>276</v>
      </c>
      <c r="C35" s="440">
        <f>'9.1'!C38+'10.1'!C9+'11.1'!C9+'12.1'!C9+'13.1'!C9+'14.1'!C9</f>
        <v>6500</v>
      </c>
    </row>
    <row r="36" spans="1:3" s="438" customFormat="1" ht="14.25" customHeight="1">
      <c r="A36" s="483" t="s">
        <v>88</v>
      </c>
      <c r="B36" s="441" t="s">
        <v>277</v>
      </c>
      <c r="C36" s="440">
        <f>'9.1'!C39+'10.1'!C10+'11.1'!C10+'12.1'!C10+'13.1'!C10+'14.1'!C10</f>
        <v>138687</v>
      </c>
    </row>
    <row r="37" spans="1:3" s="438" customFormat="1" ht="14.25" customHeight="1">
      <c r="A37" s="483" t="s">
        <v>89</v>
      </c>
      <c r="B37" s="441" t="s">
        <v>278</v>
      </c>
      <c r="C37" s="440">
        <f>'9.1'!C40+'10.1'!C11+'11.1'!C11+'12.1'!C11+'13.1'!C11+'14.1'!C11</f>
        <v>65900</v>
      </c>
    </row>
    <row r="38" spans="1:3" s="438" customFormat="1" ht="14.25" customHeight="1">
      <c r="A38" s="483" t="s">
        <v>172</v>
      </c>
      <c r="B38" s="441" t="s">
        <v>279</v>
      </c>
      <c r="C38" s="440">
        <f>'9.1'!C41+'10.1'!C12+'11.1'!C12+'12.1'!C12+'13.1'!C12+'14.1'!C12</f>
        <v>1211080</v>
      </c>
    </row>
    <row r="39" spans="1:3" s="438" customFormat="1" ht="14.25" customHeight="1">
      <c r="A39" s="483" t="s">
        <v>173</v>
      </c>
      <c r="B39" s="441" t="s">
        <v>280</v>
      </c>
      <c r="C39" s="440">
        <f>'9.1'!C42+'10.1'!C13+'11.1'!C13+'12.1'!C13+'13.1'!C13+'14.1'!C13</f>
        <v>108561</v>
      </c>
    </row>
    <row r="40" spans="1:3" s="438" customFormat="1" ht="14.25" customHeight="1">
      <c r="A40" s="483" t="s">
        <v>174</v>
      </c>
      <c r="B40" s="441" t="s">
        <v>281</v>
      </c>
      <c r="C40" s="440">
        <f>'9.1'!C43+'10.1'!C14+'11.1'!C14+'12.1'!C14+'13.1'!C14+'14.1'!C14</f>
        <v>547000</v>
      </c>
    </row>
    <row r="41" spans="1:3" s="438" customFormat="1" ht="14.25" customHeight="1">
      <c r="A41" s="483" t="s">
        <v>175</v>
      </c>
      <c r="B41" s="441" t="s">
        <v>282</v>
      </c>
      <c r="C41" s="440">
        <f>'9.1'!C44+'10.1'!C15+'11.1'!C15+'12.1'!C15+'13.1'!C15+'14.1'!C15</f>
        <v>185506</v>
      </c>
    </row>
    <row r="42" spans="1:3" s="438" customFormat="1" ht="14.25" customHeight="1">
      <c r="A42" s="483" t="s">
        <v>176</v>
      </c>
      <c r="B42" s="441" t="s">
        <v>283</v>
      </c>
      <c r="C42" s="440">
        <f>'9.1'!C45+'10.1'!C16+'11.1'!C16+'12.1'!C16+'13.1'!C16+'14.1'!C16</f>
        <v>2230</v>
      </c>
    </row>
    <row r="43" spans="1:3" s="438" customFormat="1" ht="14.25" customHeight="1">
      <c r="A43" s="483" t="s">
        <v>274</v>
      </c>
      <c r="B43" s="441" t="s">
        <v>284</v>
      </c>
      <c r="C43" s="440">
        <f>'9.1'!C46+'10.1'!C17+'11.1'!C17+'12.1'!C17+'13.1'!C17+'14.1'!C17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'9.1'!C47+'10.1'!C18+'11.1'!C18+'12.1'!C18+'13.1'!C18+'14.1'!C18</f>
        <v>4000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'9.1'!C48+'10.1'!C19+'11.1'!C19+'12.1'!C19+'13.1'!C19+'14.1'!C19</f>
        <v>5436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500000</v>
      </c>
    </row>
    <row r="47" spans="1:3" s="438" customFormat="1" ht="14.25" customHeight="1">
      <c r="A47" s="492" t="s">
        <v>90</v>
      </c>
      <c r="B47" s="497" t="s">
        <v>290</v>
      </c>
      <c r="C47" s="498">
        <f>'9.1'!C50+'10.1'!C32+'11.1'!C31+'12.1'!C31+'13.1'!C31+'14.1'!C31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'9.1'!C51+'10.1'!C33+'11.1'!C32+'12.1'!C32+'13.1'!C32+'14.1'!C32</f>
        <v>500000</v>
      </c>
    </row>
    <row r="49" spans="1:3" s="438" customFormat="1" ht="14.25" customHeight="1">
      <c r="A49" s="483" t="s">
        <v>287</v>
      </c>
      <c r="B49" s="441" t="s">
        <v>292</v>
      </c>
      <c r="C49" s="447">
        <f>'9.1'!C52+'10.1'!C34+'11.1'!C33+'12.1'!C33+'13.1'!C33+'14.1'!C33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194830</v>
      </c>
    </row>
    <row r="53" spans="1:3" s="438" customFormat="1" ht="14.25" customHeight="1">
      <c r="A53" s="482" t="s">
        <v>92</v>
      </c>
      <c r="B53" s="439" t="s">
        <v>296</v>
      </c>
      <c r="C53" s="440">
        <f>'9.1'!C56</f>
        <v>94830</v>
      </c>
    </row>
    <row r="54" spans="1:3" s="438" customFormat="1" ht="14.25" customHeight="1">
      <c r="A54" s="483" t="s">
        <v>93</v>
      </c>
      <c r="B54" s="441" t="s">
        <v>428</v>
      </c>
      <c r="C54" s="440">
        <f>'9.1'!C57</f>
        <v>100000</v>
      </c>
    </row>
    <row r="55" spans="1:3" s="438" customFormat="1" ht="14.25" customHeight="1">
      <c r="A55" s="483" t="s">
        <v>299</v>
      </c>
      <c r="B55" s="441" t="s">
        <v>297</v>
      </c>
      <c r="C55" s="440">
        <f>'9.1'!C58+'10.1'!C35+'11.1'!C34+'12.1'!C34+'13.1'!C34+'14.1'!C34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'9.1'!C59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123822</v>
      </c>
    </row>
    <row r="58" spans="1:3" s="438" customFormat="1" ht="14.25" customHeight="1">
      <c r="A58" s="482" t="s">
        <v>178</v>
      </c>
      <c r="B58" s="439" t="s">
        <v>303</v>
      </c>
      <c r="C58" s="446">
        <f>'9.1'!C61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'9.1'!C62</f>
        <v>123722</v>
      </c>
    </row>
    <row r="60" spans="1:3" s="438" customFormat="1" ht="14.25" customHeight="1">
      <c r="A60" s="483" t="s">
        <v>230</v>
      </c>
      <c r="B60" s="441" t="s">
        <v>304</v>
      </c>
      <c r="C60" s="446">
        <f>'9.1'!C63+'10.1'!C36+'11.1'!C35+'12.1'!C35+'13.1'!C35+'14.1'!C35</f>
        <v>100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'9.1'!C64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9748812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464671</v>
      </c>
    </row>
    <row r="73" spans="1:3" s="438" customFormat="1" ht="14.25" customHeight="1">
      <c r="A73" s="482" t="s">
        <v>342</v>
      </c>
      <c r="B73" s="439" t="s">
        <v>320</v>
      </c>
      <c r="C73" s="446">
        <f>'9.1'!C76+'10.1'!C39+'11.1'!C38+'12.1'!C38+'13.1'!C38+'14.1'!C38</f>
        <v>464671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'9.1'!C77+'10.1'!C40+'11.1'!C39+'12.1'!C39+'13.1'!C39+'14.1'!C39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750000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>
        <f>'9.1'!C81</f>
        <v>750000</v>
      </c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'9.1'!C87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'9.1'!C88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1214671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10963483</v>
      </c>
    </row>
    <row r="88" spans="1:3" s="438" customFormat="1" ht="83.25" customHeight="1">
      <c r="A88" s="4"/>
      <c r="B88" s="5"/>
      <c r="C88" s="451"/>
    </row>
    <row r="89" spans="1:3" ht="16.5" customHeight="1">
      <c r="A89" s="1431" t="s">
        <v>46</v>
      </c>
      <c r="B89" s="1431"/>
      <c r="C89" s="1431"/>
    </row>
    <row r="90" spans="1:3" ht="16.5" customHeight="1" thickBot="1">
      <c r="A90" s="1432" t="s">
        <v>150</v>
      </c>
      <c r="B90" s="1432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5665652</v>
      </c>
    </row>
    <row r="94" spans="1:3" ht="14.25" customHeight="1">
      <c r="A94" s="492" t="s">
        <v>94</v>
      </c>
      <c r="B94" s="453" t="s">
        <v>48</v>
      </c>
      <c r="C94" s="454">
        <f>'9.1'!C94+'10.1'!C47+'11.1'!C46+'12.1'!C46+'13.1'!C46+'14.1'!C46</f>
        <v>1237961</v>
      </c>
    </row>
    <row r="95" spans="1:3" ht="14.25" customHeight="1">
      <c r="A95" s="483" t="s">
        <v>95</v>
      </c>
      <c r="B95" s="455" t="s">
        <v>180</v>
      </c>
      <c r="C95" s="457">
        <f>'9.1'!C95+'10.1'!C48+'11.1'!C47+'12.1'!C47+'13.1'!C47+'14.1'!C47</f>
        <v>362874</v>
      </c>
    </row>
    <row r="96" spans="1:3" ht="14.25" customHeight="1">
      <c r="A96" s="483" t="s">
        <v>96</v>
      </c>
      <c r="B96" s="455" t="s">
        <v>137</v>
      </c>
      <c r="C96" s="457">
        <f>'9.1'!C96+'10.1'!C49+'11.1'!C48+'12.1'!C48+'13.1'!C48+'14.1'!C48</f>
        <v>3235369</v>
      </c>
    </row>
    <row r="97" spans="1:3" ht="14.25" customHeight="1">
      <c r="A97" s="483" t="s">
        <v>97</v>
      </c>
      <c r="B97" s="458" t="s">
        <v>181</v>
      </c>
      <c r="C97" s="457">
        <f>'9.1'!C97+'10.1'!C50+'11.1'!C49+'12.1'!C49+'13.1'!C49+'14.1'!C49</f>
        <v>49075</v>
      </c>
    </row>
    <row r="98" spans="1:3" ht="14.25" customHeight="1">
      <c r="A98" s="483" t="s">
        <v>108</v>
      </c>
      <c r="B98" s="459" t="s">
        <v>182</v>
      </c>
      <c r="C98" s="457">
        <f>'9.1'!C98+'10.1'!C51+'11.1'!C50+'12.1'!C50+'13.1'!C50+'14.1'!C50</f>
        <v>472067</v>
      </c>
    </row>
    <row r="99" spans="1:3" ht="14.25" customHeight="1">
      <c r="A99" s="483" t="s">
        <v>98</v>
      </c>
      <c r="B99" s="455" t="s">
        <v>442</v>
      </c>
      <c r="C99" s="457">
        <f>'9.1'!C99</f>
        <v>0</v>
      </c>
    </row>
    <row r="100" spans="1:3" ht="14.25" customHeight="1">
      <c r="A100" s="483" t="s">
        <v>99</v>
      </c>
      <c r="B100" s="460" t="s">
        <v>441</v>
      </c>
      <c r="C100" s="457">
        <f>'9.1'!C100</f>
        <v>0</v>
      </c>
    </row>
    <row r="101" spans="1:3" ht="14.25" customHeight="1">
      <c r="A101" s="483" t="s">
        <v>109</v>
      </c>
      <c r="B101" s="460" t="s">
        <v>440</v>
      </c>
      <c r="C101" s="457">
        <f>'9.1'!C101</f>
        <v>21181</v>
      </c>
    </row>
    <row r="102" spans="1:3" ht="14.25" customHeight="1">
      <c r="A102" s="483" t="s">
        <v>110</v>
      </c>
      <c r="B102" s="461" t="s">
        <v>353</v>
      </c>
      <c r="C102" s="457">
        <f>'9.1'!C102</f>
        <v>0</v>
      </c>
    </row>
    <row r="103" spans="1:3" ht="14.25" customHeight="1">
      <c r="A103" s="483" t="s">
        <v>111</v>
      </c>
      <c r="B103" s="455" t="s">
        <v>354</v>
      </c>
      <c r="C103" s="457">
        <f>'9.1'!C103</f>
        <v>0</v>
      </c>
    </row>
    <row r="104" spans="1:3" ht="14.25" customHeight="1">
      <c r="A104" s="483" t="s">
        <v>112</v>
      </c>
      <c r="B104" s="455" t="s">
        <v>355</v>
      </c>
      <c r="C104" s="457">
        <f>'9.1'!C104</f>
        <v>0</v>
      </c>
    </row>
    <row r="105" spans="1:3" ht="14.25" customHeight="1">
      <c r="A105" s="483" t="s">
        <v>114</v>
      </c>
      <c r="B105" s="461" t="s">
        <v>356</v>
      </c>
      <c r="C105" s="457">
        <f>'9.1'!C105+'13.1'!C50+'12.1'!C50</f>
        <v>101410</v>
      </c>
    </row>
    <row r="106" spans="1:3" ht="14.25" customHeight="1">
      <c r="A106" s="483" t="s">
        <v>183</v>
      </c>
      <c r="B106" s="461" t="s">
        <v>357</v>
      </c>
      <c r="C106" s="457">
        <f>'9.1'!C106</f>
        <v>0</v>
      </c>
    </row>
    <row r="107" spans="1:3" ht="14.25" customHeight="1">
      <c r="A107" s="483" t="s">
        <v>351</v>
      </c>
      <c r="B107" s="455" t="s">
        <v>358</v>
      </c>
      <c r="C107" s="457">
        <f>'9.1'!C107</f>
        <v>246000</v>
      </c>
    </row>
    <row r="108" spans="1:3" ht="14.25" customHeight="1">
      <c r="A108" s="493" t="s">
        <v>352</v>
      </c>
      <c r="B108" s="460" t="s">
        <v>359</v>
      </c>
      <c r="C108" s="457">
        <f>'9.1'!C108</f>
        <v>0</v>
      </c>
    </row>
    <row r="109" spans="1:3" ht="14.25" customHeight="1">
      <c r="A109" s="483" t="s">
        <v>438</v>
      </c>
      <c r="B109" s="460" t="s">
        <v>360</v>
      </c>
      <c r="C109" s="457">
        <f>'9.1'!C109</f>
        <v>0</v>
      </c>
    </row>
    <row r="110" spans="1:3" ht="14.25" customHeight="1">
      <c r="A110" s="484" t="s">
        <v>439</v>
      </c>
      <c r="B110" s="460" t="s">
        <v>361</v>
      </c>
      <c r="C110" s="457">
        <f>'9.1'!C110+'10.1'!C51</f>
        <v>103476</v>
      </c>
    </row>
    <row r="111" spans="1:3" ht="14.25" customHeight="1">
      <c r="A111" s="483" t="s">
        <v>443</v>
      </c>
      <c r="B111" s="458" t="s">
        <v>49</v>
      </c>
      <c r="C111" s="456">
        <f>'9.1'!C111</f>
        <v>308306</v>
      </c>
    </row>
    <row r="112" spans="1:3" ht="14.25" customHeight="1">
      <c r="A112" s="483" t="s">
        <v>444</v>
      </c>
      <c r="B112" s="455" t="s">
        <v>446</v>
      </c>
      <c r="C112" s="456">
        <f>'9.1'!C112</f>
        <v>72483</v>
      </c>
    </row>
    <row r="113" spans="1:3" ht="14.25" customHeight="1" thickBot="1">
      <c r="A113" s="494" t="s">
        <v>445</v>
      </c>
      <c r="B113" s="462" t="s">
        <v>447</v>
      </c>
      <c r="C113" s="463">
        <f>'9.1'!C113</f>
        <v>235823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4094110</v>
      </c>
    </row>
    <row r="115" spans="1:3" ht="14.25" customHeight="1">
      <c r="A115" s="482" t="s">
        <v>100</v>
      </c>
      <c r="B115" s="455" t="s">
        <v>228</v>
      </c>
      <c r="C115" s="465">
        <f>'9.1'!C115+'10.1'!C53+'11.1'!C52+'12.1'!C52+'13.1'!C52+'14.1'!C52</f>
        <v>2905632</v>
      </c>
    </row>
    <row r="116" spans="1:3" ht="14.25" customHeight="1">
      <c r="A116" s="482" t="s">
        <v>101</v>
      </c>
      <c r="B116" s="460" t="s">
        <v>365</v>
      </c>
      <c r="C116" s="465">
        <f>'9.1'!C116</f>
        <v>1147846</v>
      </c>
    </row>
    <row r="117" spans="1:3" ht="14.25" customHeight="1">
      <c r="A117" s="482" t="s">
        <v>102</v>
      </c>
      <c r="B117" s="460" t="s">
        <v>184</v>
      </c>
      <c r="C117" s="456">
        <f>'9.1'!C117+'10.1'!C54+'11.1'!C53+'12.1'!C53+'13.1'!C53+'14.1'!C53</f>
        <v>132032</v>
      </c>
    </row>
    <row r="118" spans="1:3" ht="14.25" customHeight="1">
      <c r="A118" s="482" t="s">
        <v>103</v>
      </c>
      <c r="B118" s="460" t="s">
        <v>366</v>
      </c>
      <c r="C118" s="466">
        <f>'9.1'!C118</f>
        <v>0</v>
      </c>
    </row>
    <row r="119" spans="1:3" ht="14.25" customHeight="1">
      <c r="A119" s="482" t="s">
        <v>104</v>
      </c>
      <c r="B119" s="442" t="s">
        <v>231</v>
      </c>
      <c r="C119" s="466">
        <f>'9.1'!C119+'10.1'!C55+'11.1'!C54+'12.1'!C54+'13.1'!C54+'14.1'!C54</f>
        <v>1056446</v>
      </c>
    </row>
    <row r="120" spans="1:3" ht="14.25" customHeight="1">
      <c r="A120" s="482" t="s">
        <v>113</v>
      </c>
      <c r="B120" s="441" t="s">
        <v>430</v>
      </c>
      <c r="C120" s="466">
        <f>'9.1'!C120</f>
        <v>0</v>
      </c>
    </row>
    <row r="121" spans="1:3" ht="14.25" customHeight="1">
      <c r="A121" s="482" t="s">
        <v>115</v>
      </c>
      <c r="B121" s="467" t="s">
        <v>371</v>
      </c>
      <c r="C121" s="466">
        <f>'9.1'!C121</f>
        <v>0</v>
      </c>
    </row>
    <row r="122" spans="1:3" ht="14.25" customHeight="1">
      <c r="A122" s="482" t="s">
        <v>185</v>
      </c>
      <c r="B122" s="455" t="s">
        <v>355</v>
      </c>
      <c r="C122" s="466">
        <f>'9.1'!C122</f>
        <v>0</v>
      </c>
    </row>
    <row r="123" spans="1:3" ht="14.25" customHeight="1">
      <c r="A123" s="482" t="s">
        <v>186</v>
      </c>
      <c r="B123" s="455" t="s">
        <v>370</v>
      </c>
      <c r="C123" s="466">
        <f>'9.1'!C123</f>
        <v>794308</v>
      </c>
    </row>
    <row r="124" spans="1:3" ht="14.25" customHeight="1">
      <c r="A124" s="482" t="s">
        <v>187</v>
      </c>
      <c r="B124" s="455" t="s">
        <v>369</v>
      </c>
      <c r="C124" s="466">
        <f>'9.1'!C124</f>
        <v>0</v>
      </c>
    </row>
    <row r="125" spans="1:3" ht="14.25" customHeight="1">
      <c r="A125" s="482" t="s">
        <v>362</v>
      </c>
      <c r="B125" s="455" t="s">
        <v>358</v>
      </c>
      <c r="C125" s="466">
        <f>'9.1'!C125</f>
        <v>0</v>
      </c>
    </row>
    <row r="126" spans="1:3" ht="14.25" customHeight="1">
      <c r="A126" s="482" t="s">
        <v>363</v>
      </c>
      <c r="B126" s="455" t="s">
        <v>368</v>
      </c>
      <c r="C126" s="466">
        <f>'9.1'!C126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'9.1'!C127</f>
        <v>262138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9759762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803557</v>
      </c>
    </row>
    <row r="141" spans="1:3" ht="14.25" customHeight="1">
      <c r="A141" s="482" t="s">
        <v>90</v>
      </c>
      <c r="B141" s="467" t="s">
        <v>372</v>
      </c>
      <c r="C141" s="466">
        <f>'9.1'!C141</f>
        <v>0</v>
      </c>
    </row>
    <row r="142" spans="1:3" ht="14.25" customHeight="1">
      <c r="A142" s="482" t="s">
        <v>91</v>
      </c>
      <c r="B142" s="467" t="s">
        <v>373</v>
      </c>
      <c r="C142" s="466">
        <f>'9.1'!C142</f>
        <v>53557</v>
      </c>
    </row>
    <row r="143" spans="1:3" ht="14.25" customHeight="1">
      <c r="A143" s="482" t="s">
        <v>287</v>
      </c>
      <c r="B143" s="467" t="s">
        <v>464</v>
      </c>
      <c r="C143" s="466">
        <f>'9.1'!C144</f>
        <v>750000</v>
      </c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'9.1'!C152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'9.1'!C153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803557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10563319</v>
      </c>
    </row>
    <row r="155" ht="7.5" customHeight="1"/>
    <row r="156" spans="1:3" ht="15.75">
      <c r="A156" s="1433" t="s">
        <v>374</v>
      </c>
      <c r="B156" s="1433"/>
      <c r="C156" s="1433"/>
    </row>
    <row r="157" spans="1:3" ht="15" customHeight="1" thickBot="1">
      <c r="A157" s="1432" t="s">
        <v>151</v>
      </c>
      <c r="B157" s="1432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-10950</v>
      </c>
      <c r="D158" s="480"/>
    </row>
    <row r="159" spans="1:3" ht="27.75" customHeight="1" thickBot="1">
      <c r="A159" s="384" t="s">
        <v>18</v>
      </c>
      <c r="B159" s="400" t="s">
        <v>1209</v>
      </c>
      <c r="C159" s="470">
        <f>+C86-C153</f>
        <v>411114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KÖTELEZŐ FELADATAINAK MÉRLEGE&amp;10
&amp;R&amp;"Times New Roman CE,Félkövér dőlt"&amp;11 4.1. számú melléklet</oddHeader>
  </headerFooter>
  <rowBreaks count="3" manualBreakCount="3">
    <brk id="51" max="2" man="1"/>
    <brk id="88" max="2" man="1"/>
    <brk id="128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37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31" t="s">
        <v>14</v>
      </c>
      <c r="B1" s="1431"/>
      <c r="C1" s="1431"/>
    </row>
    <row r="2" spans="1:3" ht="15.75" customHeight="1" thickBot="1">
      <c r="A2" s="1432" t="s">
        <v>149</v>
      </c>
      <c r="B2" s="1432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0</v>
      </c>
    </row>
    <row r="6" spans="1:3" s="438" customFormat="1" ht="14.25" customHeight="1">
      <c r="A6" s="482" t="s">
        <v>94</v>
      </c>
      <c r="B6" s="439" t="s">
        <v>254</v>
      </c>
      <c r="C6" s="440">
        <f>'9.2'!C9</f>
        <v>0</v>
      </c>
    </row>
    <row r="7" spans="1:3" s="438" customFormat="1" ht="14.25" customHeight="1">
      <c r="A7" s="483" t="s">
        <v>95</v>
      </c>
      <c r="B7" s="441" t="s">
        <v>255</v>
      </c>
      <c r="C7" s="440">
        <f>'9.2'!C10</f>
        <v>0</v>
      </c>
    </row>
    <row r="8" spans="1:3" s="438" customFormat="1" ht="14.25" customHeight="1">
      <c r="A8" s="483" t="s">
        <v>96</v>
      </c>
      <c r="B8" s="441" t="s">
        <v>256</v>
      </c>
      <c r="C8" s="440">
        <f>'9.2'!C11</f>
        <v>0</v>
      </c>
    </row>
    <row r="9" spans="1:3" s="438" customFormat="1" ht="14.25" customHeight="1">
      <c r="A9" s="483" t="s">
        <v>97</v>
      </c>
      <c r="B9" s="441" t="s">
        <v>257</v>
      </c>
      <c r="C9" s="440">
        <f>'9.2'!C12</f>
        <v>0</v>
      </c>
    </row>
    <row r="10" spans="1:3" s="438" customFormat="1" ht="14.25" customHeight="1">
      <c r="A10" s="483" t="s">
        <v>145</v>
      </c>
      <c r="B10" s="441" t="s">
        <v>433</v>
      </c>
      <c r="C10" s="440">
        <f>'9.2'!C13</f>
        <v>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'9.2'!C14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0</v>
      </c>
    </row>
    <row r="13" spans="1:3" s="438" customFormat="1" ht="14.25" customHeight="1">
      <c r="A13" s="482" t="s">
        <v>100</v>
      </c>
      <c r="B13" s="439" t="s">
        <v>259</v>
      </c>
      <c r="C13" s="440">
        <f>'9.2'!C16+'10.2'!C21+'11.2'!C21+'12.2'!C21+'13.2'!C21+'14.2'!C21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'9.2'!C17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'9.2'!C18+'10.2'!C22+'11.2'!C22+'12.2'!C22+'13.2'!C22+'14.2'!C22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'9.2'!C19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'9.2'!C20+'10.2'!C23+'11.2'!C23+'12.2'!C23+'13.2'!C23+'14.2'!C23</f>
        <v>0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'9.2'!C21+'10.2'!C24+'11.2'!C24+'12.2'!C24+'13.2'!C24+'14.2'!C24</f>
        <v>0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0</v>
      </c>
    </row>
    <row r="20" spans="1:3" s="438" customFormat="1" ht="14.25" customHeight="1">
      <c r="A20" s="482" t="s">
        <v>83</v>
      </c>
      <c r="B20" s="439" t="s">
        <v>264</v>
      </c>
      <c r="C20" s="440">
        <f>'9.2'!C23+'10.2'!C27+'11.2'!C27+'12.2'!C27+'13.2'!C27+'14.2'!C27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'9.2'!C24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'9.2'!C25+'10.2'!C28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'9.2'!C26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'9.2'!C27+'10.2'!C29+'11.2'!C28+'12.2'!C28+'13.2'!C28+'14.2'!C28</f>
        <v>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'9.2'!C28+'10.2'!C30+'11.2'!C29+'12.2'!C29+'13.2'!C29+'14.2'!C29</f>
        <v>0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0</v>
      </c>
    </row>
    <row r="27" spans="1:3" s="438" customFormat="1" ht="14.25" customHeight="1">
      <c r="A27" s="482" t="s">
        <v>269</v>
      </c>
      <c r="B27" s="439" t="s">
        <v>567</v>
      </c>
      <c r="C27" s="445">
        <f>'9.2'!C30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'9.2'!C31</f>
        <v>0</v>
      </c>
    </row>
    <row r="29" spans="1:3" s="438" customFormat="1" ht="14.25" customHeight="1">
      <c r="A29" s="483" t="s">
        <v>271</v>
      </c>
      <c r="B29" s="441" t="s">
        <v>568</v>
      </c>
      <c r="C29" s="445">
        <f>'9.2'!C32</f>
        <v>0</v>
      </c>
    </row>
    <row r="30" spans="1:3" s="438" customFormat="1" ht="14.25" customHeight="1">
      <c r="A30" s="485" t="s">
        <v>569</v>
      </c>
      <c r="B30" s="481" t="s">
        <v>570</v>
      </c>
      <c r="C30" s="445">
        <f>'9.2'!C33</f>
        <v>0</v>
      </c>
    </row>
    <row r="31" spans="1:3" s="438" customFormat="1" ht="14.25" customHeight="1">
      <c r="A31" s="485" t="s">
        <v>571</v>
      </c>
      <c r="B31" s="481" t="s">
        <v>572</v>
      </c>
      <c r="C31" s="445">
        <f>'9.2'!C34</f>
        <v>0</v>
      </c>
    </row>
    <row r="32" spans="1:3" s="438" customFormat="1" ht="14.25" customHeight="1">
      <c r="A32" s="485" t="s">
        <v>573</v>
      </c>
      <c r="B32" s="481" t="s">
        <v>574</v>
      </c>
      <c r="C32" s="445">
        <f>'9.2'!C35</f>
        <v>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'9.2'!C36</f>
        <v>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124553</v>
      </c>
    </row>
    <row r="35" spans="1:3" s="438" customFormat="1" ht="14.25" customHeight="1">
      <c r="A35" s="482" t="s">
        <v>87</v>
      </c>
      <c r="B35" s="439" t="s">
        <v>276</v>
      </c>
      <c r="C35" s="440">
        <f>'9.2'!C38+'10.2'!C9+'11.2'!C9+'12.2'!C9+'13.2'!C9+'14.2'!C9</f>
        <v>0</v>
      </c>
    </row>
    <row r="36" spans="1:3" s="438" customFormat="1" ht="14.25" customHeight="1">
      <c r="A36" s="483" t="s">
        <v>88</v>
      </c>
      <c r="B36" s="441" t="s">
        <v>277</v>
      </c>
      <c r="C36" s="440">
        <f>'9.2'!C39+'10.2'!C10+'11.2'!C10+'12.2'!C10+'13.2'!C10+'14.2'!C10</f>
        <v>19386</v>
      </c>
    </row>
    <row r="37" spans="1:3" s="438" customFormat="1" ht="14.25" customHeight="1">
      <c r="A37" s="483" t="s">
        <v>89</v>
      </c>
      <c r="B37" s="441" t="s">
        <v>278</v>
      </c>
      <c r="C37" s="440">
        <f>'9.2'!C40+'10.2'!C11+'11.2'!C11+'12.2'!C11+'13.2'!C11+'14.2'!C11</f>
        <v>0</v>
      </c>
    </row>
    <row r="38" spans="1:3" s="438" customFormat="1" ht="14.25" customHeight="1">
      <c r="A38" s="483" t="s">
        <v>172</v>
      </c>
      <c r="B38" s="441" t="s">
        <v>279</v>
      </c>
      <c r="C38" s="440">
        <f>'9.2'!C41+'10.2'!C12+'11.2'!C12+'12.2'!C12+'13.2'!C12+'14.2'!C12</f>
        <v>0</v>
      </c>
    </row>
    <row r="39" spans="1:3" s="438" customFormat="1" ht="14.25" customHeight="1">
      <c r="A39" s="483" t="s">
        <v>173</v>
      </c>
      <c r="B39" s="441" t="s">
        <v>280</v>
      </c>
      <c r="C39" s="440">
        <f>'9.2'!C42+'10.2'!C13+'11.2'!C13+'12.2'!C13+'13.2'!C13+'14.2'!C13</f>
        <v>100083</v>
      </c>
    </row>
    <row r="40" spans="1:3" s="438" customFormat="1" ht="14.25" customHeight="1">
      <c r="A40" s="483" t="s">
        <v>174</v>
      </c>
      <c r="B40" s="441" t="s">
        <v>281</v>
      </c>
      <c r="C40" s="440">
        <f>'9.2'!C43+'10.2'!C14+'11.2'!C14+'12.2'!C14+'13.2'!C14+'14.2'!C14</f>
        <v>4074</v>
      </c>
    </row>
    <row r="41" spans="1:3" s="438" customFormat="1" ht="14.25" customHeight="1">
      <c r="A41" s="483" t="s">
        <v>175</v>
      </c>
      <c r="B41" s="441" t="s">
        <v>282</v>
      </c>
      <c r="C41" s="440">
        <f>'9.2'!C44+'10.2'!C15+'11.2'!C15+'12.2'!C15+'13.2'!C15+'14.2'!C15</f>
        <v>460</v>
      </c>
    </row>
    <row r="42" spans="1:3" s="438" customFormat="1" ht="14.25" customHeight="1">
      <c r="A42" s="483" t="s">
        <v>176</v>
      </c>
      <c r="B42" s="441" t="s">
        <v>283</v>
      </c>
      <c r="C42" s="440">
        <f>'9.2'!C45+'10.2'!C16+'11.2'!C16+'12.2'!C16+'13.2'!C16+'14.2'!C16</f>
        <v>50</v>
      </c>
    </row>
    <row r="43" spans="1:3" s="438" customFormat="1" ht="14.25" customHeight="1">
      <c r="A43" s="483" t="s">
        <v>274</v>
      </c>
      <c r="B43" s="441" t="s">
        <v>284</v>
      </c>
      <c r="C43" s="440">
        <f>'9.2'!C46+'10.2'!C17+'11.2'!C17+'12.2'!C17+'13.2'!C17+'14.2'!C17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'9.2'!C47+'10.2'!C18+'11.2'!C18+'12.2'!C18+'13.2'!C18+'14.2'!C18</f>
        <v>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'9.2'!C48+'10.2'!C19+'11.2'!C19+'12.2'!C19+'13.2'!C19+'14.2'!C19</f>
        <v>500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0</v>
      </c>
    </row>
    <row r="47" spans="1:3" s="438" customFormat="1" ht="14.25" customHeight="1">
      <c r="A47" s="492" t="s">
        <v>90</v>
      </c>
      <c r="B47" s="497" t="s">
        <v>290</v>
      </c>
      <c r="C47" s="498">
        <f>'9.2'!C50+'10.2'!C32+'11.2'!C31+'12.2'!C31+'13.2'!C31+'14.2'!C31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'9.2'!C51+'10.2'!C33+'11.2'!C32+'12.2'!C32+'13.2'!C32+'14.2'!C32</f>
        <v>0</v>
      </c>
    </row>
    <row r="49" spans="1:3" s="438" customFormat="1" ht="14.25" customHeight="1">
      <c r="A49" s="483" t="s">
        <v>287</v>
      </c>
      <c r="B49" s="441" t="s">
        <v>292</v>
      </c>
      <c r="C49" s="447">
        <f>'9.2'!C52+'10.2'!C34+'11.2'!C33+'12.2'!C33+'13.2'!C33+'14.2'!C33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0</v>
      </c>
    </row>
    <row r="53" spans="1:3" s="438" customFormat="1" ht="14.25" customHeight="1">
      <c r="A53" s="482" t="s">
        <v>92</v>
      </c>
      <c r="B53" s="439" t="s">
        <v>296</v>
      </c>
      <c r="C53" s="440">
        <f>'9.2'!C56</f>
        <v>0</v>
      </c>
    </row>
    <row r="54" spans="1:3" s="438" customFormat="1" ht="14.25" customHeight="1">
      <c r="A54" s="483" t="s">
        <v>93</v>
      </c>
      <c r="B54" s="441" t="s">
        <v>428</v>
      </c>
      <c r="C54" s="440">
        <f>'9.2'!C57</f>
        <v>0</v>
      </c>
    </row>
    <row r="55" spans="1:3" s="438" customFormat="1" ht="14.25" customHeight="1">
      <c r="A55" s="483" t="s">
        <v>299</v>
      </c>
      <c r="B55" s="441" t="s">
        <v>297</v>
      </c>
      <c r="C55" s="440">
        <f>'9.2'!C58+'10.2'!C35+'11.2'!C34+'12.2'!C34+'13.2'!C34+'14.2'!C34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'9.2'!C59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2800</v>
      </c>
    </row>
    <row r="58" spans="1:3" s="438" customFormat="1" ht="14.25" customHeight="1">
      <c r="A58" s="482" t="s">
        <v>178</v>
      </c>
      <c r="B58" s="439" t="s">
        <v>303</v>
      </c>
      <c r="C58" s="446">
        <f>'9.2'!C61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'9.2'!C62</f>
        <v>2800</v>
      </c>
    </row>
    <row r="60" spans="1:3" s="438" customFormat="1" ht="14.25" customHeight="1">
      <c r="A60" s="483" t="s">
        <v>230</v>
      </c>
      <c r="B60" s="441" t="s">
        <v>304</v>
      </c>
      <c r="C60" s="446">
        <f>'9.2'!C63+'10.2'!C36+'11.2'!C35+'12.2'!C35+'13.2'!C35+'14.2'!C35</f>
        <v>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'9.2'!C64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127353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0</v>
      </c>
    </row>
    <row r="73" spans="1:3" s="438" customFormat="1" ht="14.25" customHeight="1">
      <c r="A73" s="482" t="s">
        <v>342</v>
      </c>
      <c r="B73" s="439" t="s">
        <v>320</v>
      </c>
      <c r="C73" s="446">
        <f>'9.2'!C76+'10.2'!C39+'11.2'!C38+'12.2'!C38+'13.2'!C38+'14.2'!C38</f>
        <v>0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'9.2'!C77+'10.2'!C40+'11.2'!C39+'12.2'!C39+'13.2'!C39+'14.2'!C39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/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'9.2'!C87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'9.2'!C88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0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127353</v>
      </c>
    </row>
    <row r="88" spans="1:3" s="438" customFormat="1" ht="83.25" customHeight="1">
      <c r="A88" s="4"/>
      <c r="B88" s="5"/>
      <c r="C88" s="451"/>
    </row>
    <row r="89" spans="1:3" ht="16.5" customHeight="1">
      <c r="A89" s="1431" t="s">
        <v>46</v>
      </c>
      <c r="B89" s="1431"/>
      <c r="C89" s="1431"/>
    </row>
    <row r="90" spans="1:3" ht="16.5" customHeight="1" thickBot="1">
      <c r="A90" s="1432" t="s">
        <v>150</v>
      </c>
      <c r="B90" s="1432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445283</v>
      </c>
    </row>
    <row r="94" spans="1:3" ht="14.25" customHeight="1">
      <c r="A94" s="492" t="s">
        <v>94</v>
      </c>
      <c r="B94" s="453" t="s">
        <v>48</v>
      </c>
      <c r="C94" s="454">
        <f>'9.2'!C94+'10.2'!C47+'11.2'!C46+'12.2'!C46+'13.2'!C46+'14.2'!C46</f>
        <v>119147</v>
      </c>
    </row>
    <row r="95" spans="1:3" ht="14.25" customHeight="1">
      <c r="A95" s="483" t="s">
        <v>95</v>
      </c>
      <c r="B95" s="455" t="s">
        <v>180</v>
      </c>
      <c r="C95" s="456">
        <f>'9.2'!C95+'10.2'!C48+'11.2'!C47+'12.2'!C47+'13.2'!C47+'14.2'!C47</f>
        <v>36141</v>
      </c>
    </row>
    <row r="96" spans="1:3" ht="14.25" customHeight="1">
      <c r="A96" s="483" t="s">
        <v>96</v>
      </c>
      <c r="B96" s="455" t="s">
        <v>137</v>
      </c>
      <c r="C96" s="456">
        <f>'9.2'!C96+'10.2'!C49+'11.2'!C48+'12.2'!C48+'13.2'!C48+'14.2'!C48</f>
        <v>231849</v>
      </c>
    </row>
    <row r="97" spans="1:3" ht="14.25" customHeight="1">
      <c r="A97" s="483" t="s">
        <v>97</v>
      </c>
      <c r="B97" s="458" t="s">
        <v>181</v>
      </c>
      <c r="C97" s="456">
        <f>'9.2'!C97+'10.2'!C50+'11.2'!C49+'12.2'!C49+'13.2'!C49+'14.2'!C49</f>
        <v>5700</v>
      </c>
    </row>
    <row r="98" spans="1:3" ht="14.25" customHeight="1">
      <c r="A98" s="483" t="s">
        <v>108</v>
      </c>
      <c r="B98" s="459" t="s">
        <v>182</v>
      </c>
      <c r="C98" s="465">
        <f>'9.2'!C98+'10.2'!C51+'11.2'!C50+'12.2'!C50+'13.2'!C50+'14.2'!C50</f>
        <v>52446</v>
      </c>
    </row>
    <row r="99" spans="1:3" ht="14.25" customHeight="1">
      <c r="A99" s="483" t="s">
        <v>98</v>
      </c>
      <c r="B99" s="455" t="s">
        <v>442</v>
      </c>
      <c r="C99" s="457">
        <f>'9.2'!C99</f>
        <v>0</v>
      </c>
    </row>
    <row r="100" spans="1:3" ht="14.25" customHeight="1">
      <c r="A100" s="483" t="s">
        <v>99</v>
      </c>
      <c r="B100" s="460" t="s">
        <v>441</v>
      </c>
      <c r="C100" s="457">
        <f>'9.2'!C100</f>
        <v>0</v>
      </c>
    </row>
    <row r="101" spans="1:3" ht="14.25" customHeight="1">
      <c r="A101" s="483" t="s">
        <v>109</v>
      </c>
      <c r="B101" s="460" t="s">
        <v>440</v>
      </c>
      <c r="C101" s="457">
        <f>'9.2'!C101</f>
        <v>0</v>
      </c>
    </row>
    <row r="102" spans="1:3" ht="14.25" customHeight="1">
      <c r="A102" s="483" t="s">
        <v>110</v>
      </c>
      <c r="B102" s="461" t="s">
        <v>353</v>
      </c>
      <c r="C102" s="457">
        <f>'9.2'!C102</f>
        <v>0</v>
      </c>
    </row>
    <row r="103" spans="1:3" ht="14.25" customHeight="1">
      <c r="A103" s="483" t="s">
        <v>111</v>
      </c>
      <c r="B103" s="455" t="s">
        <v>354</v>
      </c>
      <c r="C103" s="457">
        <f>'9.2'!C103</f>
        <v>0</v>
      </c>
    </row>
    <row r="104" spans="1:3" ht="14.25" customHeight="1">
      <c r="A104" s="483" t="s">
        <v>112</v>
      </c>
      <c r="B104" s="455" t="s">
        <v>355</v>
      </c>
      <c r="C104" s="457">
        <f>'9.2'!C104</f>
        <v>0</v>
      </c>
    </row>
    <row r="105" spans="1:3" ht="14.25" customHeight="1">
      <c r="A105" s="483" t="s">
        <v>114</v>
      </c>
      <c r="B105" s="461" t="s">
        <v>356</v>
      </c>
      <c r="C105" s="457">
        <f>'9.2'!C105</f>
        <v>3440</v>
      </c>
    </row>
    <row r="106" spans="1:3" ht="14.25" customHeight="1">
      <c r="A106" s="483" t="s">
        <v>183</v>
      </c>
      <c r="B106" s="461" t="s">
        <v>357</v>
      </c>
      <c r="C106" s="457">
        <f>'9.2'!C106</f>
        <v>0</v>
      </c>
    </row>
    <row r="107" spans="1:3" ht="14.25" customHeight="1">
      <c r="A107" s="483" t="s">
        <v>351</v>
      </c>
      <c r="B107" s="455" t="s">
        <v>358</v>
      </c>
      <c r="C107" s="457">
        <f>'9.2'!C107</f>
        <v>0</v>
      </c>
    </row>
    <row r="108" spans="1:3" ht="14.25" customHeight="1">
      <c r="A108" s="493" t="s">
        <v>352</v>
      </c>
      <c r="B108" s="460" t="s">
        <v>359</v>
      </c>
      <c r="C108" s="457">
        <f>'9.2'!C108</f>
        <v>0</v>
      </c>
    </row>
    <row r="109" spans="1:3" ht="14.25" customHeight="1">
      <c r="A109" s="483" t="s">
        <v>438</v>
      </c>
      <c r="B109" s="460" t="s">
        <v>360</v>
      </c>
      <c r="C109" s="457">
        <f>'9.2'!C109</f>
        <v>0</v>
      </c>
    </row>
    <row r="110" spans="1:3" ht="14.25" customHeight="1">
      <c r="A110" s="484" t="s">
        <v>439</v>
      </c>
      <c r="B110" s="460" t="s">
        <v>361</v>
      </c>
      <c r="C110" s="457">
        <f>'9.2'!C110+'10.2'!C51</f>
        <v>49006</v>
      </c>
    </row>
    <row r="111" spans="1:3" ht="14.25" customHeight="1">
      <c r="A111" s="483" t="s">
        <v>443</v>
      </c>
      <c r="B111" s="458" t="s">
        <v>49</v>
      </c>
      <c r="C111" s="456">
        <f>'9.2'!C111</f>
        <v>0</v>
      </c>
    </row>
    <row r="112" spans="1:3" ht="14.25" customHeight="1">
      <c r="A112" s="483" t="s">
        <v>444</v>
      </c>
      <c r="B112" s="455" t="s">
        <v>446</v>
      </c>
      <c r="C112" s="456">
        <f>'9.2'!C112</f>
        <v>0</v>
      </c>
    </row>
    <row r="113" spans="1:3" ht="14.25" customHeight="1" thickBot="1">
      <c r="A113" s="494" t="s">
        <v>445</v>
      </c>
      <c r="B113" s="462" t="s">
        <v>447</v>
      </c>
      <c r="C113" s="463">
        <f>'9.2'!C113</f>
        <v>0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0</v>
      </c>
    </row>
    <row r="115" spans="1:3" ht="14.25" customHeight="1">
      <c r="A115" s="482" t="s">
        <v>100</v>
      </c>
      <c r="B115" s="455" t="s">
        <v>228</v>
      </c>
      <c r="C115" s="465">
        <f>'9.2'!C115+'10.2'!C53+'11.2'!C52+'12.2'!C52+'13.2'!C52+'14.2'!C52</f>
        <v>0</v>
      </c>
    </row>
    <row r="116" spans="1:3" ht="14.25" customHeight="1">
      <c r="A116" s="482" t="s">
        <v>101</v>
      </c>
      <c r="B116" s="460" t="s">
        <v>365</v>
      </c>
      <c r="C116" s="465">
        <f>'9.2'!C116</f>
        <v>0</v>
      </c>
    </row>
    <row r="117" spans="1:3" ht="14.25" customHeight="1">
      <c r="A117" s="482" t="s">
        <v>102</v>
      </c>
      <c r="B117" s="460" t="s">
        <v>184</v>
      </c>
      <c r="C117" s="456">
        <f>'9.2'!C117+'10.2'!C54+'11.2'!C53+'12.2'!C53+'13.2'!C53+'14.2'!C53</f>
        <v>0</v>
      </c>
    </row>
    <row r="118" spans="1:3" ht="14.25" customHeight="1">
      <c r="A118" s="482" t="s">
        <v>103</v>
      </c>
      <c r="B118" s="460" t="s">
        <v>366</v>
      </c>
      <c r="C118" s="466">
        <f>'9.2'!C118</f>
        <v>0</v>
      </c>
    </row>
    <row r="119" spans="1:3" ht="14.25" customHeight="1">
      <c r="A119" s="482" t="s">
        <v>104</v>
      </c>
      <c r="B119" s="442" t="s">
        <v>231</v>
      </c>
      <c r="C119" s="466">
        <f>'9.2'!C119+'10.2'!C55+'11.2'!C54+'12.2'!C54+'13.2'!C54+'14.2'!C54</f>
        <v>0</v>
      </c>
    </row>
    <row r="120" spans="1:3" ht="14.25" customHeight="1">
      <c r="A120" s="482" t="s">
        <v>113</v>
      </c>
      <c r="B120" s="441" t="s">
        <v>430</v>
      </c>
      <c r="C120" s="466">
        <f>'9.2'!C120</f>
        <v>0</v>
      </c>
    </row>
    <row r="121" spans="1:3" ht="14.25" customHeight="1">
      <c r="A121" s="482" t="s">
        <v>115</v>
      </c>
      <c r="B121" s="467" t="s">
        <v>371</v>
      </c>
      <c r="C121" s="466">
        <f>'9.2'!C121</f>
        <v>0</v>
      </c>
    </row>
    <row r="122" spans="1:3" ht="14.25" customHeight="1">
      <c r="A122" s="482" t="s">
        <v>185</v>
      </c>
      <c r="B122" s="455" t="s">
        <v>355</v>
      </c>
      <c r="C122" s="466">
        <f>'9.2'!C122</f>
        <v>0</v>
      </c>
    </row>
    <row r="123" spans="1:3" ht="14.25" customHeight="1">
      <c r="A123" s="482" t="s">
        <v>186</v>
      </c>
      <c r="B123" s="455" t="s">
        <v>370</v>
      </c>
      <c r="C123" s="466">
        <f>'9.2'!C123</f>
        <v>0</v>
      </c>
    </row>
    <row r="124" spans="1:3" ht="14.25" customHeight="1">
      <c r="A124" s="482" t="s">
        <v>187</v>
      </c>
      <c r="B124" s="455" t="s">
        <v>369</v>
      </c>
      <c r="C124" s="466">
        <f>'9.2'!C124</f>
        <v>0</v>
      </c>
    </row>
    <row r="125" spans="1:3" ht="14.25" customHeight="1">
      <c r="A125" s="482" t="s">
        <v>362</v>
      </c>
      <c r="B125" s="455" t="s">
        <v>358</v>
      </c>
      <c r="C125" s="466">
        <f>'9.2'!C125</f>
        <v>0</v>
      </c>
    </row>
    <row r="126" spans="1:3" ht="14.25" customHeight="1">
      <c r="A126" s="482" t="s">
        <v>363</v>
      </c>
      <c r="B126" s="455" t="s">
        <v>368</v>
      </c>
      <c r="C126" s="466">
        <f>'9.2'!C126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'9.2'!C127</f>
        <v>0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445283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0</v>
      </c>
    </row>
    <row r="141" spans="1:3" ht="14.25" customHeight="1">
      <c r="A141" s="482" t="s">
        <v>90</v>
      </c>
      <c r="B141" s="467" t="s">
        <v>372</v>
      </c>
      <c r="C141" s="466"/>
    </row>
    <row r="142" spans="1:3" ht="14.25" customHeight="1">
      <c r="A142" s="482" t="s">
        <v>91</v>
      </c>
      <c r="B142" s="467" t="s">
        <v>373</v>
      </c>
      <c r="C142" s="466"/>
    </row>
    <row r="143" spans="1:3" ht="14.25" customHeight="1">
      <c r="A143" s="482" t="s">
        <v>287</v>
      </c>
      <c r="B143" s="467" t="s">
        <v>464</v>
      </c>
      <c r="C143" s="466"/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'9.2'!C152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'9.2'!C153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0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445283</v>
      </c>
    </row>
    <row r="155" ht="7.5" customHeight="1"/>
    <row r="156" spans="1:3" ht="15.75">
      <c r="A156" s="1433" t="s">
        <v>374</v>
      </c>
      <c r="B156" s="1433"/>
      <c r="C156" s="1433"/>
    </row>
    <row r="157" spans="1:3" ht="15" customHeight="1" thickBot="1">
      <c r="A157" s="1432" t="s">
        <v>151</v>
      </c>
      <c r="B157" s="1432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-317930</v>
      </c>
      <c r="D158" s="480"/>
    </row>
    <row r="159" spans="1:3" ht="27.75" customHeight="1" thickBot="1">
      <c r="A159" s="384" t="s">
        <v>18</v>
      </c>
      <c r="B159" s="400" t="s">
        <v>1209</v>
      </c>
      <c r="C159" s="470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ÖNKÉNT VÁLLALT FELADATAINAK MÉRLEGE&amp;10
&amp;R&amp;"Times New Roman CE,Félkövér dőlt"&amp;11 4.2. számú melléklet</oddHeader>
  </headerFooter>
  <rowBreaks count="3" manualBreakCount="3">
    <brk id="51" max="2" man="1"/>
    <brk id="88" max="2" man="1"/>
    <brk id="128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59"/>
  <sheetViews>
    <sheetView zoomScale="130" zoomScaleNormal="130" zoomScaleSheetLayoutView="100" zoomScalePageLayoutView="0" workbookViewId="0" topLeftCell="A1">
      <selection activeCell="A1" sqref="A1:C1"/>
    </sheetView>
  </sheetViews>
  <sheetFormatPr defaultColWidth="9.375" defaultRowHeight="12.75"/>
  <cols>
    <col min="1" max="1" width="9.50390625" style="496" customWidth="1"/>
    <col min="2" max="2" width="91.625" style="478" customWidth="1"/>
    <col min="3" max="3" width="21.625" style="479" customWidth="1"/>
    <col min="4" max="4" width="9.00390625" style="434" customWidth="1"/>
    <col min="5" max="16384" width="9.375" style="434" customWidth="1"/>
  </cols>
  <sheetData>
    <row r="1" spans="1:3" ht="15.75" customHeight="1">
      <c r="A1" s="1431" t="s">
        <v>14</v>
      </c>
      <c r="B1" s="1431"/>
      <c r="C1" s="1431"/>
    </row>
    <row r="2" spans="1:3" ht="15.75" customHeight="1" thickBot="1">
      <c r="A2" s="1432" t="s">
        <v>149</v>
      </c>
      <c r="B2" s="1432"/>
      <c r="C2" s="383" t="s">
        <v>229</v>
      </c>
    </row>
    <row r="3" spans="1:3" ht="37.5" customHeight="1" thickBot="1">
      <c r="A3" s="384" t="s">
        <v>65</v>
      </c>
      <c r="B3" s="385" t="s">
        <v>16</v>
      </c>
      <c r="C3" s="386" t="str">
        <f>+CONCATENATE(LEFT(ÖSSZEFÜGGÉSEK!A5,4),". évi előirányzat")</f>
        <v>2015. évi előirányzat</v>
      </c>
    </row>
    <row r="4" spans="1:3" s="435" customFormat="1" ht="12" customHeight="1" thickBot="1">
      <c r="A4" s="387" t="s">
        <v>492</v>
      </c>
      <c r="B4" s="388" t="s">
        <v>493</v>
      </c>
      <c r="C4" s="389" t="s">
        <v>494</v>
      </c>
    </row>
    <row r="5" spans="1:3" s="438" customFormat="1" ht="14.25" customHeight="1" thickBot="1">
      <c r="A5" s="390" t="s">
        <v>17</v>
      </c>
      <c r="B5" s="436" t="s">
        <v>253</v>
      </c>
      <c r="C5" s="437">
        <f>+C6+C7+C8+C9+C10+C11</f>
        <v>0</v>
      </c>
    </row>
    <row r="6" spans="1:3" s="438" customFormat="1" ht="14.25" customHeight="1">
      <c r="A6" s="482" t="s">
        <v>94</v>
      </c>
      <c r="B6" s="439" t="s">
        <v>254</v>
      </c>
      <c r="C6" s="440">
        <f>'9.3'!C9</f>
        <v>0</v>
      </c>
    </row>
    <row r="7" spans="1:3" s="438" customFormat="1" ht="14.25" customHeight="1">
      <c r="A7" s="483" t="s">
        <v>95</v>
      </c>
      <c r="B7" s="441" t="s">
        <v>255</v>
      </c>
      <c r="C7" s="440">
        <f>'9.3'!C10</f>
        <v>0</v>
      </c>
    </row>
    <row r="8" spans="1:3" s="438" customFormat="1" ht="14.25" customHeight="1">
      <c r="A8" s="483" t="s">
        <v>96</v>
      </c>
      <c r="B8" s="441" t="s">
        <v>256</v>
      </c>
      <c r="C8" s="440">
        <f>'9.3'!C11</f>
        <v>0</v>
      </c>
    </row>
    <row r="9" spans="1:3" s="438" customFormat="1" ht="14.25" customHeight="1">
      <c r="A9" s="483" t="s">
        <v>97</v>
      </c>
      <c r="B9" s="441" t="s">
        <v>257</v>
      </c>
      <c r="C9" s="440">
        <f>'9.3'!C12</f>
        <v>0</v>
      </c>
    </row>
    <row r="10" spans="1:3" s="438" customFormat="1" ht="14.25" customHeight="1">
      <c r="A10" s="483" t="s">
        <v>145</v>
      </c>
      <c r="B10" s="441" t="s">
        <v>433</v>
      </c>
      <c r="C10" s="440">
        <f>'9.3'!C13</f>
        <v>0</v>
      </c>
    </row>
    <row r="11" spans="1:3" s="438" customFormat="1" ht="14.25" customHeight="1" thickBot="1">
      <c r="A11" s="484" t="s">
        <v>98</v>
      </c>
      <c r="B11" s="442" t="s">
        <v>434</v>
      </c>
      <c r="C11" s="440">
        <f>'9.3'!C14</f>
        <v>0</v>
      </c>
    </row>
    <row r="12" spans="1:3" s="438" customFormat="1" ht="14.25" customHeight="1" thickBot="1">
      <c r="A12" s="390" t="s">
        <v>18</v>
      </c>
      <c r="B12" s="443" t="s">
        <v>258</v>
      </c>
      <c r="C12" s="437">
        <f>+C13+C14+C15+C16+C17</f>
        <v>0</v>
      </c>
    </row>
    <row r="13" spans="1:3" s="438" customFormat="1" ht="14.25" customHeight="1">
      <c r="A13" s="482" t="s">
        <v>100</v>
      </c>
      <c r="B13" s="439" t="s">
        <v>259</v>
      </c>
      <c r="C13" s="440">
        <f>'9.3'!C16+'10.3'!C21+'11.3'!C21+'12.3'!C21+'13.3'!C21+'14.3'!C21</f>
        <v>0</v>
      </c>
    </row>
    <row r="14" spans="1:3" s="438" customFormat="1" ht="14.25" customHeight="1">
      <c r="A14" s="483" t="s">
        <v>101</v>
      </c>
      <c r="B14" s="441" t="s">
        <v>260</v>
      </c>
      <c r="C14" s="440">
        <f>'9.3'!C17</f>
        <v>0</v>
      </c>
    </row>
    <row r="15" spans="1:3" s="438" customFormat="1" ht="14.25" customHeight="1">
      <c r="A15" s="483" t="s">
        <v>102</v>
      </c>
      <c r="B15" s="441" t="s">
        <v>424</v>
      </c>
      <c r="C15" s="440">
        <f>'9.3'!C18+'10.3'!C22+'11.3'!C22+'12.3'!C22+'13.3'!C22+'14.3'!C22</f>
        <v>0</v>
      </c>
    </row>
    <row r="16" spans="1:3" s="438" customFormat="1" ht="14.25" customHeight="1">
      <c r="A16" s="483" t="s">
        <v>103</v>
      </c>
      <c r="B16" s="441" t="s">
        <v>425</v>
      </c>
      <c r="C16" s="440">
        <f>'9.3'!C19</f>
        <v>0</v>
      </c>
    </row>
    <row r="17" spans="1:3" s="438" customFormat="1" ht="14.25" customHeight="1">
      <c r="A17" s="483" t="s">
        <v>104</v>
      </c>
      <c r="B17" s="441" t="s">
        <v>261</v>
      </c>
      <c r="C17" s="440">
        <f>'9.3'!C20+'10.3'!C23+'11.3'!C23+'12.3'!C23+'13.3'!C23+'14.3'!C23</f>
        <v>0</v>
      </c>
    </row>
    <row r="18" spans="1:3" s="438" customFormat="1" ht="14.25" customHeight="1" thickBot="1">
      <c r="A18" s="484" t="s">
        <v>113</v>
      </c>
      <c r="B18" s="442" t="s">
        <v>262</v>
      </c>
      <c r="C18" s="440">
        <f>'9.3'!C21+'10.3'!C24+'11.3'!C24+'12.3'!C24+'13.3'!C24+'14.3'!C24</f>
        <v>0</v>
      </c>
    </row>
    <row r="19" spans="1:3" s="438" customFormat="1" ht="14.25" customHeight="1" thickBot="1">
      <c r="A19" s="390" t="s">
        <v>19</v>
      </c>
      <c r="B19" s="436" t="s">
        <v>263</v>
      </c>
      <c r="C19" s="437">
        <f>+C20+C21+C22+C23+C24</f>
        <v>0</v>
      </c>
    </row>
    <row r="20" spans="1:3" s="438" customFormat="1" ht="14.25" customHeight="1">
      <c r="A20" s="482" t="s">
        <v>83</v>
      </c>
      <c r="B20" s="439" t="s">
        <v>264</v>
      </c>
      <c r="C20" s="440">
        <f>'9.3'!C23+'10.3'!C27+'11.3'!C27+'12.3'!C27+'13.3'!C27+'14.3'!C27</f>
        <v>0</v>
      </c>
    </row>
    <row r="21" spans="1:3" s="438" customFormat="1" ht="14.25" customHeight="1">
      <c r="A21" s="483" t="s">
        <v>84</v>
      </c>
      <c r="B21" s="441" t="s">
        <v>265</v>
      </c>
      <c r="C21" s="440">
        <f>'9.3'!C24</f>
        <v>0</v>
      </c>
    </row>
    <row r="22" spans="1:3" s="438" customFormat="1" ht="14.25" customHeight="1">
      <c r="A22" s="483" t="s">
        <v>85</v>
      </c>
      <c r="B22" s="441" t="s">
        <v>426</v>
      </c>
      <c r="C22" s="440">
        <f>'9.3'!C25+'10.3'!C28</f>
        <v>0</v>
      </c>
    </row>
    <row r="23" spans="1:3" s="438" customFormat="1" ht="14.25" customHeight="1">
      <c r="A23" s="483" t="s">
        <v>86</v>
      </c>
      <c r="B23" s="441" t="s">
        <v>427</v>
      </c>
      <c r="C23" s="440">
        <f>'9.3'!C26</f>
        <v>0</v>
      </c>
    </row>
    <row r="24" spans="1:3" s="438" customFormat="1" ht="14.25" customHeight="1">
      <c r="A24" s="483" t="s">
        <v>168</v>
      </c>
      <c r="B24" s="441" t="s">
        <v>266</v>
      </c>
      <c r="C24" s="440">
        <f>'9.3'!C27+'10.3'!C29+'11.3'!C28+'12.3'!C28+'13.3'!C28+'14.3'!C28</f>
        <v>0</v>
      </c>
    </row>
    <row r="25" spans="1:3" s="438" customFormat="1" ht="14.25" customHeight="1" thickBot="1">
      <c r="A25" s="484" t="s">
        <v>169</v>
      </c>
      <c r="B25" s="442" t="s">
        <v>267</v>
      </c>
      <c r="C25" s="440">
        <f>'9.3'!C28+'10.3'!C30+'11.3'!C29+'12.3'!C29+'13.3'!C29+'14.3'!C29</f>
        <v>0</v>
      </c>
    </row>
    <row r="26" spans="1:3" s="438" customFormat="1" ht="14.25" customHeight="1" thickBot="1">
      <c r="A26" s="390" t="s">
        <v>170</v>
      </c>
      <c r="B26" s="436" t="s">
        <v>268</v>
      </c>
      <c r="C26" s="444">
        <f>+C27+C28+C29+C33</f>
        <v>500</v>
      </c>
    </row>
    <row r="27" spans="1:3" s="438" customFormat="1" ht="14.25" customHeight="1">
      <c r="A27" s="482" t="s">
        <v>269</v>
      </c>
      <c r="B27" s="439" t="s">
        <v>567</v>
      </c>
      <c r="C27" s="445">
        <f>'9.3'!C30</f>
        <v>0</v>
      </c>
    </row>
    <row r="28" spans="1:3" s="438" customFormat="1" ht="14.25" customHeight="1">
      <c r="A28" s="483" t="s">
        <v>270</v>
      </c>
      <c r="B28" s="441" t="s">
        <v>575</v>
      </c>
      <c r="C28" s="445">
        <f>'9.3'!C31</f>
        <v>0</v>
      </c>
    </row>
    <row r="29" spans="1:3" s="438" customFormat="1" ht="14.25" customHeight="1">
      <c r="A29" s="483" t="s">
        <v>271</v>
      </c>
      <c r="B29" s="441" t="s">
        <v>568</v>
      </c>
      <c r="C29" s="445">
        <f>'9.3'!C32</f>
        <v>0</v>
      </c>
    </row>
    <row r="30" spans="1:3" s="438" customFormat="1" ht="14.25" customHeight="1">
      <c r="A30" s="485" t="s">
        <v>569</v>
      </c>
      <c r="B30" s="481" t="s">
        <v>570</v>
      </c>
      <c r="C30" s="445">
        <f>'9.3'!C33</f>
        <v>0</v>
      </c>
    </row>
    <row r="31" spans="1:3" s="438" customFormat="1" ht="14.25" customHeight="1">
      <c r="A31" s="485" t="s">
        <v>571</v>
      </c>
      <c r="B31" s="481" t="s">
        <v>572</v>
      </c>
      <c r="C31" s="445">
        <f>'9.3'!C34</f>
        <v>0</v>
      </c>
    </row>
    <row r="32" spans="1:3" s="438" customFormat="1" ht="14.25" customHeight="1">
      <c r="A32" s="485" t="s">
        <v>573</v>
      </c>
      <c r="B32" s="481" t="s">
        <v>574</v>
      </c>
      <c r="C32" s="445">
        <f>'9.3'!C35</f>
        <v>0</v>
      </c>
    </row>
    <row r="33" spans="1:3" s="438" customFormat="1" ht="14.25" customHeight="1" thickBot="1">
      <c r="A33" s="483" t="s">
        <v>272</v>
      </c>
      <c r="B33" s="441" t="s">
        <v>273</v>
      </c>
      <c r="C33" s="445">
        <f>'9.3'!C36+'10.3'!C25+'11.3'!C25+'12.3'!C25+'13.3'!C25+'14.3'!C25</f>
        <v>500</v>
      </c>
    </row>
    <row r="34" spans="1:3" s="438" customFormat="1" ht="14.25" customHeight="1" thickBot="1">
      <c r="A34" s="390" t="s">
        <v>21</v>
      </c>
      <c r="B34" s="436" t="s">
        <v>435</v>
      </c>
      <c r="C34" s="437">
        <f>SUM(C35:C45)</f>
        <v>2000</v>
      </c>
    </row>
    <row r="35" spans="1:3" s="438" customFormat="1" ht="14.25" customHeight="1">
      <c r="A35" s="482" t="s">
        <v>87</v>
      </c>
      <c r="B35" s="439" t="s">
        <v>276</v>
      </c>
      <c r="C35" s="440">
        <f>'9.3'!C38+'10.3'!C9+'11.3'!C9+'12.3'!C9+'13.3'!C9+'14.3'!C9</f>
        <v>0</v>
      </c>
    </row>
    <row r="36" spans="1:3" s="438" customFormat="1" ht="14.25" customHeight="1">
      <c r="A36" s="483" t="s">
        <v>88</v>
      </c>
      <c r="B36" s="441" t="s">
        <v>277</v>
      </c>
      <c r="C36" s="440">
        <f>'9.3'!C39+'10.3'!C10+'11.3'!C10+'12.3'!C10+'13.3'!C10+'14.3'!C10</f>
        <v>2000</v>
      </c>
    </row>
    <row r="37" spans="1:3" s="438" customFormat="1" ht="14.25" customHeight="1">
      <c r="A37" s="483" t="s">
        <v>89</v>
      </c>
      <c r="B37" s="441" t="s">
        <v>278</v>
      </c>
      <c r="C37" s="440">
        <f>'9.3'!C40+'10.3'!C11+'11.3'!C11+'12.3'!C11+'13.3'!C11+'14.3'!C11</f>
        <v>0</v>
      </c>
    </row>
    <row r="38" spans="1:3" s="438" customFormat="1" ht="14.25" customHeight="1">
      <c r="A38" s="483" t="s">
        <v>172</v>
      </c>
      <c r="B38" s="441" t="s">
        <v>279</v>
      </c>
      <c r="C38" s="440">
        <f>'9.3'!C41+'10.3'!C12+'11.3'!C12+'12.3'!C12+'13.3'!C12+'14.3'!C12</f>
        <v>0</v>
      </c>
    </row>
    <row r="39" spans="1:3" s="438" customFormat="1" ht="14.25" customHeight="1">
      <c r="A39" s="483" t="s">
        <v>173</v>
      </c>
      <c r="B39" s="441" t="s">
        <v>280</v>
      </c>
      <c r="C39" s="440">
        <f>'9.3'!C42+'10.3'!C13+'11.3'!C13+'12.3'!C13+'13.3'!C13+'14.3'!C13</f>
        <v>0</v>
      </c>
    </row>
    <row r="40" spans="1:3" s="438" customFormat="1" ht="14.25" customHeight="1">
      <c r="A40" s="483" t="s">
        <v>174</v>
      </c>
      <c r="B40" s="441" t="s">
        <v>281</v>
      </c>
      <c r="C40" s="440">
        <f>'9.3'!C43+'10.3'!C14+'11.3'!C14+'12.3'!C14+'13.3'!C14+'14.3'!C14</f>
        <v>0</v>
      </c>
    </row>
    <row r="41" spans="1:3" s="438" customFormat="1" ht="14.25" customHeight="1">
      <c r="A41" s="483" t="s">
        <v>175</v>
      </c>
      <c r="B41" s="441" t="s">
        <v>282</v>
      </c>
      <c r="C41" s="440">
        <f>'9.3'!C44+'10.3'!C15+'11.3'!C15+'12.3'!C15+'13.3'!C15+'14.3'!C15</f>
        <v>0</v>
      </c>
    </row>
    <row r="42" spans="1:3" s="438" customFormat="1" ht="14.25" customHeight="1">
      <c r="A42" s="483" t="s">
        <v>176</v>
      </c>
      <c r="B42" s="441" t="s">
        <v>283</v>
      </c>
      <c r="C42" s="440">
        <f>'9.3'!C45+'10.3'!C16+'11.3'!C16+'12.3'!C16+'13.3'!C16+'14.3'!C16</f>
        <v>0</v>
      </c>
    </row>
    <row r="43" spans="1:3" s="438" customFormat="1" ht="14.25" customHeight="1">
      <c r="A43" s="483" t="s">
        <v>274</v>
      </c>
      <c r="B43" s="441" t="s">
        <v>284</v>
      </c>
      <c r="C43" s="440">
        <f>'9.3'!C46+'10.3'!C17+'11.3'!C17+'12.3'!C17+'13.3'!C17+'14.3'!C17</f>
        <v>0</v>
      </c>
    </row>
    <row r="44" spans="1:3" s="438" customFormat="1" ht="14.25" customHeight="1">
      <c r="A44" s="484" t="s">
        <v>275</v>
      </c>
      <c r="B44" s="442" t="s">
        <v>437</v>
      </c>
      <c r="C44" s="440">
        <f>'9.3'!C47+'10.3'!C18+'11.3'!C18+'12.3'!C18+'13.3'!C18+'14.3'!C18</f>
        <v>0</v>
      </c>
    </row>
    <row r="45" spans="1:3" s="438" customFormat="1" ht="14.25" customHeight="1" thickBot="1">
      <c r="A45" s="484" t="s">
        <v>436</v>
      </c>
      <c r="B45" s="442" t="s">
        <v>285</v>
      </c>
      <c r="C45" s="440">
        <f>'9.3'!C48+'10.3'!C19+'11.3'!C19+'12.3'!C19+'13.3'!C19+'14.3'!C19</f>
        <v>0</v>
      </c>
    </row>
    <row r="46" spans="1:3" s="438" customFormat="1" ht="14.25" customHeight="1" thickBot="1">
      <c r="A46" s="390" t="s">
        <v>22</v>
      </c>
      <c r="B46" s="436" t="s">
        <v>286</v>
      </c>
      <c r="C46" s="437">
        <f>SUM(C47:C51)</f>
        <v>0</v>
      </c>
    </row>
    <row r="47" spans="1:3" s="438" customFormat="1" ht="14.25" customHeight="1">
      <c r="A47" s="492" t="s">
        <v>90</v>
      </c>
      <c r="B47" s="497" t="s">
        <v>290</v>
      </c>
      <c r="C47" s="498">
        <f>'9.3'!C50+'10.3'!C32+'11.3'!C31+'12.3'!C31+'13.3'!C31+'14.3'!C31</f>
        <v>0</v>
      </c>
    </row>
    <row r="48" spans="1:3" s="438" customFormat="1" ht="14.25" customHeight="1">
      <c r="A48" s="483" t="s">
        <v>91</v>
      </c>
      <c r="B48" s="441" t="s">
        <v>291</v>
      </c>
      <c r="C48" s="446">
        <f>'9.3'!C51+'10.3'!C33+'11.3'!C32+'12.3'!C32+'13.3'!C32+'14.3'!C32</f>
        <v>0</v>
      </c>
    </row>
    <row r="49" spans="1:3" s="438" customFormat="1" ht="14.25" customHeight="1">
      <c r="A49" s="483" t="s">
        <v>287</v>
      </c>
      <c r="B49" s="441" t="s">
        <v>292</v>
      </c>
      <c r="C49" s="446">
        <f>'9.3'!C52+'10.3'!C34+'11.3'!C33+'12.3'!C33+'13.3'!C33+'14.3'!C33</f>
        <v>0</v>
      </c>
    </row>
    <row r="50" spans="1:3" s="438" customFormat="1" ht="14.25" customHeight="1">
      <c r="A50" s="483" t="s">
        <v>288</v>
      </c>
      <c r="B50" s="441" t="s">
        <v>293</v>
      </c>
      <c r="C50" s="446"/>
    </row>
    <row r="51" spans="1:3" s="438" customFormat="1" ht="14.25" customHeight="1" thickBot="1">
      <c r="A51" s="494" t="s">
        <v>289</v>
      </c>
      <c r="B51" s="499" t="s">
        <v>294</v>
      </c>
      <c r="C51" s="500"/>
    </row>
    <row r="52" spans="1:3" s="438" customFormat="1" ht="14.25" customHeight="1" thickBot="1">
      <c r="A52" s="390" t="s">
        <v>177</v>
      </c>
      <c r="B52" s="436" t="s">
        <v>295</v>
      </c>
      <c r="C52" s="437">
        <f>SUM(C53:C55)</f>
        <v>0</v>
      </c>
    </row>
    <row r="53" spans="1:3" s="438" customFormat="1" ht="14.25" customHeight="1">
      <c r="A53" s="482" t="s">
        <v>92</v>
      </c>
      <c r="B53" s="439" t="s">
        <v>296</v>
      </c>
      <c r="C53" s="440">
        <f>'9.3'!C56</f>
        <v>0</v>
      </c>
    </row>
    <row r="54" spans="1:3" s="438" customFormat="1" ht="14.25" customHeight="1">
      <c r="A54" s="483" t="s">
        <v>93</v>
      </c>
      <c r="B54" s="441" t="s">
        <v>428</v>
      </c>
      <c r="C54" s="440">
        <f>'9.3'!C57</f>
        <v>0</v>
      </c>
    </row>
    <row r="55" spans="1:3" s="438" customFormat="1" ht="14.25" customHeight="1">
      <c r="A55" s="483" t="s">
        <v>299</v>
      </c>
      <c r="B55" s="441" t="s">
        <v>297</v>
      </c>
      <c r="C55" s="440">
        <f>'9.3'!C58+'10.3'!C35+'11.3'!C34+'12.3'!C34+'13.3'!C34+'14.3'!C34</f>
        <v>0</v>
      </c>
    </row>
    <row r="56" spans="1:3" s="438" customFormat="1" ht="14.25" customHeight="1" thickBot="1">
      <c r="A56" s="484" t="s">
        <v>300</v>
      </c>
      <c r="B56" s="442" t="s">
        <v>298</v>
      </c>
      <c r="C56" s="440">
        <f>'9.3'!C59</f>
        <v>0</v>
      </c>
    </row>
    <row r="57" spans="1:3" s="438" customFormat="1" ht="14.25" customHeight="1" thickBot="1">
      <c r="A57" s="390" t="s">
        <v>24</v>
      </c>
      <c r="B57" s="443" t="s">
        <v>301</v>
      </c>
      <c r="C57" s="437">
        <f>SUM(C58:C60)</f>
        <v>0</v>
      </c>
    </row>
    <row r="58" spans="1:3" s="438" customFormat="1" ht="14.25" customHeight="1">
      <c r="A58" s="482" t="s">
        <v>178</v>
      </c>
      <c r="B58" s="439" t="s">
        <v>303</v>
      </c>
      <c r="C58" s="446">
        <f>'9.3'!C61</f>
        <v>0</v>
      </c>
    </row>
    <row r="59" spans="1:3" s="438" customFormat="1" ht="14.25" customHeight="1">
      <c r="A59" s="483" t="s">
        <v>179</v>
      </c>
      <c r="B59" s="441" t="s">
        <v>429</v>
      </c>
      <c r="C59" s="446">
        <f>'9.3'!C62</f>
        <v>0</v>
      </c>
    </row>
    <row r="60" spans="1:3" s="438" customFormat="1" ht="14.25" customHeight="1">
      <c r="A60" s="483" t="s">
        <v>230</v>
      </c>
      <c r="B60" s="441" t="s">
        <v>304</v>
      </c>
      <c r="C60" s="446">
        <f>'9.3'!C63+'10.3'!C36+'11.3'!C35+'12.3'!C35+'13.3'!C35+'14.3'!C35</f>
        <v>0</v>
      </c>
    </row>
    <row r="61" spans="1:3" s="438" customFormat="1" ht="14.25" customHeight="1" thickBot="1">
      <c r="A61" s="484" t="s">
        <v>302</v>
      </c>
      <c r="B61" s="442" t="s">
        <v>305</v>
      </c>
      <c r="C61" s="446">
        <f>'9.3'!C64</f>
        <v>0</v>
      </c>
    </row>
    <row r="62" spans="1:3" s="438" customFormat="1" ht="14.25" customHeight="1" thickBot="1">
      <c r="A62" s="390" t="s">
        <v>476</v>
      </c>
      <c r="B62" s="436" t="s">
        <v>306</v>
      </c>
      <c r="C62" s="444">
        <f>+C5+C12+C19+C26+C34+C46+C52+C57</f>
        <v>2500</v>
      </c>
    </row>
    <row r="63" spans="1:3" s="438" customFormat="1" ht="14.25" customHeight="1" thickBot="1">
      <c r="A63" s="486" t="s">
        <v>307</v>
      </c>
      <c r="B63" s="443" t="s">
        <v>308</v>
      </c>
      <c r="C63" s="437">
        <f>SUM(C64:C66)</f>
        <v>0</v>
      </c>
    </row>
    <row r="64" spans="1:3" s="438" customFormat="1" ht="14.25" customHeight="1">
      <c r="A64" s="482" t="s">
        <v>339</v>
      </c>
      <c r="B64" s="439" t="s">
        <v>309</v>
      </c>
      <c r="C64" s="446"/>
    </row>
    <row r="65" spans="1:3" s="438" customFormat="1" ht="14.25" customHeight="1">
      <c r="A65" s="483" t="s">
        <v>348</v>
      </c>
      <c r="B65" s="441" t="s">
        <v>310</v>
      </c>
      <c r="C65" s="446"/>
    </row>
    <row r="66" spans="1:3" s="438" customFormat="1" ht="14.25" customHeight="1" thickBot="1">
      <c r="A66" s="484" t="s">
        <v>349</v>
      </c>
      <c r="B66" s="382" t="s">
        <v>461</v>
      </c>
      <c r="C66" s="446"/>
    </row>
    <row r="67" spans="1:3" s="438" customFormat="1" ht="14.25" customHeight="1" thickBot="1">
      <c r="A67" s="486" t="s">
        <v>312</v>
      </c>
      <c r="B67" s="443" t="s">
        <v>313</v>
      </c>
      <c r="C67" s="437">
        <f>SUM(C68:C71)</f>
        <v>0</v>
      </c>
    </row>
    <row r="68" spans="1:3" s="438" customFormat="1" ht="14.25" customHeight="1">
      <c r="A68" s="482" t="s">
        <v>146</v>
      </c>
      <c r="B68" s="439" t="s">
        <v>314</v>
      </c>
      <c r="C68" s="446"/>
    </row>
    <row r="69" spans="1:3" s="438" customFormat="1" ht="14.25" customHeight="1">
      <c r="A69" s="483" t="s">
        <v>147</v>
      </c>
      <c r="B69" s="441" t="s">
        <v>315</v>
      </c>
      <c r="C69" s="446"/>
    </row>
    <row r="70" spans="1:3" s="438" customFormat="1" ht="14.25" customHeight="1">
      <c r="A70" s="483" t="s">
        <v>340</v>
      </c>
      <c r="B70" s="441" t="s">
        <v>316</v>
      </c>
      <c r="C70" s="446"/>
    </row>
    <row r="71" spans="1:3" s="438" customFormat="1" ht="14.25" customHeight="1" thickBot="1">
      <c r="A71" s="484" t="s">
        <v>341</v>
      </c>
      <c r="B71" s="442" t="s">
        <v>317</v>
      </c>
      <c r="C71" s="446"/>
    </row>
    <row r="72" spans="1:3" s="438" customFormat="1" ht="14.25" customHeight="1" thickBot="1">
      <c r="A72" s="486" t="s">
        <v>318</v>
      </c>
      <c r="B72" s="443" t="s">
        <v>319</v>
      </c>
      <c r="C72" s="437">
        <f>SUM(C73:C74)</f>
        <v>0</v>
      </c>
    </row>
    <row r="73" spans="1:3" s="438" customFormat="1" ht="14.25" customHeight="1">
      <c r="A73" s="482" t="s">
        <v>342</v>
      </c>
      <c r="B73" s="439" t="s">
        <v>320</v>
      </c>
      <c r="C73" s="446">
        <f>'9.3'!C76+'10.3'!C39+'11.3'!C38+'12.3'!C38+'13.3'!C38+'14.3'!C38</f>
        <v>0</v>
      </c>
    </row>
    <row r="74" spans="1:3" s="438" customFormat="1" ht="14.25" customHeight="1" thickBot="1">
      <c r="A74" s="484" t="s">
        <v>343</v>
      </c>
      <c r="B74" s="442" t="s">
        <v>321</v>
      </c>
      <c r="C74" s="446">
        <f>'9.3'!C77+'10.3'!C40+'11.3'!C39+'12.3'!C39+'13.3'!C39+'14.3'!C39</f>
        <v>0</v>
      </c>
    </row>
    <row r="75" spans="1:3" s="438" customFormat="1" ht="14.25" customHeight="1" thickBot="1">
      <c r="A75" s="486" t="s">
        <v>322</v>
      </c>
      <c r="B75" s="443" t="s">
        <v>323</v>
      </c>
      <c r="C75" s="437">
        <f>SUM(C76:C78)</f>
        <v>0</v>
      </c>
    </row>
    <row r="76" spans="1:3" s="438" customFormat="1" ht="14.25" customHeight="1">
      <c r="A76" s="482" t="s">
        <v>344</v>
      </c>
      <c r="B76" s="439" t="s">
        <v>324</v>
      </c>
      <c r="C76" s="446"/>
    </row>
    <row r="77" spans="1:3" s="438" customFormat="1" ht="14.25" customHeight="1">
      <c r="A77" s="483" t="s">
        <v>345</v>
      </c>
      <c r="B77" s="441" t="s">
        <v>325</v>
      </c>
      <c r="C77" s="446"/>
    </row>
    <row r="78" spans="1:3" s="438" customFormat="1" ht="14.25" customHeight="1" thickBot="1">
      <c r="A78" s="484" t="s">
        <v>346</v>
      </c>
      <c r="B78" s="442" t="s">
        <v>326</v>
      </c>
      <c r="C78" s="446"/>
    </row>
    <row r="79" spans="1:3" s="438" customFormat="1" ht="14.25" customHeight="1" thickBot="1">
      <c r="A79" s="486" t="s">
        <v>327</v>
      </c>
      <c r="B79" s="443" t="s">
        <v>347</v>
      </c>
      <c r="C79" s="437">
        <f>SUM(C80:C83)</f>
        <v>0</v>
      </c>
    </row>
    <row r="80" spans="1:3" s="438" customFormat="1" ht="14.25" customHeight="1">
      <c r="A80" s="487" t="s">
        <v>328</v>
      </c>
      <c r="B80" s="439" t="s">
        <v>329</v>
      </c>
      <c r="C80" s="446"/>
    </row>
    <row r="81" spans="1:3" s="438" customFormat="1" ht="14.25" customHeight="1">
      <c r="A81" s="488" t="s">
        <v>330</v>
      </c>
      <c r="B81" s="441" t="s">
        <v>331</v>
      </c>
      <c r="C81" s="446"/>
    </row>
    <row r="82" spans="1:3" s="438" customFormat="1" ht="14.25" customHeight="1">
      <c r="A82" s="488" t="s">
        <v>332</v>
      </c>
      <c r="B82" s="441" t="s">
        <v>333</v>
      </c>
      <c r="C82" s="446"/>
    </row>
    <row r="83" spans="1:3" s="438" customFormat="1" ht="14.25" customHeight="1" thickBot="1">
      <c r="A83" s="489" t="s">
        <v>334</v>
      </c>
      <c r="B83" s="442" t="s">
        <v>335</v>
      </c>
      <c r="C83" s="446"/>
    </row>
    <row r="84" spans="1:3" s="438" customFormat="1" ht="14.25" customHeight="1" thickBot="1">
      <c r="A84" s="486" t="s">
        <v>336</v>
      </c>
      <c r="B84" s="443" t="s">
        <v>475</v>
      </c>
      <c r="C84" s="448">
        <f>'9.3'!C87</f>
        <v>0</v>
      </c>
    </row>
    <row r="85" spans="1:3" s="438" customFormat="1" ht="14.25" customHeight="1" thickBot="1">
      <c r="A85" s="486" t="s">
        <v>338</v>
      </c>
      <c r="B85" s="443" t="s">
        <v>337</v>
      </c>
      <c r="C85" s="448">
        <f>'9.3'!C88</f>
        <v>0</v>
      </c>
    </row>
    <row r="86" spans="1:3" s="438" customFormat="1" ht="15.75" customHeight="1" thickBot="1">
      <c r="A86" s="486" t="s">
        <v>350</v>
      </c>
      <c r="B86" s="449" t="s">
        <v>478</v>
      </c>
      <c r="C86" s="444">
        <f>+C63+C67+C72+C75+C79+C85+C84</f>
        <v>0</v>
      </c>
    </row>
    <row r="87" spans="1:3" s="438" customFormat="1" ht="16.5" customHeight="1" thickBot="1">
      <c r="A87" s="490" t="s">
        <v>477</v>
      </c>
      <c r="B87" s="450" t="s">
        <v>479</v>
      </c>
      <c r="C87" s="444">
        <f>+C62+C86</f>
        <v>2500</v>
      </c>
    </row>
    <row r="88" spans="1:3" s="438" customFormat="1" ht="83.25" customHeight="1">
      <c r="A88" s="4"/>
      <c r="B88" s="5"/>
      <c r="C88" s="451"/>
    </row>
    <row r="89" spans="1:3" ht="16.5" customHeight="1">
      <c r="A89" s="1431" t="s">
        <v>46</v>
      </c>
      <c r="B89" s="1431"/>
      <c r="C89" s="1431"/>
    </row>
    <row r="90" spans="1:3" ht="16.5" customHeight="1" thickBot="1">
      <c r="A90" s="1432" t="s">
        <v>150</v>
      </c>
      <c r="B90" s="1432"/>
      <c r="C90" s="260" t="s">
        <v>229</v>
      </c>
    </row>
    <row r="91" spans="1:3" ht="37.5" customHeight="1" thickBot="1">
      <c r="A91" s="390" t="s">
        <v>65</v>
      </c>
      <c r="B91" s="391" t="s">
        <v>47</v>
      </c>
      <c r="C91" s="392" t="str">
        <f>+C3</f>
        <v>2015. évi előirányzat</v>
      </c>
    </row>
    <row r="92" spans="1:3" s="435" customFormat="1" ht="12" customHeight="1" thickBot="1">
      <c r="A92" s="390" t="s">
        <v>492</v>
      </c>
      <c r="B92" s="391" t="s">
        <v>493</v>
      </c>
      <c r="C92" s="392" t="s">
        <v>494</v>
      </c>
    </row>
    <row r="93" spans="1:3" ht="14.25" customHeight="1" thickBot="1">
      <c r="A93" s="491" t="s">
        <v>17</v>
      </c>
      <c r="B93" s="393" t="s">
        <v>565</v>
      </c>
      <c r="C93" s="452">
        <f>C94+C95+C96+C97+C98+C111</f>
        <v>81055</v>
      </c>
    </row>
    <row r="94" spans="1:3" ht="14.25" customHeight="1">
      <c r="A94" s="492" t="s">
        <v>94</v>
      </c>
      <c r="B94" s="453" t="s">
        <v>48</v>
      </c>
      <c r="C94" s="454">
        <f>'9.3'!C94+'10.3'!C47+'11.3'!C46+'12.3'!C46+'13.3'!C46+'14.3'!C46</f>
        <v>45214</v>
      </c>
    </row>
    <row r="95" spans="1:3" ht="14.25" customHeight="1">
      <c r="A95" s="483" t="s">
        <v>95</v>
      </c>
      <c r="B95" s="455" t="s">
        <v>180</v>
      </c>
      <c r="C95" s="457">
        <f>'9.3'!C95+'10.3'!C48+'11.3'!C47+'12.3'!C47+'13.3'!C47+'14.3'!C47</f>
        <v>13888</v>
      </c>
    </row>
    <row r="96" spans="1:3" ht="14.25" customHeight="1">
      <c r="A96" s="483" t="s">
        <v>96</v>
      </c>
      <c r="B96" s="455" t="s">
        <v>137</v>
      </c>
      <c r="C96" s="457">
        <f>'9.3'!C96+'10.3'!C49+'11.3'!C48+'12.3'!C48+'13.3'!C48+'14.3'!C48</f>
        <v>21885</v>
      </c>
    </row>
    <row r="97" spans="1:3" ht="14.25" customHeight="1">
      <c r="A97" s="483" t="s">
        <v>97</v>
      </c>
      <c r="B97" s="458" t="s">
        <v>181</v>
      </c>
      <c r="C97" s="457">
        <f>'9.3'!C97+'10.3'!C50+'11.3'!C49+'12.3'!C49+'13.3'!C49+'14.3'!C49</f>
        <v>0</v>
      </c>
    </row>
    <row r="98" spans="1:3" ht="14.25" customHeight="1">
      <c r="A98" s="483" t="s">
        <v>108</v>
      </c>
      <c r="B98" s="459" t="s">
        <v>182</v>
      </c>
      <c r="C98" s="457">
        <f>'9.3'!C98+'10.3'!C51+'11.3'!C50+'12.3'!C50+'13.3'!C50+'14.3'!C50</f>
        <v>68</v>
      </c>
    </row>
    <row r="99" spans="1:3" ht="14.25" customHeight="1">
      <c r="A99" s="483" t="s">
        <v>98</v>
      </c>
      <c r="B99" s="455" t="s">
        <v>442</v>
      </c>
      <c r="C99" s="457">
        <f>'9.3'!C99</f>
        <v>0</v>
      </c>
    </row>
    <row r="100" spans="1:3" ht="14.25" customHeight="1">
      <c r="A100" s="483" t="s">
        <v>99</v>
      </c>
      <c r="B100" s="460" t="s">
        <v>441</v>
      </c>
      <c r="C100" s="457">
        <f>'9.3'!C100</f>
        <v>0</v>
      </c>
    </row>
    <row r="101" spans="1:3" ht="14.25" customHeight="1">
      <c r="A101" s="483" t="s">
        <v>109</v>
      </c>
      <c r="B101" s="460" t="s">
        <v>440</v>
      </c>
      <c r="C101" s="457">
        <f>'9.3'!C101</f>
        <v>0</v>
      </c>
    </row>
    <row r="102" spans="1:3" ht="14.25" customHeight="1">
      <c r="A102" s="483" t="s">
        <v>110</v>
      </c>
      <c r="B102" s="461" t="s">
        <v>353</v>
      </c>
      <c r="C102" s="457">
        <f>'9.3'!C102</f>
        <v>0</v>
      </c>
    </row>
    <row r="103" spans="1:3" ht="14.25" customHeight="1">
      <c r="A103" s="483" t="s">
        <v>111</v>
      </c>
      <c r="B103" s="455" t="s">
        <v>354</v>
      </c>
      <c r="C103" s="457">
        <f>'9.3'!C103</f>
        <v>0</v>
      </c>
    </row>
    <row r="104" spans="1:3" ht="14.25" customHeight="1">
      <c r="A104" s="483" t="s">
        <v>112</v>
      </c>
      <c r="B104" s="455" t="s">
        <v>355</v>
      </c>
      <c r="C104" s="457">
        <f>'9.3'!C104</f>
        <v>0</v>
      </c>
    </row>
    <row r="105" spans="1:3" ht="14.25" customHeight="1">
      <c r="A105" s="483" t="s">
        <v>114</v>
      </c>
      <c r="B105" s="461" t="s">
        <v>356</v>
      </c>
      <c r="C105" s="457">
        <f>'9.3'!C105</f>
        <v>0</v>
      </c>
    </row>
    <row r="106" spans="1:3" ht="14.25" customHeight="1">
      <c r="A106" s="483" t="s">
        <v>183</v>
      </c>
      <c r="B106" s="461" t="s">
        <v>357</v>
      </c>
      <c r="C106" s="457">
        <f>'9.3'!C106</f>
        <v>0</v>
      </c>
    </row>
    <row r="107" spans="1:3" ht="14.25" customHeight="1">
      <c r="A107" s="483" t="s">
        <v>351</v>
      </c>
      <c r="B107" s="455" t="s">
        <v>358</v>
      </c>
      <c r="C107" s="457">
        <f>'9.3'!C107</f>
        <v>0</v>
      </c>
    </row>
    <row r="108" spans="1:3" ht="14.25" customHeight="1">
      <c r="A108" s="493" t="s">
        <v>352</v>
      </c>
      <c r="B108" s="460" t="s">
        <v>359</v>
      </c>
      <c r="C108" s="457">
        <f>'9.3'!C108</f>
        <v>0</v>
      </c>
    </row>
    <row r="109" spans="1:3" ht="14.25" customHeight="1">
      <c r="A109" s="483" t="s">
        <v>438</v>
      </c>
      <c r="B109" s="460" t="s">
        <v>360</v>
      </c>
      <c r="C109" s="457">
        <f>'9.3'!C109</f>
        <v>0</v>
      </c>
    </row>
    <row r="110" spans="1:3" ht="14.25" customHeight="1">
      <c r="A110" s="484" t="s">
        <v>439</v>
      </c>
      <c r="B110" s="460" t="s">
        <v>361</v>
      </c>
      <c r="C110" s="457">
        <f>'9.3'!C110+'10.3'!C51</f>
        <v>68</v>
      </c>
    </row>
    <row r="111" spans="1:3" ht="14.25" customHeight="1">
      <c r="A111" s="483" t="s">
        <v>443</v>
      </c>
      <c r="B111" s="458" t="s">
        <v>49</v>
      </c>
      <c r="C111" s="456">
        <f>'9.3'!C111</f>
        <v>0</v>
      </c>
    </row>
    <row r="112" spans="1:3" ht="14.25" customHeight="1">
      <c r="A112" s="483" t="s">
        <v>444</v>
      </c>
      <c r="B112" s="455" t="s">
        <v>446</v>
      </c>
      <c r="C112" s="456">
        <f>'9.3'!C112</f>
        <v>0</v>
      </c>
    </row>
    <row r="113" spans="1:3" ht="14.25" customHeight="1" thickBot="1">
      <c r="A113" s="494" t="s">
        <v>445</v>
      </c>
      <c r="B113" s="462" t="s">
        <v>447</v>
      </c>
      <c r="C113" s="463">
        <f>'9.3'!C113</f>
        <v>0</v>
      </c>
    </row>
    <row r="114" spans="1:3" ht="14.25" customHeight="1" thickBot="1">
      <c r="A114" s="495" t="s">
        <v>18</v>
      </c>
      <c r="B114" s="396" t="s">
        <v>566</v>
      </c>
      <c r="C114" s="464">
        <f>+C115+C117+C119</f>
        <v>3679</v>
      </c>
    </row>
    <row r="115" spans="1:3" ht="14.25" customHeight="1">
      <c r="A115" s="482" t="s">
        <v>100</v>
      </c>
      <c r="B115" s="455" t="s">
        <v>228</v>
      </c>
      <c r="C115" s="465">
        <f>'9.3'!C115+'10.3'!C53+'11.3'!C52+'12.3'!C52+'13.3'!C52+'14.3'!C52</f>
        <v>3679</v>
      </c>
    </row>
    <row r="116" spans="1:3" ht="14.25" customHeight="1">
      <c r="A116" s="482" t="s">
        <v>101</v>
      </c>
      <c r="B116" s="460" t="s">
        <v>365</v>
      </c>
      <c r="C116" s="465">
        <f>'9.3'!C116</f>
        <v>0</v>
      </c>
    </row>
    <row r="117" spans="1:3" ht="14.25" customHeight="1">
      <c r="A117" s="482" t="s">
        <v>102</v>
      </c>
      <c r="B117" s="460" t="s">
        <v>184</v>
      </c>
      <c r="C117" s="456">
        <f>'9.3'!C117+'10.3'!C54+'11.3'!C53+'12.3'!C53+'13.3'!C53+'14.3'!C53</f>
        <v>0</v>
      </c>
    </row>
    <row r="118" spans="1:3" ht="14.25" customHeight="1">
      <c r="A118" s="482" t="s">
        <v>103</v>
      </c>
      <c r="B118" s="460" t="s">
        <v>366</v>
      </c>
      <c r="C118" s="466">
        <f>'9.3'!C118</f>
        <v>0</v>
      </c>
    </row>
    <row r="119" spans="1:3" ht="14.25" customHeight="1">
      <c r="A119" s="482" t="s">
        <v>104</v>
      </c>
      <c r="B119" s="442" t="s">
        <v>231</v>
      </c>
      <c r="C119" s="466">
        <f>'9.3'!C119+'10.3'!C55+'11.3'!C54+'12.3'!C54+'13.3'!C54+'14.3'!C54</f>
        <v>0</v>
      </c>
    </row>
    <row r="120" spans="1:3" ht="14.25" customHeight="1">
      <c r="A120" s="482" t="s">
        <v>113</v>
      </c>
      <c r="B120" s="441" t="s">
        <v>430</v>
      </c>
      <c r="C120" s="466">
        <f>'9.3'!C120</f>
        <v>0</v>
      </c>
    </row>
    <row r="121" spans="1:3" ht="14.25" customHeight="1">
      <c r="A121" s="482" t="s">
        <v>115</v>
      </c>
      <c r="B121" s="467" t="s">
        <v>371</v>
      </c>
      <c r="C121" s="466">
        <f>'9.3'!C121</f>
        <v>0</v>
      </c>
    </row>
    <row r="122" spans="1:3" ht="14.25" customHeight="1">
      <c r="A122" s="482" t="s">
        <v>185</v>
      </c>
      <c r="B122" s="455" t="s">
        <v>355</v>
      </c>
      <c r="C122" s="466">
        <f>'9.3'!C122</f>
        <v>0</v>
      </c>
    </row>
    <row r="123" spans="1:3" ht="14.25" customHeight="1">
      <c r="A123" s="482" t="s">
        <v>186</v>
      </c>
      <c r="B123" s="455" t="s">
        <v>370</v>
      </c>
      <c r="C123" s="466">
        <f>'9.3'!C123</f>
        <v>0</v>
      </c>
    </row>
    <row r="124" spans="1:3" ht="14.25" customHeight="1">
      <c r="A124" s="482" t="s">
        <v>187</v>
      </c>
      <c r="B124" s="455" t="s">
        <v>369</v>
      </c>
      <c r="C124" s="466">
        <f>'9.3'!C124</f>
        <v>0</v>
      </c>
    </row>
    <row r="125" spans="1:3" ht="14.25" customHeight="1">
      <c r="A125" s="482" t="s">
        <v>362</v>
      </c>
      <c r="B125" s="455" t="s">
        <v>358</v>
      </c>
      <c r="C125" s="466">
        <f>'9.3'!C125</f>
        <v>0</v>
      </c>
    </row>
    <row r="126" spans="1:3" ht="14.25" customHeight="1">
      <c r="A126" s="482" t="s">
        <v>363</v>
      </c>
      <c r="B126" s="455" t="s">
        <v>368</v>
      </c>
      <c r="C126" s="466">
        <f>'9.3'!C126</f>
        <v>0</v>
      </c>
    </row>
    <row r="127" spans="1:3" ht="14.25" customHeight="1" thickBot="1">
      <c r="A127" s="493" t="s">
        <v>364</v>
      </c>
      <c r="B127" s="455" t="s">
        <v>367</v>
      </c>
      <c r="C127" s="466">
        <f>'9.3'!C127</f>
        <v>0</v>
      </c>
    </row>
    <row r="128" spans="1:3" ht="14.25" customHeight="1" thickBot="1">
      <c r="A128" s="390" t="s">
        <v>19</v>
      </c>
      <c r="B128" s="468" t="s">
        <v>448</v>
      </c>
      <c r="C128" s="469">
        <f>+C93+C114</f>
        <v>84734</v>
      </c>
    </row>
    <row r="129" spans="1:3" ht="14.25" customHeight="1" thickBot="1">
      <c r="A129" s="390" t="s">
        <v>20</v>
      </c>
      <c r="B129" s="468" t="s">
        <v>449</v>
      </c>
      <c r="C129" s="469">
        <f>+C130+C131+C132</f>
        <v>0</v>
      </c>
    </row>
    <row r="130" spans="1:3" ht="14.25" customHeight="1">
      <c r="A130" s="482" t="s">
        <v>269</v>
      </c>
      <c r="B130" s="460" t="s">
        <v>456</v>
      </c>
      <c r="C130" s="466"/>
    </row>
    <row r="131" spans="1:3" ht="14.25" customHeight="1">
      <c r="A131" s="482" t="s">
        <v>270</v>
      </c>
      <c r="B131" s="460" t="s">
        <v>457</v>
      </c>
      <c r="C131" s="466"/>
    </row>
    <row r="132" spans="1:3" ht="14.25" customHeight="1" thickBot="1">
      <c r="A132" s="493" t="s">
        <v>271</v>
      </c>
      <c r="B132" s="460" t="s">
        <v>458</v>
      </c>
      <c r="C132" s="466"/>
    </row>
    <row r="133" spans="1:3" ht="14.25" customHeight="1" thickBot="1">
      <c r="A133" s="390" t="s">
        <v>21</v>
      </c>
      <c r="B133" s="468" t="s">
        <v>450</v>
      </c>
      <c r="C133" s="469">
        <f>SUM(C134:C139)</f>
        <v>0</v>
      </c>
    </row>
    <row r="134" spans="1:3" ht="14.25" customHeight="1">
      <c r="A134" s="482" t="s">
        <v>87</v>
      </c>
      <c r="B134" s="467" t="s">
        <v>459</v>
      </c>
      <c r="C134" s="466"/>
    </row>
    <row r="135" spans="1:3" ht="14.25" customHeight="1">
      <c r="A135" s="482" t="s">
        <v>88</v>
      </c>
      <c r="B135" s="467" t="s">
        <v>451</v>
      </c>
      <c r="C135" s="466"/>
    </row>
    <row r="136" spans="1:3" ht="14.25" customHeight="1">
      <c r="A136" s="482" t="s">
        <v>89</v>
      </c>
      <c r="B136" s="467" t="s">
        <v>452</v>
      </c>
      <c r="C136" s="466"/>
    </row>
    <row r="137" spans="1:3" ht="14.25" customHeight="1">
      <c r="A137" s="482" t="s">
        <v>172</v>
      </c>
      <c r="B137" s="467" t="s">
        <v>453</v>
      </c>
      <c r="C137" s="466"/>
    </row>
    <row r="138" spans="1:3" ht="14.25" customHeight="1">
      <c r="A138" s="482" t="s">
        <v>173</v>
      </c>
      <c r="B138" s="467" t="s">
        <v>454</v>
      </c>
      <c r="C138" s="466"/>
    </row>
    <row r="139" spans="1:3" ht="14.25" customHeight="1" thickBot="1">
      <c r="A139" s="493" t="s">
        <v>174</v>
      </c>
      <c r="B139" s="467" t="s">
        <v>455</v>
      </c>
      <c r="C139" s="466"/>
    </row>
    <row r="140" spans="1:3" ht="14.25" customHeight="1" thickBot="1">
      <c r="A140" s="390" t="s">
        <v>22</v>
      </c>
      <c r="B140" s="468" t="s">
        <v>463</v>
      </c>
      <c r="C140" s="470">
        <f>+C141+C142+C143+C144</f>
        <v>0</v>
      </c>
    </row>
    <row r="141" spans="1:3" ht="14.25" customHeight="1">
      <c r="A141" s="482" t="s">
        <v>90</v>
      </c>
      <c r="B141" s="467" t="s">
        <v>372</v>
      </c>
      <c r="C141" s="466"/>
    </row>
    <row r="142" spans="1:3" ht="14.25" customHeight="1">
      <c r="A142" s="482" t="s">
        <v>91</v>
      </c>
      <c r="B142" s="467" t="s">
        <v>373</v>
      </c>
      <c r="C142" s="466"/>
    </row>
    <row r="143" spans="1:3" ht="14.25" customHeight="1">
      <c r="A143" s="482" t="s">
        <v>287</v>
      </c>
      <c r="B143" s="467" t="s">
        <v>464</v>
      </c>
      <c r="C143" s="466"/>
    </row>
    <row r="144" spans="1:3" ht="14.25" customHeight="1" thickBot="1">
      <c r="A144" s="493" t="s">
        <v>288</v>
      </c>
      <c r="B144" s="471" t="s">
        <v>392</v>
      </c>
      <c r="C144" s="466"/>
    </row>
    <row r="145" spans="1:3" ht="14.25" customHeight="1" thickBot="1">
      <c r="A145" s="390" t="s">
        <v>23</v>
      </c>
      <c r="B145" s="468" t="s">
        <v>465</v>
      </c>
      <c r="C145" s="472">
        <f>SUM(C146:C150)</f>
        <v>0</v>
      </c>
    </row>
    <row r="146" spans="1:3" ht="14.25" customHeight="1">
      <c r="A146" s="482" t="s">
        <v>92</v>
      </c>
      <c r="B146" s="467" t="s">
        <v>460</v>
      </c>
      <c r="C146" s="466"/>
    </row>
    <row r="147" spans="1:3" ht="14.25" customHeight="1">
      <c r="A147" s="482" t="s">
        <v>93</v>
      </c>
      <c r="B147" s="467" t="s">
        <v>467</v>
      </c>
      <c r="C147" s="466"/>
    </row>
    <row r="148" spans="1:3" ht="14.25" customHeight="1">
      <c r="A148" s="482" t="s">
        <v>299</v>
      </c>
      <c r="B148" s="467" t="s">
        <v>462</v>
      </c>
      <c r="C148" s="466"/>
    </row>
    <row r="149" spans="1:3" ht="14.25" customHeight="1">
      <c r="A149" s="482" t="s">
        <v>300</v>
      </c>
      <c r="B149" s="467" t="s">
        <v>468</v>
      </c>
      <c r="C149" s="466"/>
    </row>
    <row r="150" spans="1:3" ht="14.25" customHeight="1" thickBot="1">
      <c r="A150" s="482" t="s">
        <v>466</v>
      </c>
      <c r="B150" s="467" t="s">
        <v>469</v>
      </c>
      <c r="C150" s="466"/>
    </row>
    <row r="151" spans="1:3" ht="14.25" customHeight="1" thickBot="1">
      <c r="A151" s="390" t="s">
        <v>24</v>
      </c>
      <c r="B151" s="468" t="s">
        <v>470</v>
      </c>
      <c r="C151" s="473">
        <f>'9.3'!C152</f>
        <v>0</v>
      </c>
    </row>
    <row r="152" spans="1:3" ht="14.25" customHeight="1" thickBot="1">
      <c r="A152" s="390" t="s">
        <v>25</v>
      </c>
      <c r="B152" s="468" t="s">
        <v>471</v>
      </c>
      <c r="C152" s="473">
        <f>'9.3'!C153</f>
        <v>0</v>
      </c>
    </row>
    <row r="153" spans="1:9" ht="15" customHeight="1" thickBot="1">
      <c r="A153" s="390" t="s">
        <v>26</v>
      </c>
      <c r="B153" s="468" t="s">
        <v>473</v>
      </c>
      <c r="C153" s="474">
        <f>+C129+C133+C140+C145+C151+C152</f>
        <v>0</v>
      </c>
      <c r="F153" s="475"/>
      <c r="G153" s="476"/>
      <c r="H153" s="476"/>
      <c r="I153" s="476"/>
    </row>
    <row r="154" spans="1:3" s="438" customFormat="1" ht="12.75" customHeight="1" thickBot="1">
      <c r="A154" s="490" t="s">
        <v>27</v>
      </c>
      <c r="B154" s="477" t="s">
        <v>472</v>
      </c>
      <c r="C154" s="474">
        <f>+C128+C153</f>
        <v>84734</v>
      </c>
    </row>
    <row r="155" ht="7.5" customHeight="1"/>
    <row r="156" spans="1:3" ht="15.75">
      <c r="A156" s="1433" t="s">
        <v>374</v>
      </c>
      <c r="B156" s="1433"/>
      <c r="C156" s="1433"/>
    </row>
    <row r="157" spans="1:3" ht="15" customHeight="1" thickBot="1">
      <c r="A157" s="1432" t="s">
        <v>151</v>
      </c>
      <c r="B157" s="1432"/>
      <c r="C157" s="383" t="s">
        <v>229</v>
      </c>
    </row>
    <row r="158" spans="1:4" ht="13.5" customHeight="1" thickBot="1">
      <c r="A158" s="384">
        <v>1</v>
      </c>
      <c r="B158" s="400" t="s">
        <v>474</v>
      </c>
      <c r="C158" s="470">
        <f>+C62-C128</f>
        <v>-82234</v>
      </c>
      <c r="D158" s="480"/>
    </row>
    <row r="159" spans="1:3" ht="27.75" customHeight="1" thickBot="1">
      <c r="A159" s="384" t="s">
        <v>18</v>
      </c>
      <c r="B159" s="400" t="s">
        <v>1209</v>
      </c>
      <c r="C159" s="470">
        <f>+C86-C153</f>
        <v>0</v>
      </c>
    </row>
  </sheetData>
  <sheetProtection/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3937007874015748" right="0.3937007874015748" top="1.4566929133858268" bottom="0.6692913385826772" header="0.7874015748031497" footer="0.5905511811023623"/>
  <pageSetup fitToHeight="2" horizontalDpi="600" verticalDpi="600" orientation="portrait" paperSize="9" scale="86" r:id="rId1"/>
  <headerFooter alignWithMargins="0">
    <oddHeader>&amp;C&amp;"Times New Roman CE,Félkövér"&amp;12
Siófok Város Önkormányzat
2015. ÉVI KÖLTSÉGVETÉS ÁLLAMI (ÁLLAMIGAZGATÁSI) FELADATOK MÉRLEGE&amp;10
&amp;R&amp;"Times New Roman CE,Félkövér dőlt"&amp;11 4.3. számú melléklet</oddHeader>
  </headerFooter>
  <rowBreaks count="3" manualBreakCount="3">
    <brk id="51" max="2" man="1"/>
    <brk id="88" max="2" man="1"/>
    <brk id="12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375" defaultRowHeight="12.75"/>
  <cols>
    <col min="1" max="1" width="6.875" style="40" customWidth="1"/>
    <col min="2" max="2" width="55.125" style="173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261" t="s">
        <v>155</v>
      </c>
      <c r="C1" s="262"/>
      <c r="D1" s="262"/>
      <c r="E1" s="262"/>
      <c r="F1" s="1436"/>
    </row>
    <row r="2" spans="5:6" ht="14.25" thickBot="1">
      <c r="E2" s="263" t="s">
        <v>61</v>
      </c>
      <c r="F2" s="1436"/>
    </row>
    <row r="3" spans="1:6" ht="18" customHeight="1" thickBot="1">
      <c r="A3" s="1434" t="s">
        <v>65</v>
      </c>
      <c r="B3" s="501" t="s">
        <v>56</v>
      </c>
      <c r="C3" s="502"/>
      <c r="D3" s="501" t="s">
        <v>57</v>
      </c>
      <c r="E3" s="503"/>
      <c r="F3" s="1436"/>
    </row>
    <row r="4" spans="1:6" s="264" customFormat="1" ht="35.25" customHeight="1" thickBot="1">
      <c r="A4" s="1435"/>
      <c r="B4" s="504" t="s">
        <v>62</v>
      </c>
      <c r="C4" s="505" t="str">
        <f>+4!C3</f>
        <v>2015. évi előirányzat</v>
      </c>
      <c r="D4" s="504" t="s">
        <v>62</v>
      </c>
      <c r="E4" s="506" t="str">
        <f>+C4</f>
        <v>2015. évi előirányzat</v>
      </c>
      <c r="F4" s="1436"/>
    </row>
    <row r="5" spans="1:6" s="265" customFormat="1" ht="12" customHeight="1" thickBot="1">
      <c r="A5" s="507" t="s">
        <v>492</v>
      </c>
      <c r="B5" s="504" t="s">
        <v>493</v>
      </c>
      <c r="C5" s="505" t="s">
        <v>494</v>
      </c>
      <c r="D5" s="504" t="s">
        <v>496</v>
      </c>
      <c r="E5" s="506" t="s">
        <v>495</v>
      </c>
      <c r="F5" s="1436"/>
    </row>
    <row r="6" spans="1:6" ht="12.75" customHeight="1">
      <c r="A6" s="508" t="s">
        <v>17</v>
      </c>
      <c r="B6" s="509" t="s">
        <v>375</v>
      </c>
      <c r="C6" s="510">
        <f>4!C5</f>
        <v>1464098</v>
      </c>
      <c r="D6" s="509" t="s">
        <v>63</v>
      </c>
      <c r="E6" s="511">
        <f>4!C94</f>
        <v>1402322</v>
      </c>
      <c r="F6" s="1436"/>
    </row>
    <row r="7" spans="1:6" ht="12.75" customHeight="1">
      <c r="A7" s="512" t="s">
        <v>18</v>
      </c>
      <c r="B7" s="513" t="s">
        <v>376</v>
      </c>
      <c r="C7" s="514">
        <f>4!C12</f>
        <v>242022</v>
      </c>
      <c r="D7" s="513" t="s">
        <v>180</v>
      </c>
      <c r="E7" s="511">
        <f>4!C95</f>
        <v>412903</v>
      </c>
      <c r="F7" s="1436"/>
    </row>
    <row r="8" spans="1:6" ht="12.75" customHeight="1">
      <c r="A8" s="512" t="s">
        <v>19</v>
      </c>
      <c r="B8" s="513" t="s">
        <v>397</v>
      </c>
      <c r="C8" s="514">
        <f>4!C18</f>
        <v>3937</v>
      </c>
      <c r="D8" s="513" t="s">
        <v>233</v>
      </c>
      <c r="E8" s="511">
        <f>4!C96</f>
        <v>3489103</v>
      </c>
      <c r="F8" s="1436"/>
    </row>
    <row r="9" spans="1:6" ht="12.75" customHeight="1">
      <c r="A9" s="512" t="s">
        <v>20</v>
      </c>
      <c r="B9" s="513" t="s">
        <v>171</v>
      </c>
      <c r="C9" s="514">
        <f>4!C26</f>
        <v>3063700</v>
      </c>
      <c r="D9" s="513" t="s">
        <v>181</v>
      </c>
      <c r="E9" s="511">
        <f>4!C97</f>
        <v>54775</v>
      </c>
      <c r="F9" s="1436"/>
    </row>
    <row r="10" spans="1:6" ht="12.75" customHeight="1">
      <c r="A10" s="512" t="s">
        <v>21</v>
      </c>
      <c r="B10" s="515" t="s">
        <v>423</v>
      </c>
      <c r="C10" s="514">
        <f>4!C34</f>
        <v>2401452.91</v>
      </c>
      <c r="D10" s="513" t="s">
        <v>182</v>
      </c>
      <c r="E10" s="511">
        <f>4!C98</f>
        <v>524581</v>
      </c>
      <c r="F10" s="1436"/>
    </row>
    <row r="11" spans="1:6" ht="12.75" customHeight="1">
      <c r="A11" s="512" t="s">
        <v>22</v>
      </c>
      <c r="B11" s="513" t="s">
        <v>377</v>
      </c>
      <c r="C11" s="516">
        <f>4!C52</f>
        <v>194830</v>
      </c>
      <c r="D11" s="513" t="s">
        <v>49</v>
      </c>
      <c r="E11" s="517">
        <f>4!C111</f>
        <v>308306</v>
      </c>
      <c r="F11" s="1436"/>
    </row>
    <row r="12" spans="1:6" ht="12.75" customHeight="1">
      <c r="A12" s="512" t="s">
        <v>23</v>
      </c>
      <c r="B12" s="513" t="s">
        <v>480</v>
      </c>
      <c r="C12" s="514">
        <f>4!C56</f>
        <v>0</v>
      </c>
      <c r="D12" s="518"/>
      <c r="E12" s="517"/>
      <c r="F12" s="1436"/>
    </row>
    <row r="13" spans="1:6" ht="12.75" customHeight="1">
      <c r="A13" s="512" t="s">
        <v>24</v>
      </c>
      <c r="B13" s="518"/>
      <c r="C13" s="514"/>
      <c r="D13" s="518"/>
      <c r="E13" s="517"/>
      <c r="F13" s="1436"/>
    </row>
    <row r="14" spans="1:6" ht="12.75" customHeight="1">
      <c r="A14" s="512" t="s">
        <v>25</v>
      </c>
      <c r="B14" s="519"/>
      <c r="C14" s="516"/>
      <c r="D14" s="518"/>
      <c r="E14" s="517"/>
      <c r="F14" s="1436"/>
    </row>
    <row r="15" spans="1:6" ht="12.75" customHeight="1">
      <c r="A15" s="512" t="s">
        <v>26</v>
      </c>
      <c r="B15" s="518"/>
      <c r="C15" s="514"/>
      <c r="D15" s="518"/>
      <c r="E15" s="517"/>
      <c r="F15" s="1436"/>
    </row>
    <row r="16" spans="1:6" ht="12.75" customHeight="1">
      <c r="A16" s="512" t="s">
        <v>27</v>
      </c>
      <c r="B16" s="518"/>
      <c r="C16" s="514"/>
      <c r="D16" s="518"/>
      <c r="E16" s="517"/>
      <c r="F16" s="1436"/>
    </row>
    <row r="17" spans="1:6" ht="12.75" customHeight="1" thickBot="1">
      <c r="A17" s="512" t="s">
        <v>28</v>
      </c>
      <c r="B17" s="520"/>
      <c r="C17" s="521"/>
      <c r="D17" s="518"/>
      <c r="E17" s="522"/>
      <c r="F17" s="1436"/>
    </row>
    <row r="18" spans="1:6" ht="26.25" thickBot="1">
      <c r="A18" s="266" t="s">
        <v>29</v>
      </c>
      <c r="B18" s="267" t="s">
        <v>481</v>
      </c>
      <c r="C18" s="523">
        <f>C6+C7+C9+C10+C11</f>
        <v>7366102.91</v>
      </c>
      <c r="D18" s="267" t="s">
        <v>383</v>
      </c>
      <c r="E18" s="524">
        <f>SUM(E6:E17)</f>
        <v>6191990</v>
      </c>
      <c r="F18" s="1436"/>
    </row>
    <row r="19" spans="1:6" ht="12.75" customHeight="1">
      <c r="A19" s="525" t="s">
        <v>30</v>
      </c>
      <c r="B19" s="526" t="s">
        <v>380</v>
      </c>
      <c r="C19" s="527">
        <f>+C20+C21+C22+C23</f>
        <v>1214671</v>
      </c>
      <c r="D19" s="513" t="s">
        <v>188</v>
      </c>
      <c r="E19" s="528"/>
      <c r="F19" s="1436"/>
    </row>
    <row r="20" spans="1:6" ht="12.75" customHeight="1">
      <c r="A20" s="512" t="s">
        <v>31</v>
      </c>
      <c r="B20" s="513" t="s">
        <v>226</v>
      </c>
      <c r="C20" s="514">
        <f>4!C73</f>
        <v>464671</v>
      </c>
      <c r="D20" s="513" t="s">
        <v>382</v>
      </c>
      <c r="E20" s="517"/>
      <c r="F20" s="1436"/>
    </row>
    <row r="21" spans="1:6" ht="12.75" customHeight="1">
      <c r="A21" s="512" t="s">
        <v>32</v>
      </c>
      <c r="B21" s="513" t="s">
        <v>227</v>
      </c>
      <c r="C21" s="514"/>
      <c r="D21" s="513" t="s">
        <v>153</v>
      </c>
      <c r="E21" s="517"/>
      <c r="F21" s="1436"/>
    </row>
    <row r="22" spans="1:6" ht="12.75" customHeight="1">
      <c r="A22" s="512" t="s">
        <v>33</v>
      </c>
      <c r="B22" s="1382" t="s">
        <v>1210</v>
      </c>
      <c r="C22" s="514">
        <f>4!C78</f>
        <v>750000</v>
      </c>
      <c r="D22" s="513" t="s">
        <v>154</v>
      </c>
      <c r="E22" s="517"/>
      <c r="F22" s="1436"/>
    </row>
    <row r="23" spans="1:6" ht="12.75" customHeight="1">
      <c r="A23" s="512" t="s">
        <v>34</v>
      </c>
      <c r="B23" s="513" t="s">
        <v>232</v>
      </c>
      <c r="C23" s="514"/>
      <c r="D23" s="1393" t="s">
        <v>1229</v>
      </c>
      <c r="E23" s="517">
        <f>4!C142</f>
        <v>53557</v>
      </c>
      <c r="F23" s="1436"/>
    </row>
    <row r="24" spans="1:6" ht="12.75" customHeight="1">
      <c r="A24" s="512" t="s">
        <v>35</v>
      </c>
      <c r="B24" s="513" t="s">
        <v>381</v>
      </c>
      <c r="C24" s="529">
        <f>+C25+C26</f>
        <v>0</v>
      </c>
      <c r="D24" s="513" t="s">
        <v>189</v>
      </c>
      <c r="E24" s="517"/>
      <c r="F24" s="1436"/>
    </row>
    <row r="25" spans="1:6" ht="12.75" customHeight="1">
      <c r="A25" s="525" t="s">
        <v>36</v>
      </c>
      <c r="B25" s="526" t="s">
        <v>378</v>
      </c>
      <c r="C25" s="530"/>
      <c r="D25" s="509" t="s">
        <v>464</v>
      </c>
      <c r="E25" s="528">
        <f>4!C143</f>
        <v>750000</v>
      </c>
      <c r="F25" s="1436"/>
    </row>
    <row r="26" spans="1:6" ht="12.75" customHeight="1">
      <c r="A26" s="512" t="s">
        <v>37</v>
      </c>
      <c r="B26" s="513" t="s">
        <v>379</v>
      </c>
      <c r="C26" s="514"/>
      <c r="D26" s="513" t="s">
        <v>470</v>
      </c>
      <c r="E26" s="517"/>
      <c r="F26" s="1436"/>
    </row>
    <row r="27" spans="1:6" ht="12.75" customHeight="1">
      <c r="A27" s="512" t="s">
        <v>38</v>
      </c>
      <c r="B27" s="1382" t="s">
        <v>475</v>
      </c>
      <c r="C27" s="514">
        <f>4!C84</f>
        <v>0</v>
      </c>
      <c r="D27" s="513" t="s">
        <v>471</v>
      </c>
      <c r="E27" s="517"/>
      <c r="F27" s="1436"/>
    </row>
    <row r="28" spans="1:6" ht="12.75" customHeight="1" thickBot="1">
      <c r="A28" s="525" t="s">
        <v>39</v>
      </c>
      <c r="B28" s="526" t="s">
        <v>337</v>
      </c>
      <c r="C28" s="530">
        <f>4!C85</f>
        <v>0</v>
      </c>
      <c r="D28" s="531"/>
      <c r="E28" s="528"/>
      <c r="F28" s="1436"/>
    </row>
    <row r="29" spans="1:6" ht="26.25" thickBot="1">
      <c r="A29" s="266" t="s">
        <v>40</v>
      </c>
      <c r="B29" s="267" t="s">
        <v>482</v>
      </c>
      <c r="C29" s="523">
        <f>+C19+C24+C27+C28</f>
        <v>1214671</v>
      </c>
      <c r="D29" s="267" t="s">
        <v>484</v>
      </c>
      <c r="E29" s="524">
        <f>SUM(E19:E28)</f>
        <v>803557</v>
      </c>
      <c r="F29" s="1436"/>
    </row>
    <row r="30" spans="1:6" ht="13.5" thickBot="1">
      <c r="A30" s="266" t="s">
        <v>41</v>
      </c>
      <c r="B30" s="267" t="s">
        <v>483</v>
      </c>
      <c r="C30" s="268">
        <f>+C18+C29</f>
        <v>8580773.91</v>
      </c>
      <c r="D30" s="267" t="s">
        <v>485</v>
      </c>
      <c r="E30" s="268">
        <f>+E18+E29</f>
        <v>6995547</v>
      </c>
      <c r="F30" s="1436"/>
    </row>
    <row r="31" spans="1:6" ht="13.5" thickBot="1">
      <c r="A31" s="266" t="s">
        <v>42</v>
      </c>
      <c r="B31" s="267" t="s">
        <v>166</v>
      </c>
      <c r="C31" s="268" t="str">
        <f>IF(C18-E18&lt;0,E18-C18,"-")</f>
        <v>-</v>
      </c>
      <c r="D31" s="267" t="s">
        <v>167</v>
      </c>
      <c r="E31" s="268">
        <f>IF(C18-E18&gt;0,C18-E18,"-")</f>
        <v>1174112.9100000001</v>
      </c>
      <c r="F31" s="1436"/>
    </row>
    <row r="32" spans="1:6" ht="13.5" thickBot="1">
      <c r="A32" s="266" t="s">
        <v>43</v>
      </c>
      <c r="B32" s="267" t="s">
        <v>235</v>
      </c>
      <c r="C32" s="268" t="str">
        <f>IF(C18+C29-E30&lt;0,E30-(C18+C29),"-")</f>
        <v>-</v>
      </c>
      <c r="D32" s="267" t="s">
        <v>236</v>
      </c>
      <c r="E32" s="268">
        <f>IF(C18+C29-E30&gt;0,C18+C29-E30,"-")</f>
        <v>1585226.9100000001</v>
      </c>
      <c r="F32" s="1436"/>
    </row>
    <row r="33" spans="2:4" ht="18.75">
      <c r="B33" s="1437"/>
      <c r="C33" s="1437"/>
      <c r="D33" s="143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9" r:id="rId1"/>
  <headerFooter alignWithMargins="0">
    <oddHeader>&amp;C&amp;"Times New Roman CE,Félkövér"&amp;12Siófok Város Önkormányzat&amp;R&amp;"Times New Roman CE,Félkövér dőlt"&amp;11 5.1. számú melléklet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kiss.aniko</cp:lastModifiedBy>
  <cp:lastPrinted>2015-06-23T09:56:29Z</cp:lastPrinted>
  <dcterms:created xsi:type="dcterms:W3CDTF">1999-10-30T10:30:45Z</dcterms:created>
  <dcterms:modified xsi:type="dcterms:W3CDTF">2015-06-23T10:07:37Z</dcterms:modified>
  <cp:category/>
  <cp:version/>
  <cp:contentType/>
  <cp:contentStatus/>
</cp:coreProperties>
</file>