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D:\doksik\1 képviselő testület\jegyzőkönyvek\2019\rendeletek\"/>
    </mc:Choice>
  </mc:AlternateContent>
  <xr:revisionPtr revIDLastSave="0" documentId="8_{07A2EC58-1632-4073-8447-62DA4DFA7EE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Költségvetés" sheetId="1" r:id="rId1"/>
    <sheet name="Teljesítés" sheetId="2" r:id="rId2"/>
    <sheet name="Óvoda" sheetId="4" r:id="rId3"/>
    <sheet name="Konyha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4" i="5" l="1"/>
  <c r="I25" i="5"/>
  <c r="E30" i="4"/>
  <c r="F63" i="1" l="1"/>
  <c r="E63" i="1"/>
  <c r="D63" i="1"/>
  <c r="G48" i="1"/>
  <c r="C16" i="2" l="1"/>
  <c r="F12" i="2"/>
  <c r="F8" i="2"/>
  <c r="F38" i="2"/>
  <c r="F34" i="2"/>
  <c r="F30" i="2"/>
  <c r="F24" i="2"/>
  <c r="F21" i="2"/>
  <c r="F10" i="2"/>
  <c r="D38" i="2"/>
  <c r="D41" i="2"/>
  <c r="E41" i="2"/>
  <c r="F41" i="2"/>
  <c r="G41" i="2"/>
  <c r="C41" i="2"/>
  <c r="D34" i="2"/>
  <c r="D30" i="2"/>
  <c r="D24" i="2"/>
  <c r="D21" i="2"/>
  <c r="D12" i="2"/>
  <c r="D10" i="2"/>
  <c r="D8" i="2"/>
  <c r="D11" i="2" l="1"/>
  <c r="D35" i="2"/>
  <c r="F35" i="2"/>
  <c r="F11" i="2"/>
  <c r="F18" i="2" s="1"/>
  <c r="F42" i="2" s="1"/>
  <c r="D18" i="2"/>
  <c r="D42" i="2" l="1"/>
  <c r="K12" i="4"/>
  <c r="O25" i="5" l="1"/>
  <c r="G13" i="2" s="1"/>
  <c r="M47" i="4"/>
  <c r="E33" i="2" s="1"/>
  <c r="G45" i="5"/>
  <c r="K20" i="5"/>
  <c r="K23" i="5" s="1"/>
  <c r="G20" i="5"/>
  <c r="I20" i="5"/>
  <c r="H41" i="5"/>
  <c r="I34" i="5"/>
  <c r="I41" i="5"/>
  <c r="I45" i="5"/>
  <c r="G43" i="4"/>
  <c r="M12" i="4"/>
  <c r="K54" i="4"/>
  <c r="M54" i="4" s="1"/>
  <c r="I57" i="4"/>
  <c r="K57" i="4"/>
  <c r="K38" i="4"/>
  <c r="M38" i="4" s="1"/>
  <c r="K35" i="4"/>
  <c r="M35" i="4" s="1"/>
  <c r="K26" i="4"/>
  <c r="J27" i="4"/>
  <c r="K27" i="4"/>
  <c r="G32" i="4"/>
  <c r="E27" i="4"/>
  <c r="I23" i="4"/>
  <c r="E23" i="4"/>
  <c r="E26" i="4" s="1"/>
  <c r="K13" i="4"/>
  <c r="K10" i="4"/>
  <c r="M10" i="4" s="1"/>
  <c r="G9" i="5"/>
  <c r="O9" i="5" s="1"/>
  <c r="H9" i="5"/>
  <c r="H10" i="5" s="1"/>
  <c r="H12" i="5" s="1"/>
  <c r="J10" i="5"/>
  <c r="J12" i="5" s="1"/>
  <c r="I8" i="5"/>
  <c r="K8" i="5"/>
  <c r="L8" i="5"/>
  <c r="M8" i="5"/>
  <c r="I21" i="5"/>
  <c r="I22" i="5" s="1"/>
  <c r="O39" i="5"/>
  <c r="G28" i="2" s="1"/>
  <c r="O36" i="5"/>
  <c r="G26" i="2" s="1"/>
  <c r="C26" i="2" s="1"/>
  <c r="G31" i="5"/>
  <c r="I10" i="5"/>
  <c r="I12" i="5" s="1"/>
  <c r="K10" i="5"/>
  <c r="K12" i="5" s="1"/>
  <c r="L10" i="5"/>
  <c r="L12" i="5" s="1"/>
  <c r="G8" i="5"/>
  <c r="G12" i="5"/>
  <c r="G13" i="5" s="1"/>
  <c r="M12" i="5"/>
  <c r="M13" i="5" s="1"/>
  <c r="E10" i="5"/>
  <c r="E12" i="5" s="1"/>
  <c r="E13" i="5" s="1"/>
  <c r="E45" i="5"/>
  <c r="E46" i="5" s="1"/>
  <c r="E47" i="5" s="1"/>
  <c r="G50" i="5"/>
  <c r="H50" i="5"/>
  <c r="I50" i="5"/>
  <c r="J50" i="5"/>
  <c r="K50" i="5"/>
  <c r="L50" i="5"/>
  <c r="M50" i="5"/>
  <c r="H45" i="5"/>
  <c r="J45" i="5"/>
  <c r="K45" i="5"/>
  <c r="M45" i="5"/>
  <c r="J41" i="5"/>
  <c r="K41" i="5"/>
  <c r="L41" i="5"/>
  <c r="M41" i="5"/>
  <c r="G34" i="5"/>
  <c r="H34" i="5"/>
  <c r="J34" i="5"/>
  <c r="L34" i="5"/>
  <c r="M34" i="5"/>
  <c r="I31" i="5"/>
  <c r="J31" i="5"/>
  <c r="K31" i="5"/>
  <c r="M31" i="5"/>
  <c r="M23" i="5"/>
  <c r="M29" i="5" s="1"/>
  <c r="I24" i="5"/>
  <c r="K24" i="5"/>
  <c r="L24" i="5"/>
  <c r="M24" i="5"/>
  <c r="J20" i="5"/>
  <c r="J23" i="5" s="1"/>
  <c r="L20" i="5"/>
  <c r="L23" i="5" s="1"/>
  <c r="L29" i="5" s="1"/>
  <c r="M20" i="5"/>
  <c r="F22" i="5"/>
  <c r="G22" i="5"/>
  <c r="H22" i="5"/>
  <c r="J22" i="5"/>
  <c r="K22" i="5"/>
  <c r="L22" i="5"/>
  <c r="M22" i="5"/>
  <c r="K43" i="4"/>
  <c r="I27" i="4"/>
  <c r="M18" i="4"/>
  <c r="E3" i="2" s="1"/>
  <c r="M46" i="4"/>
  <c r="G49" i="1"/>
  <c r="G38" i="2"/>
  <c r="O35" i="5"/>
  <c r="G25" i="2" s="1"/>
  <c r="N35" i="5"/>
  <c r="N33" i="5"/>
  <c r="N36" i="5"/>
  <c r="N37" i="5"/>
  <c r="N38" i="5"/>
  <c r="N39" i="5"/>
  <c r="N40" i="5"/>
  <c r="N21" i="5"/>
  <c r="O5" i="5"/>
  <c r="O6" i="5"/>
  <c r="O7" i="5"/>
  <c r="O8" i="5"/>
  <c r="O11" i="5"/>
  <c r="O16" i="5"/>
  <c r="O17" i="5"/>
  <c r="O19" i="5"/>
  <c r="O26" i="5"/>
  <c r="O27" i="5"/>
  <c r="G15" i="2" s="1"/>
  <c r="O28" i="5"/>
  <c r="G17" i="2" s="1"/>
  <c r="C17" i="2" s="1"/>
  <c r="O32" i="5"/>
  <c r="G22" i="2" s="1"/>
  <c r="O33" i="5"/>
  <c r="G23" i="2" s="1"/>
  <c r="O37" i="5"/>
  <c r="O38" i="5"/>
  <c r="G27" i="2" s="1"/>
  <c r="O40" i="5"/>
  <c r="G29" i="2" s="1"/>
  <c r="O42" i="5"/>
  <c r="G31" i="2" s="1"/>
  <c r="O43" i="5"/>
  <c r="G32" i="2" s="1"/>
  <c r="C32" i="2" s="1"/>
  <c r="O44" i="5"/>
  <c r="O48" i="5"/>
  <c r="O49" i="5"/>
  <c r="L52" i="4"/>
  <c r="M52" i="4"/>
  <c r="E36" i="2" s="1"/>
  <c r="L53" i="4"/>
  <c r="M53" i="4"/>
  <c r="E37" i="2" s="1"/>
  <c r="L54" i="4"/>
  <c r="M5" i="4"/>
  <c r="M6" i="4"/>
  <c r="M7" i="4"/>
  <c r="M8" i="4"/>
  <c r="M9" i="4"/>
  <c r="M19" i="4"/>
  <c r="E4" i="2" s="1"/>
  <c r="C4" i="2" s="1"/>
  <c r="M20" i="4"/>
  <c r="M21" i="4"/>
  <c r="M22" i="4"/>
  <c r="E7" i="2" s="1"/>
  <c r="C7" i="2" s="1"/>
  <c r="M24" i="4"/>
  <c r="M25" i="4"/>
  <c r="M29" i="4"/>
  <c r="E14" i="2" s="1"/>
  <c r="C14" i="2" s="1"/>
  <c r="M30" i="4"/>
  <c r="E15" i="2" s="1"/>
  <c r="M31" i="4"/>
  <c r="M33" i="4"/>
  <c r="E19" i="2" s="1"/>
  <c r="M34" i="4"/>
  <c r="E20" i="2" s="1"/>
  <c r="M36" i="4"/>
  <c r="E22" i="2" s="1"/>
  <c r="M37" i="4"/>
  <c r="E23" i="2" s="1"/>
  <c r="M39" i="4"/>
  <c r="E25" i="2" s="1"/>
  <c r="M40" i="4"/>
  <c r="E27" i="2" s="1"/>
  <c r="M41" i="4"/>
  <c r="E28" i="2" s="1"/>
  <c r="M42" i="4"/>
  <c r="M44" i="4"/>
  <c r="M45" i="4"/>
  <c r="M48" i="4"/>
  <c r="M55" i="4"/>
  <c r="M56" i="4"/>
  <c r="L5" i="4"/>
  <c r="F50" i="5"/>
  <c r="N49" i="5"/>
  <c r="N48" i="5"/>
  <c r="F45" i="5"/>
  <c r="D45" i="5"/>
  <c r="D46" i="5" s="1"/>
  <c r="N44" i="5"/>
  <c r="N43" i="5"/>
  <c r="F41" i="5"/>
  <c r="F34" i="5"/>
  <c r="N32" i="5"/>
  <c r="L30" i="5"/>
  <c r="L42" i="5" s="1"/>
  <c r="N42" i="5" s="1"/>
  <c r="H30" i="5"/>
  <c r="H31" i="5" s="1"/>
  <c r="F30" i="5"/>
  <c r="F31" i="5" s="1"/>
  <c r="J28" i="5"/>
  <c r="H28" i="5"/>
  <c r="F28" i="5"/>
  <c r="N27" i="5"/>
  <c r="J26" i="5"/>
  <c r="J24" i="5" s="1"/>
  <c r="H26" i="5"/>
  <c r="H24" i="5" s="1"/>
  <c r="F26" i="5"/>
  <c r="N25" i="5"/>
  <c r="N19" i="5"/>
  <c r="H18" i="5"/>
  <c r="F18" i="5"/>
  <c r="H17" i="5"/>
  <c r="F17" i="5"/>
  <c r="N16" i="5"/>
  <c r="H15" i="5"/>
  <c r="N15" i="5" s="1"/>
  <c r="N11" i="5"/>
  <c r="D10" i="5"/>
  <c r="D12" i="5" s="1"/>
  <c r="D13" i="5" s="1"/>
  <c r="F9" i="5"/>
  <c r="F6" i="5"/>
  <c r="N6" i="5" s="1"/>
  <c r="J5" i="5"/>
  <c r="N5" i="5" s="1"/>
  <c r="H5" i="5"/>
  <c r="H7" i="5" s="1"/>
  <c r="H57" i="4"/>
  <c r="D57" i="4"/>
  <c r="J55" i="4"/>
  <c r="L55" i="4" s="1"/>
  <c r="J49" i="4"/>
  <c r="H49" i="4"/>
  <c r="D49" i="4"/>
  <c r="L48" i="4"/>
  <c r="L47" i="4"/>
  <c r="L46" i="4"/>
  <c r="J45" i="4"/>
  <c r="H45" i="4"/>
  <c r="D45" i="4"/>
  <c r="L44" i="4"/>
  <c r="H43" i="4"/>
  <c r="D43" i="4"/>
  <c r="J42" i="4"/>
  <c r="L42" i="4" s="1"/>
  <c r="L41" i="4"/>
  <c r="L40" i="4"/>
  <c r="L39" i="4"/>
  <c r="J38" i="4"/>
  <c r="H38" i="4"/>
  <c r="D38" i="4"/>
  <c r="L37" i="4"/>
  <c r="L36" i="4"/>
  <c r="H35" i="4"/>
  <c r="D35" i="4"/>
  <c r="J34" i="4"/>
  <c r="J35" i="4" s="1"/>
  <c r="L33" i="4"/>
  <c r="D31" i="4"/>
  <c r="L31" i="4" s="1"/>
  <c r="L30" i="4"/>
  <c r="D29" i="4"/>
  <c r="L29" i="4" s="1"/>
  <c r="H28" i="4"/>
  <c r="H27" i="4" s="1"/>
  <c r="F28" i="4"/>
  <c r="F27" i="4" s="1"/>
  <c r="F25" i="4"/>
  <c r="F26" i="4" s="1"/>
  <c r="L24" i="4"/>
  <c r="J23" i="4"/>
  <c r="J26" i="4" s="1"/>
  <c r="J32" i="4" s="1"/>
  <c r="H23" i="4"/>
  <c r="H26" i="4" s="1"/>
  <c r="H32" i="4" s="1"/>
  <c r="L22" i="4"/>
  <c r="L21" i="4"/>
  <c r="D20" i="4"/>
  <c r="L20" i="4" s="1"/>
  <c r="L19" i="4"/>
  <c r="D18" i="4"/>
  <c r="H15" i="4"/>
  <c r="H16" i="4" s="1"/>
  <c r="D15" i="4"/>
  <c r="J13" i="4"/>
  <c r="L12" i="4"/>
  <c r="J10" i="4"/>
  <c r="J11" i="4" s="1"/>
  <c r="L9" i="4"/>
  <c r="J7" i="4"/>
  <c r="J8" i="4" s="1"/>
  <c r="H7" i="4"/>
  <c r="D7" i="4"/>
  <c r="D8" i="4" s="1"/>
  <c r="L6" i="4"/>
  <c r="H20" i="5" l="1"/>
  <c r="H23" i="5" s="1"/>
  <c r="H29" i="5" s="1"/>
  <c r="M57" i="4"/>
  <c r="F20" i="5"/>
  <c r="O21" i="5"/>
  <c r="G9" i="2" s="1"/>
  <c r="C9" i="2" s="1"/>
  <c r="N22" i="5"/>
  <c r="O50" i="5"/>
  <c r="H8" i="5"/>
  <c r="K32" i="4"/>
  <c r="O22" i="5"/>
  <c r="F32" i="4"/>
  <c r="L49" i="4"/>
  <c r="K13" i="5"/>
  <c r="M27" i="4"/>
  <c r="I23" i="5"/>
  <c r="E51" i="5"/>
  <c r="E52" i="5"/>
  <c r="E32" i="4"/>
  <c r="J29" i="5"/>
  <c r="M23" i="4"/>
  <c r="L45" i="4"/>
  <c r="N30" i="5"/>
  <c r="K49" i="4"/>
  <c r="M49" i="4" s="1"/>
  <c r="O18" i="5"/>
  <c r="G6" i="2" s="1"/>
  <c r="C6" i="2" s="1"/>
  <c r="G41" i="5"/>
  <c r="O41" i="5" s="1"/>
  <c r="G62" i="1"/>
  <c r="L31" i="5"/>
  <c r="N31" i="5" s="1"/>
  <c r="I13" i="5"/>
  <c r="H46" i="5"/>
  <c r="H47" i="5" s="1"/>
  <c r="H51" i="5" s="1"/>
  <c r="H52" i="5" s="1"/>
  <c r="M28" i="4"/>
  <c r="E13" i="2" s="1"/>
  <c r="C13" i="2" s="1"/>
  <c r="N34" i="5"/>
  <c r="O30" i="5"/>
  <c r="G20" i="2" s="1"/>
  <c r="J46" i="5"/>
  <c r="L45" i="5"/>
  <c r="L46" i="5" s="1"/>
  <c r="L47" i="5" s="1"/>
  <c r="L51" i="5" s="1"/>
  <c r="L52" i="5" s="1"/>
  <c r="J43" i="4"/>
  <c r="J50" i="4" s="1"/>
  <c r="C27" i="2"/>
  <c r="C15" i="2"/>
  <c r="C36" i="2"/>
  <c r="E38" i="2"/>
  <c r="C38" i="2" s="1"/>
  <c r="C37" i="2"/>
  <c r="G24" i="5"/>
  <c r="O24" i="5" s="1"/>
  <c r="O45" i="5"/>
  <c r="M46" i="5"/>
  <c r="M47" i="5" s="1"/>
  <c r="M51" i="5" s="1"/>
  <c r="M52" i="5" s="1"/>
  <c r="M53" i="5" s="1"/>
  <c r="O15" i="5"/>
  <c r="G3" i="2" s="1"/>
  <c r="C3" i="2" s="1"/>
  <c r="C33" i="2"/>
  <c r="C19" i="2"/>
  <c r="M43" i="4"/>
  <c r="G50" i="4"/>
  <c r="I26" i="4"/>
  <c r="I32" i="4" s="1"/>
  <c r="K11" i="4"/>
  <c r="L13" i="5"/>
  <c r="O10" i="5"/>
  <c r="H13" i="5"/>
  <c r="K46" i="5"/>
  <c r="K29" i="5"/>
  <c r="O20" i="5"/>
  <c r="O34" i="5"/>
  <c r="I46" i="5"/>
  <c r="I29" i="5"/>
  <c r="O31" i="5"/>
  <c r="C28" i="2"/>
  <c r="C25" i="2"/>
  <c r="C22" i="2"/>
  <c r="G46" i="5"/>
  <c r="C23" i="2"/>
  <c r="G23" i="5"/>
  <c r="O23" i="5" s="1"/>
  <c r="O12" i="5"/>
  <c r="O13" i="5"/>
  <c r="L38" i="4"/>
  <c r="L7" i="4"/>
  <c r="D23" i="4"/>
  <c r="D26" i="4" s="1"/>
  <c r="D28" i="4"/>
  <c r="L28" i="4" s="1"/>
  <c r="L35" i="4"/>
  <c r="H50" i="4"/>
  <c r="F51" i="4"/>
  <c r="F58" i="4" s="1"/>
  <c r="F59" i="4" s="1"/>
  <c r="L34" i="4"/>
  <c r="E31" i="2"/>
  <c r="C31" i="2" s="1"/>
  <c r="E29" i="2"/>
  <c r="C29" i="2" s="1"/>
  <c r="N50" i="5"/>
  <c r="N28" i="5"/>
  <c r="N9" i="5"/>
  <c r="N18" i="5"/>
  <c r="N26" i="5"/>
  <c r="N41" i="5"/>
  <c r="F46" i="5"/>
  <c r="D47" i="5"/>
  <c r="D51" i="5" s="1"/>
  <c r="N20" i="5"/>
  <c r="F23" i="5"/>
  <c r="J7" i="5"/>
  <c r="J8" i="5" s="1"/>
  <c r="J13" i="5" s="1"/>
  <c r="F24" i="5"/>
  <c r="F10" i="5"/>
  <c r="F12" i="5" s="1"/>
  <c r="N17" i="5"/>
  <c r="F7" i="5"/>
  <c r="L11" i="4"/>
  <c r="J14" i="4"/>
  <c r="D16" i="4"/>
  <c r="D50" i="4"/>
  <c r="L10" i="4"/>
  <c r="L18" i="4"/>
  <c r="L25" i="4"/>
  <c r="L43" i="4"/>
  <c r="H8" i="4"/>
  <c r="L8" i="4" s="1"/>
  <c r="D27" i="4"/>
  <c r="L27" i="4" s="1"/>
  <c r="J56" i="4"/>
  <c r="L56" i="4" s="1"/>
  <c r="L23" i="4" l="1"/>
  <c r="K47" i="5"/>
  <c r="K51" i="5" s="1"/>
  <c r="K52" i="5" s="1"/>
  <c r="K53" i="5" s="1"/>
  <c r="K50" i="4"/>
  <c r="K51" i="4" s="1"/>
  <c r="K58" i="4" s="1"/>
  <c r="E12" i="2"/>
  <c r="C20" i="2"/>
  <c r="H53" i="5"/>
  <c r="E51" i="4"/>
  <c r="E58" i="4" s="1"/>
  <c r="E59" i="4" s="1"/>
  <c r="M32" i="4"/>
  <c r="J47" i="5"/>
  <c r="J51" i="5" s="1"/>
  <c r="J52" i="5" s="1"/>
  <c r="M26" i="4"/>
  <c r="E34" i="2"/>
  <c r="E30" i="2"/>
  <c r="I51" i="4"/>
  <c r="I58" i="4" s="1"/>
  <c r="I59" i="4" s="1"/>
  <c r="H51" i="4"/>
  <c r="H58" i="4" s="1"/>
  <c r="H59" i="4" s="1"/>
  <c r="G51" i="4"/>
  <c r="G58" i="4" s="1"/>
  <c r="M11" i="4"/>
  <c r="O46" i="5"/>
  <c r="I47" i="5"/>
  <c r="I51" i="5" s="1"/>
  <c r="I52" i="5" s="1"/>
  <c r="I53" i="5" s="1"/>
  <c r="G29" i="5"/>
  <c r="N7" i="5"/>
  <c r="D52" i="5"/>
  <c r="N10" i="5"/>
  <c r="N23" i="5"/>
  <c r="F29" i="5"/>
  <c r="N29" i="5" s="1"/>
  <c r="N46" i="5"/>
  <c r="N45" i="5"/>
  <c r="N24" i="5"/>
  <c r="F8" i="5"/>
  <c r="N8" i="5" s="1"/>
  <c r="J51" i="4"/>
  <c r="J58" i="4" s="1"/>
  <c r="L26" i="4"/>
  <c r="D32" i="4"/>
  <c r="L32" i="4" s="1"/>
  <c r="L14" i="4"/>
  <c r="J15" i="4"/>
  <c r="J57" i="4"/>
  <c r="L57" i="4" s="1"/>
  <c r="M50" i="4" l="1"/>
  <c r="M51" i="4"/>
  <c r="F13" i="5"/>
  <c r="M58" i="4"/>
  <c r="K59" i="4"/>
  <c r="K15" i="4"/>
  <c r="M14" i="4"/>
  <c r="D51" i="4"/>
  <c r="D58" i="4" s="1"/>
  <c r="L58" i="4" s="1"/>
  <c r="L50" i="4"/>
  <c r="G47" i="5"/>
  <c r="O29" i="5"/>
  <c r="N12" i="5"/>
  <c r="F47" i="5"/>
  <c r="J16" i="4"/>
  <c r="L16" i="4" s="1"/>
  <c r="L15" i="4"/>
  <c r="J59" i="4"/>
  <c r="L51" i="4" l="1"/>
  <c r="G59" i="4"/>
  <c r="M59" i="4" s="1"/>
  <c r="K16" i="4"/>
  <c r="M16" i="4" s="1"/>
  <c r="M15" i="4"/>
  <c r="G51" i="5"/>
  <c r="O51" i="5" s="1"/>
  <c r="O47" i="5"/>
  <c r="F51" i="5"/>
  <c r="N47" i="5"/>
  <c r="N13" i="5"/>
  <c r="D59" i="4"/>
  <c r="L59" i="4" s="1"/>
  <c r="L60" i="4" s="1"/>
  <c r="G52" i="5" l="1"/>
  <c r="F52" i="5"/>
  <c r="F53" i="5" s="1"/>
  <c r="N51" i="5"/>
  <c r="O52" i="5" l="1"/>
  <c r="O53" i="5" s="1"/>
  <c r="O56" i="5" s="1"/>
  <c r="G53" i="5"/>
  <c r="N52" i="5"/>
  <c r="N53" i="5" s="1"/>
  <c r="G34" i="2" l="1"/>
  <c r="G24" i="2"/>
  <c r="E24" i="2"/>
  <c r="E21" i="2"/>
  <c r="G21" i="2"/>
  <c r="G12" i="2"/>
  <c r="C12" i="2" s="1"/>
  <c r="E10" i="2"/>
  <c r="G10" i="2"/>
  <c r="G8" i="2"/>
  <c r="E8" i="2"/>
  <c r="G56" i="1"/>
  <c r="C63" i="1"/>
  <c r="G63" i="1" l="1"/>
  <c r="C10" i="2"/>
  <c r="G11" i="2"/>
  <c r="G18" i="2" s="1"/>
  <c r="C21" i="2"/>
  <c r="C34" i="2"/>
  <c r="C24" i="2"/>
  <c r="E11" i="2"/>
  <c r="E18" i="2" s="1"/>
  <c r="C8" i="2"/>
  <c r="E35" i="2"/>
  <c r="G30" i="2"/>
  <c r="E42" i="2" l="1"/>
  <c r="E43" i="2" s="1"/>
  <c r="G44" i="1"/>
  <c r="F64" i="1"/>
  <c r="G35" i="2"/>
  <c r="C35" i="2" s="1"/>
  <c r="C30" i="2"/>
  <c r="C18" i="2"/>
  <c r="C11" i="2"/>
  <c r="G42" i="2" l="1"/>
  <c r="G43" i="2" s="1"/>
  <c r="C42" i="2" l="1"/>
</calcChain>
</file>

<file path=xl/sharedStrings.xml><?xml version="1.0" encoding="utf-8"?>
<sst xmlns="http://schemas.openxmlformats.org/spreadsheetml/2006/main" count="425" uniqueCount="292">
  <si>
    <t>Megnevezés</t>
  </si>
  <si>
    <t>Sorszám</t>
  </si>
  <si>
    <t>Előirányzat eredeti</t>
  </si>
  <si>
    <t>Teljesítés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</si>
  <si>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</si>
  <si>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</si>
  <si>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</si>
  <si>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</si>
  <si>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egyéb személyi juttatásai (&gt;=14) (K1113)</t>
  </si>
  <si>
    <t>Foglalkoztatottak személyi juttatásai (=01+...+13) (K11)</t>
  </si>
  <si>
    <t>Egyéb külső személyi juttatások (K123)</t>
  </si>
  <si>
    <t>Külső személyi juttatások (=16+17+18) (K12)</t>
  </si>
  <si>
    <t>Személyi juttatások összesen (=15+19) (K1)</t>
  </si>
  <si>
    <t>Munkaadókat terhelő járulékok és szociális hozzájárulási adó (=22+...+27) (K2)</t>
  </si>
  <si>
    <t>ebből: szociális hozzájárulási adó (K2)</t>
  </si>
  <si>
    <t>ebből: táppénz hozzájárulás (K2)</t>
  </si>
  <si>
    <t>ebből: munkaadót a foglalkoztatottak részére történő kifizetésekkel kapcsolatban terhelő más járulék jellegű kötelezettségek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</si>
  <si>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</si>
  <si>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</si>
  <si>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</si>
  <si>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</si>
  <si>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</si>
  <si>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</si>
  <si>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</si>
  <si>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</si>
  <si>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Karbantartási, kisjavítási szolgáltatások (K334)</t>
  </si>
  <si>
    <t>Szakmai tevékenységet segítő szolgáltatások (K336)</t>
  </si>
  <si>
    <t>Egyéb szolgáltatások (K337)</t>
  </si>
  <si>
    <t>Szolgáltatási kiadások (=35+36+37+39+40+42+43) (K33)</t>
  </si>
  <si>
    <t>Működési célú előzetesen felszámított általános forgalmi adó (K351)</t>
  </si>
  <si>
    <t>Fizetendő általános forgalmi adó (K352)</t>
  </si>
  <si>
    <t>Egyéb dologi kiadások (K355)</t>
  </si>
  <si>
    <t>Különféle befizetések és egyéb dologi kiadások (=49+50+51+54+58) (K35)</t>
  </si>
  <si>
    <t>Dologi kiadások (=31+34+45+48+59) (K3)</t>
  </si>
  <si>
    <t>Egyéb tárgyi eszközök beszerzése, létesítése (K64)</t>
  </si>
  <si>
    <t>Beruházási célú előzetesen felszámított általános forgalmi adó (K67)</t>
  </si>
  <si>
    <t>Beruházások (=189+190+192+...+196) (K6)</t>
  </si>
  <si>
    <t>Ingatlanok felújítása (K71)</t>
  </si>
  <si>
    <t>Felújítási célú előzetesen felszámított általános forgalmi adó (K74)</t>
  </si>
  <si>
    <t>Felújítások (=198+...+201) (K7)</t>
  </si>
  <si>
    <t>Költségvetési kiadások (=20+21+60+118+188+197+202+264) (K1-K8)</t>
  </si>
  <si>
    <t>SZEMÉLYI JELLEGŰ KIADÁSOK</t>
  </si>
  <si>
    <t>Óvoda</t>
  </si>
  <si>
    <t>Konyha</t>
  </si>
  <si>
    <t>Előirányzat módosított</t>
  </si>
  <si>
    <t>Követelés költségvetési évben esedékes</t>
  </si>
  <si>
    <t>Szolgáltatások ellenértéke (&gt;=189+190) (B402)</t>
  </si>
  <si>
    <t>Ellátási díjak (B405)</t>
  </si>
  <si>
    <t>Kiszámlázott általános forgalmi adó (B406)</t>
  </si>
  <si>
    <t>Egyéb kapott (járó) kamatok és kamatjellegű bevételek (&gt;=207+208) (B4082)</t>
  </si>
  <si>
    <t>Kamatbevételek és más nyereségjellegű bevételek (=203+206) (B408)</t>
  </si>
  <si>
    <t>Egyéb működési bevételek (&gt;=220+221) (B411)</t>
  </si>
  <si>
    <t>Költségvetési bevételek (=43+79+186+222+231+257+283) (B1-B7)</t>
  </si>
  <si>
    <t>Előző év költségvetési maradványának igénybevétele (B8131)</t>
  </si>
  <si>
    <t>Maradvány igénybevétele (=12+13) (B813)</t>
  </si>
  <si>
    <t>Központi, irányító szervi támogatás (B816)</t>
  </si>
  <si>
    <t>Finanszírozási bevételek (=23+29+30+31) (B8)</t>
  </si>
  <si>
    <t>BEVÉTELEK</t>
  </si>
  <si>
    <t>BEVÉTELEK ÖSSZESEN</t>
  </si>
  <si>
    <r>
      <t xml:space="preserve">Foglalkoztatottak egyéb személyi juttatásai (&gt;=14) (K1113) - </t>
    </r>
    <r>
      <rPr>
        <b/>
        <sz val="12"/>
        <color rgb="FF000000"/>
        <rFont val="Calibri"/>
        <family val="2"/>
        <charset val="238"/>
      </rPr>
      <t>bérkomp., betegszabi.</t>
    </r>
  </si>
  <si>
    <r>
      <t>Egyéb külső személyi juttatások (K123) -</t>
    </r>
    <r>
      <rPr>
        <b/>
        <sz val="12"/>
        <color rgb="FF000000"/>
        <rFont val="Calibri"/>
        <family val="2"/>
        <charset val="238"/>
      </rPr>
      <t xml:space="preserve"> alkalmi munka</t>
    </r>
  </si>
  <si>
    <t>Egyéb dologi kiadások (K355) - bérjellegű kerekítési kül.</t>
  </si>
  <si>
    <t>Egyéb tárgyi eszközök beszerzése, létesítése (K64) (játékok)</t>
  </si>
  <si>
    <t>Eredeti Óvoda</t>
  </si>
  <si>
    <t>Eredeti Konyha</t>
  </si>
  <si>
    <t>K1-K9</t>
  </si>
  <si>
    <t>KIADÁSOK ÖSSZESEN</t>
  </si>
  <si>
    <t>K1-K8</t>
  </si>
  <si>
    <t>Költségvetési kiadások</t>
  </si>
  <si>
    <t>K6</t>
  </si>
  <si>
    <t>Beruházások</t>
  </si>
  <si>
    <t>K74</t>
  </si>
  <si>
    <t>Beruházási célú előzetesen felszámított általános forgalmi adó</t>
  </si>
  <si>
    <t>K71</t>
  </si>
  <si>
    <t>Ingatlanok felújítása</t>
  </si>
  <si>
    <t>K1+K3</t>
  </si>
  <si>
    <t>MŰKÖDÉSI CÉLÚ KIADÁSOK ÖSSZESEN</t>
  </si>
  <si>
    <t>K3</t>
  </si>
  <si>
    <t>Dologi kiadások</t>
  </si>
  <si>
    <t>K35</t>
  </si>
  <si>
    <t>Különféle befizetések és egyéb dologi kiadások</t>
  </si>
  <si>
    <t>Működési tartalék</t>
  </si>
  <si>
    <t>K355</t>
  </si>
  <si>
    <t>Egyéb dologi kiadások (kerekítés)</t>
  </si>
  <si>
    <t>K351</t>
  </si>
  <si>
    <t>Működési célú előzetesen felszámított általános forgalmi adó</t>
  </si>
  <si>
    <t>K34</t>
  </si>
  <si>
    <t>Kiküldetések, reklám- és propagandakiadások</t>
  </si>
  <si>
    <t>K342</t>
  </si>
  <si>
    <t>Reklám- és propagandakiadások</t>
  </si>
  <si>
    <t>K33</t>
  </si>
  <si>
    <t>Szolgáltatási kiadások</t>
  </si>
  <si>
    <t>K337</t>
  </si>
  <si>
    <t>Egyéb szolgáltatások</t>
  </si>
  <si>
    <t>K336</t>
  </si>
  <si>
    <t xml:space="preserve">Szakmai tevékenységet segítő szolgáltatások </t>
  </si>
  <si>
    <t>K334</t>
  </si>
  <si>
    <t>Karbantartás, kisjavítási szolgáltatások</t>
  </si>
  <si>
    <t>K331</t>
  </si>
  <si>
    <t>Közüzemi díjak</t>
  </si>
  <si>
    <t>K32</t>
  </si>
  <si>
    <t>Kommunikációs szolgáltatások</t>
  </si>
  <si>
    <t>K322</t>
  </si>
  <si>
    <t>Egyéb kommunikációs szolgáltatások</t>
  </si>
  <si>
    <t>K321</t>
  </si>
  <si>
    <t>Informatikai szolgáltatások igénybevétele</t>
  </si>
  <si>
    <t>K31</t>
  </si>
  <si>
    <t>Készletbeszerzés</t>
  </si>
  <si>
    <t>K312</t>
  </si>
  <si>
    <t>Üzemeltetési anyagok beszerzése</t>
  </si>
  <si>
    <t>K311</t>
  </si>
  <si>
    <t>Szakmai anyagok beszerzése</t>
  </si>
  <si>
    <t>K1+K2</t>
  </si>
  <si>
    <t>SZEMÉLYI JELLEGŰ KIADÁSOK ÖSSZESEN</t>
  </si>
  <si>
    <t>K2</t>
  </si>
  <si>
    <t>ebből: munkáltatót terhelő személyi jövedelemadó</t>
  </si>
  <si>
    <t>ebből: táppénz hozzájárulás</t>
  </si>
  <si>
    <t>ebből: egészségügyi hozzájárulás</t>
  </si>
  <si>
    <t>ebből: szociális hozzájárulási adó</t>
  </si>
  <si>
    <t xml:space="preserve">Munkaadókat terhelő járulékok és szociális hozzájárulási adó                                      </t>
  </si>
  <si>
    <t>K1</t>
  </si>
  <si>
    <t>Személyi juttatások összesen</t>
  </si>
  <si>
    <t>K12</t>
  </si>
  <si>
    <t>Külső személyi juttatások</t>
  </si>
  <si>
    <t>K122</t>
  </si>
  <si>
    <t>Munkavégzésre irányuló egyéb jogviszonyban nem saját foglalkoztatottnak fizetett juttatások</t>
  </si>
  <si>
    <t>K11</t>
  </si>
  <si>
    <t>Foglalkoztatottak személyi juttatásai</t>
  </si>
  <si>
    <t>K1113</t>
  </si>
  <si>
    <t>Foglalkoztatottak egyéb személyi juttatásai</t>
  </si>
  <si>
    <t>K1109</t>
  </si>
  <si>
    <t>Közlekedési költségtérítés</t>
  </si>
  <si>
    <t>K1107</t>
  </si>
  <si>
    <t>Béren kívüli juttatások</t>
  </si>
  <si>
    <t>K1103</t>
  </si>
  <si>
    <t>Jutalom</t>
  </si>
  <si>
    <t>K1101</t>
  </si>
  <si>
    <t>Törvény szerinti illetmények, munkabérek</t>
  </si>
  <si>
    <t>B1-B8</t>
  </si>
  <si>
    <t>Bevételek összesen</t>
  </si>
  <si>
    <t>B8</t>
  </si>
  <si>
    <t>Finanszírozási bevételek</t>
  </si>
  <si>
    <t>B81</t>
  </si>
  <si>
    <t>Belföldi finanszírozás bevételei</t>
  </si>
  <si>
    <t xml:space="preserve"> + bérkompenzáció dec. havi</t>
  </si>
  <si>
    <t>B816</t>
  </si>
  <si>
    <t>Központi, irányító szervi támogatás</t>
  </si>
  <si>
    <t>B813</t>
  </si>
  <si>
    <t>Önkormányzati költségvetésből működésre átadott</t>
  </si>
  <si>
    <t>Maradvány igénybevétele</t>
  </si>
  <si>
    <t>B8131</t>
  </si>
  <si>
    <t>Előző év költségvetési maradványának igénybevétele</t>
  </si>
  <si>
    <t>B1-B7</t>
  </si>
  <si>
    <t>Költségvetési bevételek</t>
  </si>
  <si>
    <t>B4</t>
  </si>
  <si>
    <t>Működési bevételek</t>
  </si>
  <si>
    <t>B4114</t>
  </si>
  <si>
    <t>Kerekítési különbözet</t>
  </si>
  <si>
    <t>B408</t>
  </si>
  <si>
    <t>Kamatbevételek</t>
  </si>
  <si>
    <t>Előirányzat összesen</t>
  </si>
  <si>
    <t>091140</t>
  </si>
  <si>
    <t>091130</t>
  </si>
  <si>
    <t>091120</t>
  </si>
  <si>
    <t>091110</t>
  </si>
  <si>
    <t>Rovat-szám</t>
  </si>
  <si>
    <t>Rovat megnevezése</t>
  </si>
  <si>
    <t>Sor-szám</t>
  </si>
  <si>
    <t>Óvodai nevelés, ellátás működtetési feladatai</t>
  </si>
  <si>
    <t>Nemzetiségi óvodai nevelés, ellátás szakmai feladatai</t>
  </si>
  <si>
    <t>Sajátos nevelési igényű gyermekek óvodai nevelésének, ellátásának szakmai feladatai</t>
  </si>
  <si>
    <t>Óvodai nevelés, ellátás szakmai feladatai</t>
  </si>
  <si>
    <t>Óvoda 2018. évi költségvetése</t>
  </si>
  <si>
    <t>Konyha 2018. évi költségvetése</t>
  </si>
  <si>
    <t>Önkormányzatok és önkormányzati hivatalok jogalkotó és általános igazgatási tevékenysége</t>
  </si>
  <si>
    <t>Gyermekétkeztetés köznevelési intézményben</t>
  </si>
  <si>
    <t>Szociális étkeztetés</t>
  </si>
  <si>
    <t>Önkormányzati funkción nem elszámolható bevételek  (Vendég  étkeztetés)</t>
  </si>
  <si>
    <t>Intézményen kívüli gyermekétkeztetés (szünidei étk.)</t>
  </si>
  <si>
    <t>011130</t>
  </si>
  <si>
    <t>096015</t>
  </si>
  <si>
    <t>107051</t>
  </si>
  <si>
    <t>900020</t>
  </si>
  <si>
    <t>104037</t>
  </si>
  <si>
    <t>2</t>
  </si>
  <si>
    <t>Szolgáltatások ellenértéke</t>
  </si>
  <si>
    <t>B402</t>
  </si>
  <si>
    <t>1</t>
  </si>
  <si>
    <t>Ellátási díjak</t>
  </si>
  <si>
    <t>B405</t>
  </si>
  <si>
    <t>3</t>
  </si>
  <si>
    <t>Kiszámlázott ÁFA</t>
  </si>
  <si>
    <t>B406</t>
  </si>
  <si>
    <t>4</t>
  </si>
  <si>
    <t>5</t>
  </si>
  <si>
    <t>6</t>
  </si>
  <si>
    <t xml:space="preserve">Belföldi finanszírozás bevételei </t>
  </si>
  <si>
    <t xml:space="preserve"> + önerő</t>
  </si>
  <si>
    <t>7</t>
  </si>
  <si>
    <t>8</t>
  </si>
  <si>
    <t>Jubileumi jutalmak</t>
  </si>
  <si>
    <t>K1106</t>
  </si>
  <si>
    <t>Vásárolt élelmezés</t>
  </si>
  <si>
    <t>K332</t>
  </si>
  <si>
    <t>Bérleti és lízingdíjak</t>
  </si>
  <si>
    <t>K333</t>
  </si>
  <si>
    <t>Karbantartás, kisjavítás</t>
  </si>
  <si>
    <t>Fizetendő ÁFA</t>
  </si>
  <si>
    <t>K352</t>
  </si>
  <si>
    <t>Egyéb dologi kiadások</t>
  </si>
  <si>
    <t>Egyéb tárgyi eszközök beszerzése, létesítése</t>
  </si>
  <si>
    <t>K64</t>
  </si>
  <si>
    <t>K67</t>
  </si>
  <si>
    <t>Egyéb tárgyi eszköz beszerzés</t>
  </si>
  <si>
    <t>Felújítási célú előzetesen felszámított általános forgalmi adó</t>
  </si>
  <si>
    <t>Felújítások</t>
  </si>
  <si>
    <t>K7</t>
  </si>
  <si>
    <t>Egyéb külső személyi juttatások</t>
  </si>
  <si>
    <t>K123</t>
  </si>
  <si>
    <t>ebből: egészségügyi hozzájárulási adó (K2)</t>
  </si>
  <si>
    <t>Felújítások (K7)</t>
  </si>
  <si>
    <t>01 - K1-K8. Költségvetési kiadások</t>
  </si>
  <si>
    <t>#</t>
  </si>
  <si>
    <t>Eredeti előirányzat</t>
  </si>
  <si>
    <t>Módosított előirányzat</t>
  </si>
  <si>
    <t>Kötelezettségvállalás, más fizetési kötelezettség - Költségvetési évben esedékes végleges</t>
  </si>
  <si>
    <t>01</t>
  </si>
  <si>
    <t>03</t>
  </si>
  <si>
    <t>07</t>
  </si>
  <si>
    <t>09</t>
  </si>
  <si>
    <t>13</t>
  </si>
  <si>
    <t>15</t>
  </si>
  <si>
    <t>Foglalkoztatottak személyi juttatásai (=01+…+13) (K11)</t>
  </si>
  <si>
    <t>18</t>
  </si>
  <si>
    <t>19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</si>
  <si>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</si>
  <si>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</si>
  <si>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</si>
  <si>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</si>
  <si>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</si>
  <si>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24</t>
  </si>
  <si>
    <t>ebből: egészségügyi hozzájárulás (K2)</t>
  </si>
  <si>
    <t>25</t>
  </si>
  <si>
    <t>26</t>
  </si>
  <si>
    <t>27</t>
  </si>
  <si>
    <t>ebből: munkáltatót terhelő személyi jövedelemadó (K2)</t>
  </si>
  <si>
    <t>28</t>
  </si>
  <si>
    <t>29</t>
  </si>
  <si>
    <t>31</t>
  </si>
  <si>
    <t>32</t>
  </si>
  <si>
    <t>33</t>
  </si>
  <si>
    <t>34</t>
  </si>
  <si>
    <t>35</t>
  </si>
  <si>
    <t>36</t>
  </si>
  <si>
    <t>39</t>
  </si>
  <si>
    <t>42</t>
  </si>
  <si>
    <t>Szakmai tevékenységet segítő szolgáltatások  (K336)</t>
  </si>
  <si>
    <t>43</t>
  </si>
  <si>
    <t>Egyéb szolgáltatások (&gt;=44) (K337)</t>
  </si>
  <si>
    <t>45</t>
  </si>
  <si>
    <t>49</t>
  </si>
  <si>
    <t>50</t>
  </si>
  <si>
    <t>Fizetendő általános forgalmi adó  (K352)</t>
  </si>
  <si>
    <t>58</t>
  </si>
  <si>
    <t>59</t>
  </si>
  <si>
    <t>60</t>
  </si>
  <si>
    <t>193</t>
  </si>
  <si>
    <t>196</t>
  </si>
  <si>
    <t>197</t>
  </si>
  <si>
    <t>Beruházások (=189+190+192+…+196) (K6)</t>
  </si>
  <si>
    <t>198</t>
  </si>
  <si>
    <t>201</t>
  </si>
  <si>
    <t>202</t>
  </si>
  <si>
    <t>265</t>
  </si>
  <si>
    <t>188</t>
  </si>
  <si>
    <t>200</t>
  </si>
  <si>
    <t>206</t>
  </si>
  <si>
    <t>209</t>
  </si>
  <si>
    <t>219</t>
  </si>
  <si>
    <t>221</t>
  </si>
  <si>
    <t>ebből: kiadások visszatérítései (B411)</t>
  </si>
  <si>
    <t>222</t>
  </si>
  <si>
    <t>Működési bevételek (=187+188+191+193+200+…+202+209+217+218+219) (B4)</t>
  </si>
  <si>
    <t>284</t>
  </si>
  <si>
    <t>12</t>
  </si>
  <si>
    <t>14</t>
  </si>
  <si>
    <t>17</t>
  </si>
  <si>
    <t>23</t>
  </si>
  <si>
    <t>Belföldi finanszírozás bevételei (=04+11+14+…+19+22) (B81)</t>
  </si>
  <si>
    <t>szoc. Étk.</t>
  </si>
  <si>
    <t>készlet</t>
  </si>
  <si>
    <t>DUNASZEKCSŐI ÓVODA ÉS KONYHA 2018. évi zárása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</si>
</sst>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_"/>
  </numFmts>
  <fonts count="32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4"/>
      <color indexed="9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i/>
      <sz val="11"/>
      <color indexed="8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name val="Arial CE"/>
      <charset val="238"/>
    </font>
    <font>
      <i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00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211">
    <xf numFmtId="0" fontId="0" fillId="0" borderId="0" xfId="0"/>
    <xf numFmtId="3" fontId="2" fillId="0" borderId="0" xfId="0" applyNumberFormat="1" applyFont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9" fontId="2" fillId="0" borderId="0" xfId="1" applyFont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2"/>
    <xf numFmtId="9" fontId="0" fillId="0" borderId="0" xfId="3" applyFont="1" applyFill="1" applyAlignment="1">
      <alignment horizontal="right"/>
    </xf>
    <xf numFmtId="2" fontId="8" fillId="0" borderId="0" xfId="3" applyNumberFormat="1" applyFont="1" applyFill="1"/>
    <xf numFmtId="3" fontId="9" fillId="6" borderId="0" xfId="2" applyNumberFormat="1" applyFont="1" applyFill="1"/>
    <xf numFmtId="3" fontId="10" fillId="7" borderId="2" xfId="2" applyNumberFormat="1" applyFont="1" applyFill="1" applyBorder="1" applyAlignment="1">
      <alignment horizontal="right" vertical="center"/>
    </xf>
    <xf numFmtId="3" fontId="10" fillId="7" borderId="3" xfId="2" applyNumberFormat="1" applyFont="1" applyFill="1" applyBorder="1" applyAlignment="1">
      <alignment horizontal="right" vertical="center"/>
    </xf>
    <xf numFmtId="3" fontId="10" fillId="7" borderId="4" xfId="2" applyNumberFormat="1" applyFont="1" applyFill="1" applyBorder="1" applyAlignment="1">
      <alignment horizontal="right" vertical="center"/>
    </xf>
    <xf numFmtId="3" fontId="10" fillId="7" borderId="5" xfId="2" applyNumberFormat="1" applyFont="1" applyFill="1" applyBorder="1" applyAlignment="1">
      <alignment horizontal="right" vertical="center"/>
    </xf>
    <xf numFmtId="3" fontId="11" fillId="8" borderId="6" xfId="2" applyNumberFormat="1" applyFont="1" applyFill="1" applyBorder="1" applyAlignment="1">
      <alignment horizontal="right" vertical="center"/>
    </xf>
    <xf numFmtId="0" fontId="11" fillId="8" borderId="7" xfId="2" applyFont="1" applyFill="1" applyBorder="1" applyAlignment="1">
      <alignment vertical="center" wrapText="1"/>
    </xf>
    <xf numFmtId="0" fontId="11" fillId="8" borderId="4" xfId="2" applyFont="1" applyFill="1" applyBorder="1" applyAlignment="1">
      <alignment vertical="center" wrapText="1"/>
    </xf>
    <xf numFmtId="3" fontId="12" fillId="9" borderId="8" xfId="2" applyNumberFormat="1" applyFont="1" applyFill="1" applyBorder="1" applyAlignment="1">
      <alignment horizontal="right" vertical="center"/>
    </xf>
    <xf numFmtId="3" fontId="12" fillId="9" borderId="9" xfId="2" applyNumberFormat="1" applyFont="1" applyFill="1" applyBorder="1" applyAlignment="1">
      <alignment horizontal="right" vertical="center"/>
    </xf>
    <xf numFmtId="3" fontId="12" fillId="9" borderId="10" xfId="2" applyNumberFormat="1" applyFont="1" applyFill="1" applyBorder="1" applyAlignment="1">
      <alignment horizontal="right" vertical="center"/>
    </xf>
    <xf numFmtId="3" fontId="12" fillId="9" borderId="11" xfId="2" applyNumberFormat="1" applyFont="1" applyFill="1" applyBorder="1" applyAlignment="1">
      <alignment horizontal="right" vertical="center"/>
    </xf>
    <xf numFmtId="0" fontId="12" fillId="9" borderId="12" xfId="2" applyFont="1" applyFill="1" applyBorder="1" applyAlignment="1">
      <alignment vertical="center" wrapText="1"/>
    </xf>
    <xf numFmtId="0" fontId="13" fillId="9" borderId="13" xfId="2" applyFont="1" applyFill="1" applyBorder="1" applyAlignment="1">
      <alignment vertical="center" wrapText="1"/>
    </xf>
    <xf numFmtId="0" fontId="12" fillId="9" borderId="13" xfId="2" quotePrefix="1" applyFont="1" applyFill="1" applyBorder="1" applyAlignment="1">
      <alignment horizontal="right" vertical="center"/>
    </xf>
    <xf numFmtId="3" fontId="12" fillId="10" borderId="14" xfId="2" applyNumberFormat="1" applyFont="1" applyFill="1" applyBorder="1" applyAlignment="1">
      <alignment horizontal="right" vertical="center"/>
    </xf>
    <xf numFmtId="3" fontId="12" fillId="10" borderId="15" xfId="2" applyNumberFormat="1" applyFont="1" applyFill="1" applyBorder="1" applyAlignment="1">
      <alignment horizontal="right" vertical="center"/>
    </xf>
    <xf numFmtId="3" fontId="12" fillId="10" borderId="11" xfId="2" applyNumberFormat="1" applyFont="1" applyFill="1" applyBorder="1" applyAlignment="1">
      <alignment horizontal="right" vertical="center"/>
    </xf>
    <xf numFmtId="0" fontId="12" fillId="0" borderId="16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 wrapText="1"/>
    </xf>
    <xf numFmtId="0" fontId="12" fillId="0" borderId="1" xfId="2" quotePrefix="1" applyFont="1" applyFill="1" applyBorder="1" applyAlignment="1">
      <alignment horizontal="right" vertical="center"/>
    </xf>
    <xf numFmtId="3" fontId="14" fillId="0" borderId="14" xfId="2" quotePrefix="1" applyNumberFormat="1" applyFont="1" applyFill="1" applyBorder="1" applyAlignment="1">
      <alignment horizontal="right" vertical="center"/>
    </xf>
    <xf numFmtId="3" fontId="14" fillId="0" borderId="15" xfId="2" quotePrefix="1" applyNumberFormat="1" applyFont="1" applyFill="1" applyBorder="1" applyAlignment="1">
      <alignment horizontal="right" vertical="center"/>
    </xf>
    <xf numFmtId="3" fontId="14" fillId="0" borderId="11" xfId="2" quotePrefix="1" applyNumberFormat="1" applyFont="1" applyFill="1" applyBorder="1" applyAlignment="1">
      <alignment horizontal="right"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vertical="center" wrapText="1"/>
    </xf>
    <xf numFmtId="0" fontId="14" fillId="0" borderId="1" xfId="2" quotePrefix="1" applyFont="1" applyFill="1" applyBorder="1" applyAlignment="1">
      <alignment horizontal="right" vertical="center"/>
    </xf>
    <xf numFmtId="0" fontId="15" fillId="0" borderId="1" xfId="2" applyFont="1" applyFill="1" applyBorder="1" applyAlignment="1">
      <alignment horizontal="left" vertical="center" wrapText="1"/>
    </xf>
    <xf numFmtId="3" fontId="16" fillId="11" borderId="14" xfId="2" applyNumberFormat="1" applyFont="1" applyFill="1" applyBorder="1" applyAlignment="1">
      <alignment horizontal="right" vertical="center"/>
    </xf>
    <xf numFmtId="3" fontId="16" fillId="11" borderId="15" xfId="2" applyNumberFormat="1" applyFont="1" applyFill="1" applyBorder="1" applyAlignment="1">
      <alignment horizontal="right" vertical="center"/>
    </xf>
    <xf numFmtId="3" fontId="16" fillId="11" borderId="11" xfId="2" applyNumberFormat="1" applyFont="1" applyFill="1" applyBorder="1" applyAlignment="1">
      <alignment horizontal="right" vertical="center"/>
    </xf>
    <xf numFmtId="0" fontId="16" fillId="11" borderId="16" xfId="2" applyFont="1" applyFill="1" applyBorder="1" applyAlignment="1">
      <alignment vertical="center"/>
    </xf>
    <xf numFmtId="0" fontId="17" fillId="11" borderId="1" xfId="2" applyFont="1" applyFill="1" applyBorder="1" applyAlignment="1">
      <alignment vertical="center" wrapText="1"/>
    </xf>
    <xf numFmtId="0" fontId="16" fillId="11" borderId="1" xfId="2" quotePrefix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vertical="center" wrapText="1"/>
    </xf>
    <xf numFmtId="3" fontId="12" fillId="0" borderId="14" xfId="2" applyNumberFormat="1" applyFont="1" applyFill="1" applyBorder="1" applyAlignment="1">
      <alignment horizontal="right" vertical="center"/>
    </xf>
    <xf numFmtId="3" fontId="12" fillId="0" borderId="15" xfId="2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 applyAlignment="1">
      <alignment horizontal="right" vertical="center"/>
    </xf>
    <xf numFmtId="3" fontId="19" fillId="0" borderId="14" xfId="2" quotePrefix="1" applyNumberFormat="1" applyFont="1" applyFill="1" applyBorder="1" applyAlignment="1">
      <alignment horizontal="right" vertical="center"/>
    </xf>
    <xf numFmtId="3" fontId="19" fillId="0" borderId="15" xfId="2" quotePrefix="1" applyNumberFormat="1" applyFont="1" applyFill="1" applyBorder="1" applyAlignment="1">
      <alignment horizontal="right" vertical="center"/>
    </xf>
    <xf numFmtId="3" fontId="19" fillId="0" borderId="11" xfId="2" quotePrefix="1" applyNumberFormat="1" applyFont="1" applyFill="1" applyBorder="1" applyAlignment="1">
      <alignment horizontal="right" vertical="center"/>
    </xf>
    <xf numFmtId="0" fontId="14" fillId="0" borderId="16" xfId="2" applyFont="1" applyFill="1" applyBorder="1" applyAlignment="1">
      <alignment vertical="center"/>
    </xf>
    <xf numFmtId="3" fontId="14" fillId="0" borderId="14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11" xfId="2" applyNumberFormat="1" applyFont="1" applyFill="1" applyBorder="1" applyAlignment="1">
      <alignment horizontal="right" vertical="center"/>
    </xf>
    <xf numFmtId="0" fontId="19" fillId="0" borderId="16" xfId="2" applyFont="1" applyFill="1" applyBorder="1" applyAlignment="1">
      <alignment vertical="center"/>
    </xf>
    <xf numFmtId="164" fontId="19" fillId="0" borderId="1" xfId="2" applyNumberFormat="1" applyFont="1" applyFill="1" applyBorder="1" applyAlignment="1">
      <alignment vertical="center" wrapText="1"/>
    </xf>
    <xf numFmtId="0" fontId="12" fillId="0" borderId="16" xfId="2" applyFont="1" applyFill="1" applyBorder="1" applyAlignment="1">
      <alignment horizontal="left" vertical="center"/>
    </xf>
    <xf numFmtId="0" fontId="14" fillId="0" borderId="1" xfId="2" applyFont="1" applyFill="1" applyBorder="1" applyAlignment="1"/>
    <xf numFmtId="3" fontId="10" fillId="7" borderId="14" xfId="4" quotePrefix="1" applyNumberFormat="1" applyFont="1" applyFill="1" applyBorder="1" applyAlignment="1">
      <alignment horizontal="right" vertical="center"/>
    </xf>
    <xf numFmtId="3" fontId="10" fillId="7" borderId="15" xfId="4" quotePrefix="1" applyNumberFormat="1" applyFont="1" applyFill="1" applyBorder="1" applyAlignment="1">
      <alignment horizontal="right" vertical="center"/>
    </xf>
    <xf numFmtId="3" fontId="10" fillId="7" borderId="11" xfId="4" quotePrefix="1" applyNumberFormat="1" applyFont="1" applyFill="1" applyBorder="1" applyAlignment="1">
      <alignment horizontal="right" vertical="center"/>
    </xf>
    <xf numFmtId="0" fontId="10" fillId="7" borderId="16" xfId="4" applyFont="1" applyFill="1" applyBorder="1" applyAlignment="1">
      <alignment horizontal="left" vertical="center" wrapText="1"/>
    </xf>
    <xf numFmtId="0" fontId="10" fillId="7" borderId="1" xfId="4" applyFont="1" applyFill="1" applyBorder="1" applyAlignment="1">
      <alignment horizontal="left" vertical="center" wrapText="1"/>
    </xf>
    <xf numFmtId="0" fontId="10" fillId="7" borderId="1" xfId="4" quotePrefix="1" applyFont="1" applyFill="1" applyBorder="1" applyAlignment="1">
      <alignment horizontal="right" vertical="center"/>
    </xf>
    <xf numFmtId="3" fontId="14" fillId="0" borderId="14" xfId="2" applyNumberFormat="1" applyFont="1" applyFill="1" applyBorder="1"/>
    <xf numFmtId="3" fontId="14" fillId="0" borderId="15" xfId="2" applyNumberFormat="1" applyFont="1" applyFill="1" applyBorder="1"/>
    <xf numFmtId="3" fontId="14" fillId="0" borderId="11" xfId="2" applyNumberFormat="1" applyFont="1" applyFill="1" applyBorder="1"/>
    <xf numFmtId="0" fontId="14" fillId="0" borderId="16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vertical="center" wrapText="1"/>
    </xf>
    <xf numFmtId="0" fontId="14" fillId="0" borderId="1" xfId="4" quotePrefix="1" applyFont="1" applyFill="1" applyBorder="1" applyAlignment="1">
      <alignment horizontal="right" vertical="center"/>
    </xf>
    <xf numFmtId="0" fontId="21" fillId="0" borderId="0" xfId="2" applyFont="1"/>
    <xf numFmtId="3" fontId="12" fillId="0" borderId="14" xfId="2" applyNumberFormat="1" applyFont="1" applyFill="1" applyBorder="1"/>
    <xf numFmtId="3" fontId="12" fillId="0" borderId="15" xfId="2" applyNumberFormat="1" applyFont="1" applyFill="1" applyBorder="1"/>
    <xf numFmtId="3" fontId="12" fillId="0" borderId="11" xfId="2" applyNumberFormat="1" applyFont="1" applyFill="1" applyBorder="1"/>
    <xf numFmtId="0" fontId="12" fillId="0" borderId="16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 wrapText="1"/>
    </xf>
    <xf numFmtId="0" fontId="12" fillId="0" borderId="1" xfId="4" quotePrefix="1" applyFont="1" applyFill="1" applyBorder="1" applyAlignment="1">
      <alignment horizontal="right" vertical="center"/>
    </xf>
    <xf numFmtId="0" fontId="8" fillId="0" borderId="0" xfId="2" applyFont="1"/>
    <xf numFmtId="0" fontId="14" fillId="0" borderId="1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 wrapText="1"/>
    </xf>
    <xf numFmtId="0" fontId="19" fillId="0" borderId="16" xfId="4" applyFont="1" applyFill="1" applyBorder="1" applyAlignment="1">
      <alignment horizontal="left" vertical="center"/>
    </xf>
    <xf numFmtId="0" fontId="22" fillId="0" borderId="1" xfId="4" applyFont="1" applyFill="1" applyBorder="1" applyAlignment="1">
      <alignment horizontal="left" vertical="center" wrapText="1"/>
    </xf>
    <xf numFmtId="0" fontId="19" fillId="0" borderId="1" xfId="4" quotePrefix="1" applyFont="1" applyFill="1" applyBorder="1" applyAlignment="1">
      <alignment horizontal="right" vertical="center"/>
    </xf>
    <xf numFmtId="3" fontId="14" fillId="0" borderId="17" xfId="2" applyNumberFormat="1" applyFont="1" applyFill="1" applyBorder="1"/>
    <xf numFmtId="3" fontId="14" fillId="0" borderId="18" xfId="2" applyNumberFormat="1" applyFont="1" applyFill="1" applyBorder="1"/>
    <xf numFmtId="3" fontId="14" fillId="0" borderId="19" xfId="2" applyNumberFormat="1" applyFont="1" applyFill="1" applyBorder="1"/>
    <xf numFmtId="3" fontId="14" fillId="0" borderId="20" xfId="2" applyNumberFormat="1" applyFont="1" applyFill="1" applyBorder="1"/>
    <xf numFmtId="0" fontId="14" fillId="0" borderId="16" xfId="4" applyFont="1" applyFill="1" applyBorder="1" applyAlignment="1">
      <alignment horizontal="left" vertical="center"/>
    </xf>
    <xf numFmtId="0" fontId="15" fillId="0" borderId="1" xfId="4" applyFont="1" applyFill="1" applyBorder="1" applyAlignment="1">
      <alignment horizontal="left" vertical="center" wrapText="1"/>
    </xf>
    <xf numFmtId="49" fontId="23" fillId="0" borderId="21" xfId="2" applyNumberFormat="1" applyFont="1" applyFill="1" applyBorder="1" applyAlignment="1">
      <alignment horizontal="center" vertical="center" wrapText="1"/>
    </xf>
    <xf numFmtId="49" fontId="23" fillId="0" borderId="3" xfId="2" applyNumberFormat="1" applyFont="1" applyFill="1" applyBorder="1" applyAlignment="1">
      <alignment horizontal="center" vertical="center" wrapText="1"/>
    </xf>
    <xf numFmtId="49" fontId="23" fillId="0" borderId="4" xfId="2" applyNumberFormat="1" applyFont="1" applyFill="1" applyBorder="1" applyAlignment="1">
      <alignment horizontal="center" vertical="center" wrapText="1"/>
    </xf>
    <xf numFmtId="49" fontId="16" fillId="0" borderId="16" xfId="2" applyNumberFormat="1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24" fillId="0" borderId="0" xfId="2" applyFont="1" applyFill="1"/>
    <xf numFmtId="0" fontId="13" fillId="0" borderId="4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49" fontId="23" fillId="0" borderId="25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vertical="center" wrapText="1"/>
    </xf>
    <xf numFmtId="49" fontId="25" fillId="0" borderId="16" xfId="2" applyNumberFormat="1" applyFont="1" applyFill="1" applyBorder="1" applyAlignment="1">
      <alignment vertical="center" wrapText="1"/>
    </xf>
    <xf numFmtId="3" fontId="14" fillId="0" borderId="27" xfId="2" applyNumberFormat="1" applyFont="1" applyFill="1" applyBorder="1"/>
    <xf numFmtId="0" fontId="8" fillId="0" borderId="11" xfId="2" applyBorder="1"/>
    <xf numFmtId="49" fontId="25" fillId="0" borderId="13" xfId="2" applyNumberFormat="1" applyFont="1" applyFill="1" applyBorder="1" applyAlignment="1">
      <alignment vertical="center" wrapText="1"/>
    </xf>
    <xf numFmtId="49" fontId="25" fillId="0" borderId="12" xfId="2" applyNumberFormat="1" applyFont="1" applyFill="1" applyBorder="1" applyAlignment="1">
      <alignment vertical="center" wrapText="1"/>
    </xf>
    <xf numFmtId="3" fontId="14" fillId="0" borderId="10" xfId="2" applyNumberFormat="1" applyFont="1" applyFill="1" applyBorder="1"/>
    <xf numFmtId="3" fontId="26" fillId="6" borderId="11" xfId="2" applyNumberFormat="1" applyFont="1" applyFill="1" applyBorder="1"/>
    <xf numFmtId="0" fontId="14" fillId="0" borderId="13" xfId="4" quotePrefix="1" applyFont="1" applyFill="1" applyBorder="1" applyAlignment="1">
      <alignment horizontal="right" vertical="center"/>
    </xf>
    <xf numFmtId="0" fontId="15" fillId="0" borderId="13" xfId="4" applyFont="1" applyFill="1" applyBorder="1" applyAlignment="1">
      <alignment vertical="center" wrapText="1"/>
    </xf>
    <xf numFmtId="0" fontId="14" fillId="0" borderId="12" xfId="4" applyFont="1" applyFill="1" applyBorder="1" applyAlignment="1">
      <alignment horizontal="left" vertical="center" wrapText="1"/>
    </xf>
    <xf numFmtId="3" fontId="26" fillId="6" borderId="10" xfId="2" applyNumberFormat="1" applyFont="1" applyFill="1" applyBorder="1"/>
    <xf numFmtId="3" fontId="14" fillId="0" borderId="9" xfId="2" applyNumberFormat="1" applyFont="1" applyFill="1" applyBorder="1"/>
    <xf numFmtId="0" fontId="10" fillId="7" borderId="4" xfId="4" quotePrefix="1" applyFont="1" applyFill="1" applyBorder="1" applyAlignment="1">
      <alignment horizontal="right" vertical="center"/>
    </xf>
    <xf numFmtId="0" fontId="10" fillId="7" borderId="7" xfId="4" applyFont="1" applyFill="1" applyBorder="1" applyAlignment="1">
      <alignment horizontal="left" vertical="center" wrapText="1"/>
    </xf>
    <xf numFmtId="0" fontId="10" fillId="7" borderId="6" xfId="4" applyFont="1" applyFill="1" applyBorder="1" applyAlignment="1">
      <alignment horizontal="left" vertical="center" wrapText="1"/>
    </xf>
    <xf numFmtId="3" fontId="10" fillId="7" borderId="4" xfId="4" quotePrefix="1" applyNumberFormat="1" applyFont="1" applyFill="1" applyBorder="1" applyAlignment="1">
      <alignment horizontal="right" vertical="center"/>
    </xf>
    <xf numFmtId="3" fontId="10" fillId="7" borderId="28" xfId="4" quotePrefix="1" applyNumberFormat="1" applyFont="1" applyFill="1" applyBorder="1" applyAlignment="1">
      <alignment horizontal="right" vertical="center"/>
    </xf>
    <xf numFmtId="0" fontId="14" fillId="0" borderId="29" xfId="2" quotePrefix="1" applyFont="1" applyFill="1" applyBorder="1" applyAlignment="1">
      <alignment horizontal="right" vertical="center"/>
    </xf>
    <xf numFmtId="0" fontId="14" fillId="0" borderId="29" xfId="2" applyFont="1" applyFill="1" applyBorder="1" applyAlignment="1"/>
    <xf numFmtId="0" fontId="14" fillId="0" borderId="30" xfId="2" applyFont="1" applyFill="1" applyBorder="1" applyAlignment="1">
      <alignment vertical="center"/>
    </xf>
    <xf numFmtId="3" fontId="14" fillId="0" borderId="20" xfId="2" quotePrefix="1" applyNumberFormat="1" applyFont="1" applyFill="1" applyBorder="1" applyAlignment="1">
      <alignment horizontal="right" vertical="center"/>
    </xf>
    <xf numFmtId="3" fontId="14" fillId="0" borderId="19" xfId="2" quotePrefix="1" applyNumberFormat="1" applyFont="1" applyFill="1" applyBorder="1" applyAlignment="1">
      <alignment horizontal="right" vertical="center"/>
    </xf>
    <xf numFmtId="3" fontId="14" fillId="0" borderId="17" xfId="2" quotePrefix="1" applyNumberFormat="1" applyFont="1" applyFill="1" applyBorder="1" applyAlignment="1">
      <alignment horizontal="right" vertical="center"/>
    </xf>
    <xf numFmtId="3" fontId="14" fillId="0" borderId="31" xfId="2" applyNumberFormat="1" applyFont="1" applyFill="1" applyBorder="1" applyAlignment="1">
      <alignment horizontal="right" vertical="center"/>
    </xf>
    <xf numFmtId="3" fontId="8" fillId="0" borderId="0" xfId="2" applyNumberFormat="1"/>
    <xf numFmtId="0" fontId="15" fillId="0" borderId="1" xfId="2" applyFont="1" applyFill="1" applyBorder="1" applyAlignment="1">
      <alignment vertical="center" wrapText="1"/>
    </xf>
    <xf numFmtId="0" fontId="11" fillId="8" borderId="3" xfId="2" applyFont="1" applyFill="1" applyBorder="1" applyAlignment="1">
      <alignment vertical="center" wrapText="1"/>
    </xf>
    <xf numFmtId="3" fontId="10" fillId="7" borderId="32" xfId="2" applyNumberFormat="1" applyFont="1" applyFill="1" applyBorder="1" applyAlignment="1">
      <alignment horizontal="right" vertical="center"/>
    </xf>
    <xf numFmtId="3" fontId="18" fillId="6" borderId="0" xfId="2" applyNumberFormat="1" applyFont="1" applyFill="1" applyAlignment="1">
      <alignment horizontal="right"/>
    </xf>
    <xf numFmtId="3" fontId="18" fillId="6" borderId="0" xfId="2" applyNumberFormat="1" applyFont="1" applyFill="1"/>
    <xf numFmtId="3" fontId="18" fillId="0" borderId="0" xfId="2" applyNumberFormat="1" applyFont="1"/>
    <xf numFmtId="3" fontId="21" fillId="6" borderId="0" xfId="2" applyNumberFormat="1" applyFont="1" applyFill="1" applyAlignment="1">
      <alignment horizontal="right"/>
    </xf>
    <xf numFmtId="0" fontId="8" fillId="0" borderId="0" xfId="2" applyAlignment="1">
      <alignment horizontal="right"/>
    </xf>
    <xf numFmtId="3" fontId="8" fillId="0" borderId="0" xfId="2" applyNumberFormat="1" applyAlignment="1">
      <alignment horizontal="right"/>
    </xf>
    <xf numFmtId="3" fontId="14" fillId="0" borderId="33" xfId="2" applyNumberFormat="1" applyFont="1" applyFill="1" applyBorder="1"/>
    <xf numFmtId="3" fontId="14" fillId="0" borderId="34" xfId="2" applyNumberFormat="1" applyFont="1" applyFill="1" applyBorder="1"/>
    <xf numFmtId="3" fontId="12" fillId="10" borderId="34" xfId="2" applyNumberFormat="1" applyFont="1" applyFill="1" applyBorder="1" applyAlignment="1">
      <alignment horizontal="right" vertical="center"/>
    </xf>
    <xf numFmtId="3" fontId="12" fillId="9" borderId="35" xfId="2" applyNumberFormat="1" applyFont="1" applyFill="1" applyBorder="1" applyAlignment="1">
      <alignment horizontal="right" vertical="center"/>
    </xf>
    <xf numFmtId="3" fontId="12" fillId="0" borderId="34" xfId="2" applyNumberFormat="1" applyFont="1" applyFill="1" applyBorder="1"/>
    <xf numFmtId="3" fontId="14" fillId="0" borderId="34" xfId="2" quotePrefix="1" applyNumberFormat="1" applyFont="1" applyFill="1" applyBorder="1" applyAlignment="1">
      <alignment horizontal="right" vertical="center"/>
    </xf>
    <xf numFmtId="3" fontId="12" fillId="0" borderId="34" xfId="2" applyNumberFormat="1" applyFont="1" applyFill="1" applyBorder="1" applyAlignment="1">
      <alignment horizontal="right" vertical="center"/>
    </xf>
    <xf numFmtId="3" fontId="14" fillId="0" borderId="34" xfId="2" applyNumberFormat="1" applyFont="1" applyFill="1" applyBorder="1" applyAlignment="1">
      <alignment horizontal="right" vertical="center"/>
    </xf>
    <xf numFmtId="3" fontId="19" fillId="0" borderId="34" xfId="2" quotePrefix="1" applyNumberFormat="1" applyFont="1" applyFill="1" applyBorder="1" applyAlignment="1">
      <alignment horizontal="right" vertical="center"/>
    </xf>
    <xf numFmtId="3" fontId="16" fillId="11" borderId="34" xfId="2" applyNumberFormat="1" applyFont="1" applyFill="1" applyBorder="1" applyAlignment="1">
      <alignment horizontal="right" vertical="center"/>
    </xf>
    <xf numFmtId="3" fontId="20" fillId="6" borderId="34" xfId="2" quotePrefix="1" applyNumberFormat="1" applyFont="1" applyFill="1" applyBorder="1" applyAlignment="1">
      <alignment horizontal="right" vertical="center"/>
    </xf>
    <xf numFmtId="49" fontId="23" fillId="0" borderId="21" xfId="2" applyNumberFormat="1" applyFont="1" applyFill="1" applyBorder="1" applyAlignment="1">
      <alignment horizontal="center" vertical="center"/>
    </xf>
    <xf numFmtId="3" fontId="14" fillId="0" borderId="11" xfId="4" applyNumberFormat="1" applyFont="1" applyFill="1" applyBorder="1" applyAlignment="1">
      <alignment horizontal="right" vertical="center" wrapText="1"/>
    </xf>
    <xf numFmtId="3" fontId="12" fillId="0" borderId="11" xfId="4" applyNumberFormat="1" applyFont="1" applyFill="1" applyBorder="1" applyAlignment="1">
      <alignment horizontal="right" vertical="center" wrapText="1"/>
    </xf>
    <xf numFmtId="3" fontId="20" fillId="6" borderId="11" xfId="2" quotePrefix="1" applyNumberFormat="1" applyFont="1" applyFill="1" applyBorder="1" applyAlignment="1">
      <alignment horizontal="right" vertical="center"/>
    </xf>
    <xf numFmtId="0" fontId="8" fillId="0" borderId="15" xfId="2" applyBorder="1"/>
    <xf numFmtId="3" fontId="14" fillId="0" borderId="35" xfId="2" applyNumberFormat="1" applyFont="1" applyFill="1" applyBorder="1"/>
    <xf numFmtId="3" fontId="14" fillId="0" borderId="33" xfId="2" quotePrefix="1" applyNumberFormat="1" applyFont="1" applyFill="1" applyBorder="1" applyAlignment="1">
      <alignment horizontal="right" vertical="center"/>
    </xf>
    <xf numFmtId="3" fontId="14" fillId="6" borderId="15" xfId="2" quotePrefix="1" applyNumberFormat="1" applyFont="1" applyFill="1" applyBorder="1" applyAlignment="1">
      <alignment horizontal="right" vertical="center"/>
    </xf>
    <xf numFmtId="3" fontId="14" fillId="6" borderId="11" xfId="2" quotePrefix="1" applyNumberFormat="1" applyFont="1" applyFill="1" applyBorder="1" applyAlignment="1">
      <alignment horizontal="right" vertical="center"/>
    </xf>
    <xf numFmtId="3" fontId="14" fillId="6" borderId="34" xfId="2" applyNumberFormat="1" applyFont="1" applyFill="1" applyBorder="1" applyAlignment="1">
      <alignment horizontal="right" vertical="center"/>
    </xf>
    <xf numFmtId="49" fontId="23" fillId="0" borderId="36" xfId="2" applyNumberFormat="1" applyFont="1" applyFill="1" applyBorder="1" applyAlignment="1">
      <alignment horizontal="center" vertical="center" wrapText="1"/>
    </xf>
    <xf numFmtId="3" fontId="14" fillId="0" borderId="37" xfId="2" applyNumberFormat="1" applyFont="1" applyFill="1" applyBorder="1"/>
    <xf numFmtId="3" fontId="12" fillId="0" borderId="37" xfId="2" applyNumberFormat="1" applyFont="1" applyFill="1" applyBorder="1" applyAlignment="1">
      <alignment horizontal="right" vertical="center"/>
    </xf>
    <xf numFmtId="3" fontId="10" fillId="7" borderId="38" xfId="2" applyNumberFormat="1" applyFont="1" applyFill="1" applyBorder="1" applyAlignment="1">
      <alignment horizontal="right" vertical="center"/>
    </xf>
    <xf numFmtId="49" fontId="23" fillId="0" borderId="24" xfId="2" applyNumberFormat="1" applyFont="1" applyFill="1" applyBorder="1" applyAlignment="1">
      <alignment horizontal="center" vertical="center" wrapText="1"/>
    </xf>
    <xf numFmtId="3" fontId="14" fillId="0" borderId="39" xfId="2" applyNumberFormat="1" applyFont="1" applyFill="1" applyBorder="1"/>
    <xf numFmtId="3" fontId="14" fillId="0" borderId="31" xfId="2" applyNumberFormat="1" applyFont="1" applyFill="1" applyBorder="1"/>
    <xf numFmtId="3" fontId="12" fillId="0" borderId="31" xfId="2" applyNumberFormat="1" applyFont="1" applyFill="1" applyBorder="1"/>
    <xf numFmtId="3" fontId="14" fillId="0" borderId="40" xfId="2" applyNumberFormat="1" applyFont="1" applyFill="1" applyBorder="1"/>
    <xf numFmtId="3" fontId="12" fillId="9" borderId="40" xfId="2" applyNumberFormat="1" applyFont="1" applyFill="1" applyBorder="1" applyAlignment="1">
      <alignment horizontal="right" vertical="center"/>
    </xf>
    <xf numFmtId="3" fontId="14" fillId="0" borderId="41" xfId="2" quotePrefix="1" applyNumberFormat="1" applyFont="1" applyFill="1" applyBorder="1" applyAlignment="1">
      <alignment horizontal="right" vertical="center"/>
    </xf>
    <xf numFmtId="3" fontId="14" fillId="0" borderId="31" xfId="2" quotePrefix="1" applyNumberFormat="1" applyFont="1" applyFill="1" applyBorder="1" applyAlignment="1">
      <alignment horizontal="right" vertical="center"/>
    </xf>
    <xf numFmtId="3" fontId="12" fillId="0" borderId="31" xfId="2" applyNumberFormat="1" applyFont="1" applyFill="1" applyBorder="1" applyAlignment="1">
      <alignment horizontal="right" vertical="center"/>
    </xf>
    <xf numFmtId="3" fontId="12" fillId="10" borderId="31" xfId="2" applyNumberFormat="1" applyFont="1" applyFill="1" applyBorder="1" applyAlignment="1">
      <alignment horizontal="right" vertical="center"/>
    </xf>
    <xf numFmtId="3" fontId="19" fillId="0" borderId="31" xfId="2" quotePrefix="1" applyNumberFormat="1" applyFont="1" applyFill="1" applyBorder="1" applyAlignment="1">
      <alignment horizontal="right" vertical="center"/>
    </xf>
    <xf numFmtId="3" fontId="16" fillId="11" borderId="31" xfId="2" applyNumberFormat="1" applyFont="1" applyFill="1" applyBorder="1" applyAlignment="1">
      <alignment horizontal="right" vertical="center"/>
    </xf>
    <xf numFmtId="3" fontId="10" fillId="7" borderId="24" xfId="2" applyNumberFormat="1" applyFont="1" applyFill="1" applyBorder="1" applyAlignment="1">
      <alignment horizontal="right" vertical="center"/>
    </xf>
    <xf numFmtId="2" fontId="2" fillId="0" borderId="0" xfId="1" applyNumberFormat="1" applyFont="1" applyAlignment="1">
      <alignment vertical="center" wrapText="1"/>
    </xf>
    <xf numFmtId="3" fontId="27" fillId="5" borderId="1" xfId="0" applyNumberFormat="1" applyFont="1" applyFill="1" applyBorder="1" applyAlignment="1">
      <alignment vertical="center" wrapText="1"/>
    </xf>
    <xf numFmtId="3" fontId="27" fillId="4" borderId="1" xfId="0" applyNumberFormat="1" applyFont="1" applyFill="1" applyBorder="1" applyAlignment="1">
      <alignment vertical="center" wrapText="1"/>
    </xf>
    <xf numFmtId="3" fontId="28" fillId="3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0" fontId="17" fillId="1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3" fontId="31" fillId="0" borderId="1" xfId="0" applyNumberFormat="1" applyFont="1" applyBorder="1" applyAlignment="1">
      <alignment horizontal="right" vertical="top" wrapText="1"/>
    </xf>
    <xf numFmtId="0" fontId="17" fillId="1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vertical="center" wrapText="1"/>
    </xf>
    <xf numFmtId="3" fontId="3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 wrapText="1"/>
    </xf>
    <xf numFmtId="3" fontId="30" fillId="12" borderId="1" xfId="0" applyNumberFormat="1" applyFont="1" applyFill="1" applyBorder="1" applyAlignment="1">
      <alignment horizontal="center" vertical="center" wrapText="1"/>
    </xf>
    <xf numFmtId="3" fontId="19" fillId="6" borderId="11" xfId="2" quotePrefix="1" applyNumberFormat="1" applyFont="1" applyFill="1" applyBorder="1" applyAlignment="1">
      <alignment horizontal="right" vertical="center"/>
    </xf>
    <xf numFmtId="3" fontId="14" fillId="6" borderId="11" xfId="2" applyNumberFormat="1" applyFont="1" applyFill="1" applyBorder="1" applyAlignment="1">
      <alignment horizontal="right" vertical="center"/>
    </xf>
    <xf numFmtId="9" fontId="0" fillId="0" borderId="0" xfId="1" applyFont="1"/>
    <xf numFmtId="9" fontId="7" fillId="0" borderId="0" xfId="1" applyFont="1"/>
    <xf numFmtId="3" fontId="4" fillId="0" borderId="0" xfId="0" applyNumberFormat="1" applyFont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top" wrapText="1"/>
    </xf>
    <xf numFmtId="0" fontId="17" fillId="12" borderId="34" xfId="0" applyFont="1" applyFill="1" applyBorder="1" applyAlignment="1">
      <alignment horizontal="center" vertical="top" wrapText="1"/>
    </xf>
    <xf numFmtId="0" fontId="17" fillId="12" borderId="37" xfId="0" applyFont="1" applyFill="1" applyBorder="1" applyAlignment="1">
      <alignment horizontal="center" vertical="top" wrapText="1"/>
    </xf>
  </cellXfs>
  <cellStyles count="5">
    <cellStyle name="Normál" xfId="0" builtinId="0"/>
    <cellStyle name="Normál 2" xfId="2" xr:uid="{00000000-0005-0000-0000-000001000000}"/>
    <cellStyle name="Normál_06" xfId="4" xr:uid="{00000000-0005-0000-0000-000002000000}"/>
    <cellStyle name="Százalék" xfId="1" builtinId="5"/>
    <cellStyle name="Százalék 2" xfId="3" xr:uid="{00000000-0005-0000-0000-000004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4" zoomScale="90" zoomScaleNormal="90" workbookViewId="0">
      <selection activeCell="D64" sqref="D64"/>
    </sheetView>
  </sheetViews>
  <sheetFormatPr defaultColWidth="9.140625" defaultRowHeight="15.75" x14ac:dyDescent="0.25"/>
  <cols>
    <col min="1" max="1" width="9.42578125" style="197" bestFit="1" customWidth="1"/>
    <col min="2" max="2" width="79.5703125" style="1" customWidth="1"/>
    <col min="3" max="4" width="14" style="1" bestFit="1" customWidth="1"/>
    <col min="5" max="5" width="22.28515625" style="1" bestFit="1" customWidth="1"/>
    <col min="6" max="6" width="14" style="1" bestFit="1" customWidth="1"/>
    <col min="7" max="16384" width="9.140625" style="1"/>
  </cols>
  <sheetData>
    <row r="1" spans="1:6" ht="21" x14ac:dyDescent="0.25">
      <c r="A1" s="207" t="s">
        <v>291</v>
      </c>
      <c r="B1" s="207"/>
      <c r="C1" s="207"/>
      <c r="D1" s="207"/>
      <c r="E1" s="207"/>
      <c r="F1" s="207"/>
    </row>
    <row r="3" spans="1:6" ht="15.75" customHeight="1" x14ac:dyDescent="0.25">
      <c r="A3" s="208" t="s">
        <v>221</v>
      </c>
      <c r="B3" s="209"/>
      <c r="C3" s="209"/>
      <c r="D3" s="209"/>
      <c r="E3" s="209"/>
      <c r="F3" s="210"/>
    </row>
    <row r="4" spans="1:6" ht="94.5" x14ac:dyDescent="0.25">
      <c r="A4" s="193" t="s">
        <v>222</v>
      </c>
      <c r="B4" s="190" t="s">
        <v>0</v>
      </c>
      <c r="C4" s="190" t="s">
        <v>223</v>
      </c>
      <c r="D4" s="190" t="s">
        <v>224</v>
      </c>
      <c r="E4" s="190" t="s">
        <v>225</v>
      </c>
      <c r="F4" s="190" t="s">
        <v>3</v>
      </c>
    </row>
    <row r="5" spans="1:6" x14ac:dyDescent="0.25">
      <c r="A5" s="193">
        <v>2</v>
      </c>
      <c r="B5" s="190">
        <v>3</v>
      </c>
      <c r="C5" s="190">
        <v>4</v>
      </c>
      <c r="D5" s="190">
        <v>5</v>
      </c>
      <c r="E5" s="190">
        <v>7</v>
      </c>
      <c r="F5" s="190">
        <v>10</v>
      </c>
    </row>
    <row r="6" spans="1:6" x14ac:dyDescent="0.25">
      <c r="A6" s="194" t="s">
        <v>226</v>
      </c>
      <c r="B6" s="191" t="s">
        <v>4</v>
      </c>
      <c r="C6" s="192">
        <v>38085989</v>
      </c>
      <c r="D6" s="192">
        <v>38025570</v>
      </c>
      <c r="E6" s="192">
        <v>38025570</v>
      </c>
      <c r="F6" s="192">
        <v>38025570</v>
      </c>
    </row>
    <row r="7" spans="1:6" x14ac:dyDescent="0.25">
      <c r="A7" s="194" t="s">
        <v>227</v>
      </c>
      <c r="B7" s="191" t="s">
        <v>5</v>
      </c>
      <c r="C7" s="192">
        <v>25190</v>
      </c>
      <c r="D7" s="192">
        <v>25190</v>
      </c>
      <c r="E7" s="192">
        <v>25190</v>
      </c>
      <c r="F7" s="192">
        <v>25190</v>
      </c>
    </row>
    <row r="8" spans="1:6" x14ac:dyDescent="0.25">
      <c r="A8" s="194" t="s">
        <v>228</v>
      </c>
      <c r="B8" s="191" t="s">
        <v>6</v>
      </c>
      <c r="C8" s="192">
        <v>1735475</v>
      </c>
      <c r="D8" s="192">
        <v>1730200</v>
      </c>
      <c r="E8" s="192">
        <v>1730200</v>
      </c>
      <c r="F8" s="192">
        <v>1730200</v>
      </c>
    </row>
    <row r="9" spans="1:6" x14ac:dyDescent="0.25">
      <c r="A9" s="194" t="s">
        <v>229</v>
      </c>
      <c r="B9" s="191" t="s">
        <v>7</v>
      </c>
      <c r="C9" s="192">
        <v>144000</v>
      </c>
      <c r="D9" s="192">
        <v>130431</v>
      </c>
      <c r="E9" s="192">
        <v>130431</v>
      </c>
      <c r="F9" s="192">
        <v>130431</v>
      </c>
    </row>
    <row r="10" spans="1:6" x14ac:dyDescent="0.25">
      <c r="A10" s="194" t="s">
        <v>230</v>
      </c>
      <c r="B10" s="191" t="s">
        <v>8</v>
      </c>
      <c r="C10" s="192">
        <v>3600</v>
      </c>
      <c r="D10" s="192">
        <v>145261</v>
      </c>
      <c r="E10" s="192">
        <v>145261</v>
      </c>
      <c r="F10" s="192">
        <v>145261</v>
      </c>
    </row>
    <row r="11" spans="1:6" x14ac:dyDescent="0.25">
      <c r="A11" s="194" t="s">
        <v>231</v>
      </c>
      <c r="B11" s="191" t="s">
        <v>232</v>
      </c>
      <c r="C11" s="192">
        <v>39994254</v>
      </c>
      <c r="D11" s="192">
        <v>40056652</v>
      </c>
      <c r="E11" s="192">
        <v>40056652</v>
      </c>
      <c r="F11" s="192">
        <v>40056652</v>
      </c>
    </row>
    <row r="12" spans="1:6" x14ac:dyDescent="0.25">
      <c r="A12" s="194" t="s">
        <v>233</v>
      </c>
      <c r="B12" s="191" t="s">
        <v>10</v>
      </c>
      <c r="C12" s="192">
        <v>0</v>
      </c>
      <c r="D12" s="192">
        <v>165100</v>
      </c>
      <c r="E12" s="192">
        <v>165100</v>
      </c>
      <c r="F12" s="192">
        <v>165100</v>
      </c>
    </row>
    <row r="13" spans="1:6" x14ac:dyDescent="0.25">
      <c r="A13" s="194" t="s">
        <v>234</v>
      </c>
      <c r="B13" s="191" t="s">
        <v>11</v>
      </c>
      <c r="C13" s="192">
        <v>0</v>
      </c>
      <c r="D13" s="192">
        <v>165100</v>
      </c>
      <c r="E13" s="192">
        <v>165100</v>
      </c>
      <c r="F13" s="192">
        <v>165100</v>
      </c>
    </row>
    <row r="14" spans="1:6" ht="18.75" x14ac:dyDescent="0.25">
      <c r="A14" s="195" t="s">
        <v>235</v>
      </c>
      <c r="B14" s="7" t="s">
        <v>236</v>
      </c>
      <c r="C14" s="188">
        <v>39994254</v>
      </c>
      <c r="D14" s="188">
        <v>40221752</v>
      </c>
      <c r="E14" s="188">
        <v>40221752</v>
      </c>
      <c r="F14" s="188">
        <v>40221752</v>
      </c>
    </row>
    <row r="15" spans="1:6" s="5" customFormat="1" ht="18.75" x14ac:dyDescent="0.25">
      <c r="A15" s="195" t="s">
        <v>237</v>
      </c>
      <c r="B15" s="7" t="s">
        <v>238</v>
      </c>
      <c r="C15" s="188">
        <v>8149897</v>
      </c>
      <c r="D15" s="188">
        <v>8236319</v>
      </c>
      <c r="E15" s="188">
        <v>8236319</v>
      </c>
      <c r="F15" s="188">
        <v>8236319</v>
      </c>
    </row>
    <row r="16" spans="1:6" s="5" customFormat="1" x14ac:dyDescent="0.25">
      <c r="A16" s="194" t="s">
        <v>239</v>
      </c>
      <c r="B16" s="191" t="s">
        <v>14</v>
      </c>
      <c r="C16" s="192">
        <v>0</v>
      </c>
      <c r="D16" s="192">
        <v>0</v>
      </c>
      <c r="E16" s="192">
        <v>0</v>
      </c>
      <c r="F16" s="192">
        <v>7547332</v>
      </c>
    </row>
    <row r="17" spans="1:7" s="5" customFormat="1" x14ac:dyDescent="0.25">
      <c r="A17" s="194" t="s">
        <v>240</v>
      </c>
      <c r="B17" s="191" t="s">
        <v>241</v>
      </c>
      <c r="C17" s="192">
        <v>0</v>
      </c>
      <c r="D17" s="192">
        <v>0</v>
      </c>
      <c r="E17" s="192">
        <v>0</v>
      </c>
      <c r="F17" s="192">
        <v>285821</v>
      </c>
    </row>
    <row r="18" spans="1:7" s="5" customFormat="1" x14ac:dyDescent="0.25">
      <c r="A18" s="194" t="s">
        <v>242</v>
      </c>
      <c r="B18" s="191" t="s">
        <v>15</v>
      </c>
      <c r="C18" s="192">
        <v>0</v>
      </c>
      <c r="D18" s="192">
        <v>0</v>
      </c>
      <c r="E18" s="192">
        <v>0</v>
      </c>
      <c r="F18" s="192">
        <v>70927</v>
      </c>
    </row>
    <row r="19" spans="1:7" s="5" customFormat="1" ht="30" x14ac:dyDescent="0.25">
      <c r="A19" s="194" t="s">
        <v>243</v>
      </c>
      <c r="B19" s="191" t="s">
        <v>16</v>
      </c>
      <c r="C19" s="192">
        <v>0</v>
      </c>
      <c r="D19" s="192">
        <v>0</v>
      </c>
      <c r="E19" s="192">
        <v>0</v>
      </c>
      <c r="F19" s="192">
        <v>26000</v>
      </c>
    </row>
    <row r="20" spans="1:7" s="5" customFormat="1" x14ac:dyDescent="0.25">
      <c r="A20" s="194" t="s">
        <v>244</v>
      </c>
      <c r="B20" s="191" t="s">
        <v>245</v>
      </c>
      <c r="C20" s="192">
        <v>0</v>
      </c>
      <c r="D20" s="192">
        <v>0</v>
      </c>
      <c r="E20" s="192">
        <v>0</v>
      </c>
      <c r="F20" s="192">
        <v>306239</v>
      </c>
      <c r="G20" s="9"/>
    </row>
    <row r="21" spans="1:7" x14ac:dyDescent="0.25">
      <c r="A21" s="194" t="s">
        <v>246</v>
      </c>
      <c r="B21" s="191" t="s">
        <v>17</v>
      </c>
      <c r="C21" s="192">
        <v>88249</v>
      </c>
      <c r="D21" s="192">
        <v>262847</v>
      </c>
      <c r="E21" s="192">
        <v>262847</v>
      </c>
      <c r="F21" s="192">
        <v>262847</v>
      </c>
    </row>
    <row r="22" spans="1:7" x14ac:dyDescent="0.25">
      <c r="A22" s="194" t="s">
        <v>247</v>
      </c>
      <c r="B22" s="191" t="s">
        <v>18</v>
      </c>
      <c r="C22" s="192">
        <v>17231795</v>
      </c>
      <c r="D22" s="192">
        <v>17313624</v>
      </c>
      <c r="E22" s="192">
        <v>17313624</v>
      </c>
      <c r="F22" s="192">
        <v>17311900</v>
      </c>
    </row>
    <row r="23" spans="1:7" x14ac:dyDescent="0.25">
      <c r="A23" s="194" t="s">
        <v>248</v>
      </c>
      <c r="B23" s="191" t="s">
        <v>19</v>
      </c>
      <c r="C23" s="192">
        <v>17320044</v>
      </c>
      <c r="D23" s="192">
        <v>17576471</v>
      </c>
      <c r="E23" s="192">
        <v>17576471</v>
      </c>
      <c r="F23" s="192">
        <v>17574747</v>
      </c>
    </row>
    <row r="24" spans="1:7" x14ac:dyDescent="0.25">
      <c r="A24" s="194" t="s">
        <v>249</v>
      </c>
      <c r="B24" s="191" t="s">
        <v>20</v>
      </c>
      <c r="C24" s="192">
        <v>195928</v>
      </c>
      <c r="D24" s="192">
        <v>111345</v>
      </c>
      <c r="E24" s="192">
        <v>111345</v>
      </c>
      <c r="F24" s="192">
        <v>111345</v>
      </c>
    </row>
    <row r="25" spans="1:7" x14ac:dyDescent="0.25">
      <c r="A25" s="194" t="s">
        <v>250</v>
      </c>
      <c r="B25" s="191" t="s">
        <v>21</v>
      </c>
      <c r="C25" s="192">
        <v>27897</v>
      </c>
      <c r="D25" s="192">
        <v>24913</v>
      </c>
      <c r="E25" s="192">
        <v>24913</v>
      </c>
      <c r="F25" s="192">
        <v>24913</v>
      </c>
    </row>
    <row r="26" spans="1:7" x14ac:dyDescent="0.25">
      <c r="A26" s="194" t="s">
        <v>251</v>
      </c>
      <c r="B26" s="191" t="s">
        <v>22</v>
      </c>
      <c r="C26" s="192">
        <v>223825</v>
      </c>
      <c r="D26" s="192">
        <v>136258</v>
      </c>
      <c r="E26" s="192">
        <v>136258</v>
      </c>
      <c r="F26" s="192">
        <v>136258</v>
      </c>
    </row>
    <row r="27" spans="1:7" x14ac:dyDescent="0.25">
      <c r="A27" s="194" t="s">
        <v>252</v>
      </c>
      <c r="B27" s="191" t="s">
        <v>23</v>
      </c>
      <c r="C27" s="192">
        <v>1611238</v>
      </c>
      <c r="D27" s="192">
        <v>2352413</v>
      </c>
      <c r="E27" s="192">
        <v>2352413</v>
      </c>
      <c r="F27" s="192">
        <v>2352413</v>
      </c>
    </row>
    <row r="28" spans="1:7" x14ac:dyDescent="0.25">
      <c r="A28" s="194" t="s">
        <v>253</v>
      </c>
      <c r="B28" s="191" t="s">
        <v>24</v>
      </c>
      <c r="C28" s="192">
        <v>0</v>
      </c>
      <c r="D28" s="192">
        <v>8413</v>
      </c>
      <c r="E28" s="192">
        <v>8413</v>
      </c>
      <c r="F28" s="192">
        <v>8413</v>
      </c>
    </row>
    <row r="29" spans="1:7" x14ac:dyDescent="0.25">
      <c r="A29" s="194" t="s">
        <v>254</v>
      </c>
      <c r="B29" s="191" t="s">
        <v>25</v>
      </c>
      <c r="C29" s="192">
        <v>406194</v>
      </c>
      <c r="D29" s="192">
        <v>247343</v>
      </c>
      <c r="E29" s="192">
        <v>247343</v>
      </c>
      <c r="F29" s="192">
        <v>247343</v>
      </c>
    </row>
    <row r="30" spans="1:7" x14ac:dyDescent="0.25">
      <c r="A30" s="194" t="s">
        <v>255</v>
      </c>
      <c r="B30" s="191" t="s">
        <v>256</v>
      </c>
      <c r="C30" s="192">
        <v>192817</v>
      </c>
      <c r="D30" s="192">
        <v>402005</v>
      </c>
      <c r="E30" s="192">
        <v>402005</v>
      </c>
      <c r="F30" s="192">
        <v>402005</v>
      </c>
    </row>
    <row r="31" spans="1:7" x14ac:dyDescent="0.25">
      <c r="A31" s="194" t="s">
        <v>257</v>
      </c>
      <c r="B31" s="191" t="s">
        <v>258</v>
      </c>
      <c r="C31" s="192">
        <v>764388</v>
      </c>
      <c r="D31" s="192">
        <v>573112</v>
      </c>
      <c r="E31" s="192">
        <v>573112</v>
      </c>
      <c r="F31" s="192">
        <v>573112</v>
      </c>
    </row>
    <row r="32" spans="1:7" x14ac:dyDescent="0.25">
      <c r="A32" s="194" t="s">
        <v>259</v>
      </c>
      <c r="B32" s="191" t="s">
        <v>28</v>
      </c>
      <c r="C32" s="192">
        <v>2974637</v>
      </c>
      <c r="D32" s="192">
        <v>3583286</v>
      </c>
      <c r="E32" s="192">
        <v>3583286</v>
      </c>
      <c r="F32" s="192">
        <v>3583286</v>
      </c>
    </row>
    <row r="33" spans="1:7" x14ac:dyDescent="0.25">
      <c r="A33" s="194" t="s">
        <v>260</v>
      </c>
      <c r="B33" s="191" t="s">
        <v>29</v>
      </c>
      <c r="C33" s="192">
        <v>4298121</v>
      </c>
      <c r="D33" s="192">
        <v>4127137</v>
      </c>
      <c r="E33" s="192">
        <v>4127137</v>
      </c>
      <c r="F33" s="192">
        <v>4126668</v>
      </c>
    </row>
    <row r="34" spans="1:7" x14ac:dyDescent="0.25">
      <c r="A34" s="194" t="s">
        <v>261</v>
      </c>
      <c r="B34" s="191" t="s">
        <v>262</v>
      </c>
      <c r="C34" s="192">
        <v>363000</v>
      </c>
      <c r="D34" s="192">
        <v>363000</v>
      </c>
      <c r="E34" s="192">
        <v>363000</v>
      </c>
      <c r="F34" s="192">
        <v>363000</v>
      </c>
    </row>
    <row r="35" spans="1:7" x14ac:dyDescent="0.25">
      <c r="A35" s="194" t="s">
        <v>263</v>
      </c>
      <c r="B35" s="191" t="s">
        <v>31</v>
      </c>
      <c r="C35" s="192">
        <v>831388</v>
      </c>
      <c r="D35" s="192">
        <v>199859</v>
      </c>
      <c r="E35" s="192">
        <v>199859</v>
      </c>
      <c r="F35" s="192">
        <v>199859</v>
      </c>
    </row>
    <row r="36" spans="1:7" x14ac:dyDescent="0.25">
      <c r="A36" s="194" t="s">
        <v>264</v>
      </c>
      <c r="B36" s="191" t="s">
        <v>32</v>
      </c>
      <c r="C36" s="192">
        <v>5492509</v>
      </c>
      <c r="D36" s="192">
        <v>4689996</v>
      </c>
      <c r="E36" s="192">
        <v>4689996</v>
      </c>
      <c r="F36" s="192">
        <v>4689527</v>
      </c>
    </row>
    <row r="37" spans="1:7" ht="18.75" x14ac:dyDescent="0.25">
      <c r="A37" s="195" t="s">
        <v>265</v>
      </c>
      <c r="B37" s="7" t="s">
        <v>33</v>
      </c>
      <c r="C37" s="188">
        <v>26011015</v>
      </c>
      <c r="D37" s="188">
        <v>25986011</v>
      </c>
      <c r="E37" s="188">
        <v>25986011</v>
      </c>
      <c r="F37" s="188">
        <v>25983818</v>
      </c>
      <c r="G37" s="9"/>
    </row>
    <row r="38" spans="1:7" x14ac:dyDescent="0.25">
      <c r="A38" s="194" t="s">
        <v>266</v>
      </c>
      <c r="B38" s="191" t="s">
        <v>34</v>
      </c>
      <c r="C38" s="192">
        <v>0</v>
      </c>
      <c r="D38" s="192">
        <v>177637</v>
      </c>
      <c r="E38" s="192">
        <v>177637</v>
      </c>
      <c r="F38" s="192">
        <v>177637</v>
      </c>
    </row>
    <row r="39" spans="1:7" x14ac:dyDescent="0.25">
      <c r="A39" s="194" t="s">
        <v>267</v>
      </c>
      <c r="B39" s="191" t="s">
        <v>35</v>
      </c>
      <c r="C39" s="192">
        <v>0</v>
      </c>
      <c r="D39" s="192">
        <v>33038</v>
      </c>
      <c r="E39" s="192">
        <v>33038</v>
      </c>
      <c r="F39" s="192">
        <v>33038</v>
      </c>
    </row>
    <row r="40" spans="1:7" ht="18.75" x14ac:dyDescent="0.25">
      <c r="A40" s="195" t="s">
        <v>268</v>
      </c>
      <c r="B40" s="7" t="s">
        <v>269</v>
      </c>
      <c r="C40" s="188">
        <v>0</v>
      </c>
      <c r="D40" s="188">
        <v>210675</v>
      </c>
      <c r="E40" s="188">
        <v>210675</v>
      </c>
      <c r="F40" s="188">
        <v>210675</v>
      </c>
    </row>
    <row r="41" spans="1:7" x14ac:dyDescent="0.25">
      <c r="A41" s="194" t="s">
        <v>270</v>
      </c>
      <c r="B41" s="191" t="s">
        <v>37</v>
      </c>
      <c r="C41" s="192">
        <v>1574803</v>
      </c>
      <c r="D41" s="192">
        <v>2161132</v>
      </c>
      <c r="E41" s="192">
        <v>0</v>
      </c>
      <c r="F41" s="192">
        <v>0</v>
      </c>
    </row>
    <row r="42" spans="1:7" x14ac:dyDescent="0.25">
      <c r="A42" s="194" t="s">
        <v>271</v>
      </c>
      <c r="B42" s="191" t="s">
        <v>38</v>
      </c>
      <c r="C42" s="192">
        <v>425197</v>
      </c>
      <c r="D42" s="192">
        <v>583506</v>
      </c>
      <c r="E42" s="192">
        <v>0</v>
      </c>
      <c r="F42" s="192">
        <v>0</v>
      </c>
    </row>
    <row r="43" spans="1:7" ht="18.75" x14ac:dyDescent="0.25">
      <c r="A43" s="195" t="s">
        <v>272</v>
      </c>
      <c r="B43" s="7" t="s">
        <v>39</v>
      </c>
      <c r="C43" s="188">
        <v>2000000</v>
      </c>
      <c r="D43" s="188">
        <v>2744638</v>
      </c>
      <c r="E43" s="188">
        <v>0</v>
      </c>
      <c r="F43" s="188">
        <v>0</v>
      </c>
    </row>
    <row r="44" spans="1:7" ht="37.5" x14ac:dyDescent="0.25">
      <c r="A44" s="196" t="s">
        <v>273</v>
      </c>
      <c r="B44" s="8" t="s">
        <v>40</v>
      </c>
      <c r="C44" s="8">
        <v>76155166</v>
      </c>
      <c r="D44" s="8">
        <v>77399395</v>
      </c>
      <c r="E44" s="8">
        <v>74654757</v>
      </c>
      <c r="F44" s="8">
        <v>74652564</v>
      </c>
      <c r="G44" s="9">
        <f>F44/D44</f>
        <v>0.9645109499886918</v>
      </c>
    </row>
    <row r="45" spans="1:7" ht="18.75" x14ac:dyDescent="0.25">
      <c r="C45" s="189"/>
      <c r="D45" s="189"/>
      <c r="E45" s="189"/>
      <c r="F45" s="189"/>
    </row>
    <row r="46" spans="1:7" ht="56.25" x14ac:dyDescent="0.25">
      <c r="A46" s="200" t="s">
        <v>1</v>
      </c>
      <c r="B46" s="201" t="s">
        <v>57</v>
      </c>
      <c r="C46" s="202" t="s">
        <v>2</v>
      </c>
      <c r="D46" s="202" t="s">
        <v>44</v>
      </c>
      <c r="E46" s="202" t="s">
        <v>45</v>
      </c>
      <c r="F46" s="202" t="s">
        <v>3</v>
      </c>
    </row>
    <row r="47" spans="1:7" ht="18.75" x14ac:dyDescent="0.25">
      <c r="A47" s="200">
        <v>1</v>
      </c>
      <c r="B47" s="200">
        <v>2</v>
      </c>
      <c r="C47" s="202">
        <v>4</v>
      </c>
      <c r="D47" s="202">
        <v>5</v>
      </c>
      <c r="E47" s="202">
        <v>6</v>
      </c>
      <c r="F47" s="202">
        <v>8</v>
      </c>
    </row>
    <row r="48" spans="1:7" ht="18.75" x14ac:dyDescent="0.25">
      <c r="A48" s="198" t="s">
        <v>274</v>
      </c>
      <c r="B48" s="3" t="s">
        <v>46</v>
      </c>
      <c r="C48" s="187">
        <v>9280677</v>
      </c>
      <c r="D48" s="187">
        <v>9280677</v>
      </c>
      <c r="E48" s="187">
        <v>9064623</v>
      </c>
      <c r="F48" s="187">
        <v>8798875</v>
      </c>
      <c r="G48" s="9">
        <f>F48/+D48</f>
        <v>0.94808546833382956</v>
      </c>
    </row>
    <row r="49" spans="1:7" ht="18.75" x14ac:dyDescent="0.25">
      <c r="A49" s="198" t="s">
        <v>275</v>
      </c>
      <c r="B49" s="3" t="s">
        <v>47</v>
      </c>
      <c r="C49" s="187">
        <v>1798865</v>
      </c>
      <c r="D49" s="187">
        <v>1590619</v>
      </c>
      <c r="E49" s="187">
        <v>1590619</v>
      </c>
      <c r="F49" s="187">
        <v>1590619</v>
      </c>
      <c r="G49" s="9">
        <f>F49/+D49</f>
        <v>1</v>
      </c>
    </row>
    <row r="50" spans="1:7" ht="18.75" x14ac:dyDescent="0.25">
      <c r="A50" s="198" t="s">
        <v>271</v>
      </c>
      <c r="B50" s="3" t="s">
        <v>48</v>
      </c>
      <c r="C50" s="187">
        <v>2991477</v>
      </c>
      <c r="D50" s="187">
        <v>2876913</v>
      </c>
      <c r="E50" s="187">
        <v>2876913</v>
      </c>
      <c r="F50" s="187">
        <v>2805161</v>
      </c>
    </row>
    <row r="51" spans="1:7" ht="18.75" x14ac:dyDescent="0.25">
      <c r="A51" s="198" t="s">
        <v>276</v>
      </c>
      <c r="B51" s="3" t="s">
        <v>49</v>
      </c>
      <c r="C51" s="187">
        <v>600</v>
      </c>
      <c r="D51" s="187">
        <v>177</v>
      </c>
      <c r="E51" s="187">
        <v>177</v>
      </c>
      <c r="F51" s="187">
        <v>177</v>
      </c>
    </row>
    <row r="52" spans="1:7" ht="18.75" x14ac:dyDescent="0.25">
      <c r="A52" s="198" t="s">
        <v>277</v>
      </c>
      <c r="B52" s="3" t="s">
        <v>50</v>
      </c>
      <c r="C52" s="187">
        <v>600</v>
      </c>
      <c r="D52" s="187">
        <v>177</v>
      </c>
      <c r="E52" s="187">
        <v>177</v>
      </c>
      <c r="F52" s="187">
        <v>177</v>
      </c>
    </row>
    <row r="53" spans="1:7" ht="18.75" x14ac:dyDescent="0.25">
      <c r="A53" s="198" t="s">
        <v>278</v>
      </c>
      <c r="B53" s="3" t="s">
        <v>51</v>
      </c>
      <c r="C53" s="187">
        <v>10</v>
      </c>
      <c r="D53" s="199">
        <v>49465</v>
      </c>
      <c r="E53" s="187">
        <v>49465</v>
      </c>
      <c r="F53" s="187">
        <v>49465</v>
      </c>
    </row>
    <row r="54" spans="1:7" ht="18.75" x14ac:dyDescent="0.25">
      <c r="A54" s="198" t="s">
        <v>279</v>
      </c>
      <c r="B54" s="3" t="s">
        <v>280</v>
      </c>
      <c r="C54" s="187">
        <v>0</v>
      </c>
      <c r="D54" s="187">
        <v>0</v>
      </c>
      <c r="E54" s="187">
        <v>0</v>
      </c>
      <c r="F54" s="187">
        <v>6447</v>
      </c>
    </row>
    <row r="55" spans="1:7" ht="18.75" x14ac:dyDescent="0.25">
      <c r="A55" s="195" t="s">
        <v>281</v>
      </c>
      <c r="B55" s="7" t="s">
        <v>282</v>
      </c>
      <c r="C55" s="188">
        <v>14071629</v>
      </c>
      <c r="D55" s="188">
        <v>13797851</v>
      </c>
      <c r="E55" s="188">
        <v>13581797</v>
      </c>
      <c r="F55" s="188">
        <v>13244297</v>
      </c>
    </row>
    <row r="56" spans="1:7" ht="18.75" x14ac:dyDescent="0.25">
      <c r="A56" s="196" t="s">
        <v>283</v>
      </c>
      <c r="B56" s="8" t="s">
        <v>52</v>
      </c>
      <c r="C56" s="8">
        <v>14071629</v>
      </c>
      <c r="D56" s="8">
        <v>13797851</v>
      </c>
      <c r="E56" s="8">
        <v>13581797</v>
      </c>
      <c r="F56" s="8">
        <v>13244297</v>
      </c>
      <c r="G56" s="9">
        <f>F56/D56</f>
        <v>0.95988114381000345</v>
      </c>
    </row>
    <row r="57" spans="1:7" ht="18.75" x14ac:dyDescent="0.25">
      <c r="A57" s="198"/>
      <c r="B57" s="3"/>
      <c r="C57" s="187"/>
      <c r="D57" s="187"/>
      <c r="E57" s="187"/>
      <c r="F57" s="187"/>
    </row>
    <row r="58" spans="1:7" ht="18.75" x14ac:dyDescent="0.25">
      <c r="A58" s="198" t="s">
        <v>284</v>
      </c>
      <c r="B58" s="3" t="s">
        <v>53</v>
      </c>
      <c r="C58" s="187">
        <v>3849585</v>
      </c>
      <c r="D58" s="187">
        <v>3849585</v>
      </c>
      <c r="E58" s="187">
        <v>3849585</v>
      </c>
      <c r="F58" s="187">
        <v>3849585</v>
      </c>
    </row>
    <row r="59" spans="1:7" ht="18.75" x14ac:dyDescent="0.25">
      <c r="A59" s="198" t="s">
        <v>285</v>
      </c>
      <c r="B59" s="3" t="s">
        <v>54</v>
      </c>
      <c r="C59" s="187">
        <v>3849585</v>
      </c>
      <c r="D59" s="187">
        <v>3849585</v>
      </c>
      <c r="E59" s="187">
        <v>3849585</v>
      </c>
      <c r="F59" s="187">
        <v>3849585</v>
      </c>
    </row>
    <row r="60" spans="1:7" ht="18.75" x14ac:dyDescent="0.25">
      <c r="A60" s="198" t="s">
        <v>286</v>
      </c>
      <c r="B60" s="3" t="s">
        <v>55</v>
      </c>
      <c r="C60" s="187">
        <v>58233952</v>
      </c>
      <c r="D60" s="199">
        <v>59751959</v>
      </c>
      <c r="E60" s="187">
        <v>59751959</v>
      </c>
      <c r="F60" s="187">
        <v>59751959</v>
      </c>
    </row>
    <row r="61" spans="1:7" ht="18.75" x14ac:dyDescent="0.25">
      <c r="A61" s="195" t="s">
        <v>287</v>
      </c>
      <c r="B61" s="7" t="s">
        <v>288</v>
      </c>
      <c r="C61" s="188">
        <v>62083537</v>
      </c>
      <c r="D61" s="188">
        <v>63601544</v>
      </c>
      <c r="E61" s="188">
        <v>63601544</v>
      </c>
      <c r="F61" s="188">
        <v>63601544</v>
      </c>
    </row>
    <row r="62" spans="1:7" ht="18.75" x14ac:dyDescent="0.25">
      <c r="A62" s="196" t="s">
        <v>249</v>
      </c>
      <c r="B62" s="8" t="s">
        <v>56</v>
      </c>
      <c r="C62" s="8">
        <v>62083537</v>
      </c>
      <c r="D62" s="8">
        <v>63601544</v>
      </c>
      <c r="E62" s="8">
        <v>63601544</v>
      </c>
      <c r="F62" s="8">
        <v>63601544</v>
      </c>
      <c r="G62" s="9">
        <f>F62/D62</f>
        <v>1</v>
      </c>
    </row>
    <row r="63" spans="1:7" ht="18.75" x14ac:dyDescent="0.25">
      <c r="A63" s="196"/>
      <c r="B63" s="8" t="s">
        <v>58</v>
      </c>
      <c r="C63" s="8">
        <f>C56+C62</f>
        <v>76155166</v>
      </c>
      <c r="D63" s="8">
        <f>D56+D62</f>
        <v>77399395</v>
      </c>
      <c r="E63" s="8">
        <f>E56+E62</f>
        <v>77183341</v>
      </c>
      <c r="F63" s="8">
        <f>F56+F62</f>
        <v>76845841</v>
      </c>
      <c r="G63" s="9">
        <f>F63/D63</f>
        <v>0.99284808363166144</v>
      </c>
    </row>
    <row r="64" spans="1:7" x14ac:dyDescent="0.25">
      <c r="D64" s="183"/>
      <c r="F64" s="9">
        <f>F44/F63</f>
        <v>0.97145874166436674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3:F3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topLeftCell="B25" workbookViewId="0">
      <selection activeCell="E43" sqref="E43"/>
    </sheetView>
  </sheetViews>
  <sheetFormatPr defaultRowHeight="15" x14ac:dyDescent="0.25"/>
  <cols>
    <col min="1" max="1" width="9.42578125" bestFit="1" customWidth="1"/>
    <col min="2" max="2" width="90.85546875" bestFit="1" customWidth="1"/>
    <col min="3" max="3" width="14" bestFit="1" customWidth="1"/>
    <col min="4" max="4" width="15.5703125" style="12" customWidth="1"/>
    <col min="5" max="5" width="14" bestFit="1" customWidth="1"/>
    <col min="6" max="6" width="16.42578125" style="12" customWidth="1"/>
    <col min="7" max="7" width="14" bestFit="1" customWidth="1"/>
  </cols>
  <sheetData>
    <row r="1" spans="1:7" ht="15.75" x14ac:dyDescent="0.25">
      <c r="A1" s="2" t="s">
        <v>1</v>
      </c>
      <c r="B1" s="2" t="s">
        <v>0</v>
      </c>
      <c r="C1" s="2" t="s">
        <v>3</v>
      </c>
      <c r="D1" s="11" t="s">
        <v>63</v>
      </c>
      <c r="E1" s="2" t="s">
        <v>42</v>
      </c>
      <c r="F1" s="11" t="s">
        <v>64</v>
      </c>
      <c r="G1" s="2" t="s">
        <v>43</v>
      </c>
    </row>
    <row r="2" spans="1:7" ht="15.75" x14ac:dyDescent="0.25">
      <c r="A2" s="2">
        <v>1</v>
      </c>
      <c r="B2" s="2">
        <v>2</v>
      </c>
      <c r="C2" s="2">
        <v>3</v>
      </c>
      <c r="D2" s="11"/>
      <c r="E2" s="2">
        <v>4</v>
      </c>
      <c r="F2" s="11"/>
      <c r="G2" s="2">
        <v>5</v>
      </c>
    </row>
    <row r="3" spans="1:7" ht="15.75" x14ac:dyDescent="0.25">
      <c r="A3" s="3">
        <v>1</v>
      </c>
      <c r="B3" s="3" t="s">
        <v>4</v>
      </c>
      <c r="C3" s="3">
        <f>SUM(E3+G3)</f>
        <v>38025570</v>
      </c>
      <c r="D3" s="4">
        <v>27265239</v>
      </c>
      <c r="E3" s="3">
        <f>Óvoda!M18</f>
        <v>27130622</v>
      </c>
      <c r="F3" s="4">
        <v>10820750</v>
      </c>
      <c r="G3" s="3">
        <f>Konyha!O15</f>
        <v>10894948</v>
      </c>
    </row>
    <row r="4" spans="1:7" ht="15.75" x14ac:dyDescent="0.25">
      <c r="A4" s="3">
        <v>3</v>
      </c>
      <c r="B4" s="3" t="s">
        <v>5</v>
      </c>
      <c r="C4" s="3">
        <f t="shared" ref="C4:C36" si="0">SUM(E4+G4)</f>
        <v>25190</v>
      </c>
      <c r="D4" s="4">
        <v>25190</v>
      </c>
      <c r="E4" s="3">
        <f>Óvoda!M19</f>
        <v>25190</v>
      </c>
      <c r="F4" s="4"/>
      <c r="G4" s="3"/>
    </row>
    <row r="5" spans="1:7" ht="15.75" x14ac:dyDescent="0.25">
      <c r="A5" s="3"/>
      <c r="B5" s="3" t="s">
        <v>6</v>
      </c>
      <c r="C5" s="3"/>
      <c r="D5" s="4">
        <v>1139400</v>
      </c>
      <c r="E5" s="3"/>
      <c r="F5" s="4">
        <v>596075</v>
      </c>
      <c r="G5" s="3"/>
    </row>
    <row r="6" spans="1:7" ht="15.75" x14ac:dyDescent="0.25">
      <c r="A6" s="3">
        <v>9</v>
      </c>
      <c r="B6" s="3" t="s">
        <v>7</v>
      </c>
      <c r="C6" s="3">
        <f t="shared" si="0"/>
        <v>130431</v>
      </c>
      <c r="D6" s="4"/>
      <c r="E6" s="3"/>
      <c r="F6" s="4">
        <v>144000</v>
      </c>
      <c r="G6" s="3">
        <f>Konyha!O18</f>
        <v>130431</v>
      </c>
    </row>
    <row r="7" spans="1:7" ht="15.75" x14ac:dyDescent="0.25">
      <c r="A7" s="3">
        <v>13</v>
      </c>
      <c r="B7" s="3" t="s">
        <v>59</v>
      </c>
      <c r="C7" s="3">
        <f t="shared" si="0"/>
        <v>55831</v>
      </c>
      <c r="D7" s="4">
        <v>3600</v>
      </c>
      <c r="E7" s="10">
        <f>Óvoda!M22</f>
        <v>55831</v>
      </c>
      <c r="F7" s="4"/>
      <c r="G7" s="3"/>
    </row>
    <row r="8" spans="1:7" ht="15.75" x14ac:dyDescent="0.25">
      <c r="A8" s="6">
        <v>15</v>
      </c>
      <c r="B8" s="6" t="s">
        <v>9</v>
      </c>
      <c r="C8" s="6">
        <f t="shared" si="0"/>
        <v>38237022</v>
      </c>
      <c r="D8" s="185">
        <f>SUM(D3:D7)</f>
        <v>28433429</v>
      </c>
      <c r="E8" s="6">
        <f>SUM(E3:E7)</f>
        <v>27211643</v>
      </c>
      <c r="F8" s="185">
        <f>SUM(F3:F7)</f>
        <v>11560825</v>
      </c>
      <c r="G8" s="6">
        <f>SUM(G3:G7)</f>
        <v>11025379</v>
      </c>
    </row>
    <row r="9" spans="1:7" ht="15.75" x14ac:dyDescent="0.25">
      <c r="A9" s="3">
        <v>18</v>
      </c>
      <c r="B9" s="3" t="s">
        <v>60</v>
      </c>
      <c r="C9" s="3">
        <f t="shared" si="0"/>
        <v>165100</v>
      </c>
      <c r="D9" s="4">
        <v>0</v>
      </c>
      <c r="E9" s="3">
        <v>0</v>
      </c>
      <c r="F9" s="4">
        <v>0</v>
      </c>
      <c r="G9" s="10">
        <f>Konyha!O21</f>
        <v>165100</v>
      </c>
    </row>
    <row r="10" spans="1:7" ht="15.75" x14ac:dyDescent="0.25">
      <c r="A10" s="6">
        <v>19</v>
      </c>
      <c r="B10" s="6" t="s">
        <v>11</v>
      </c>
      <c r="C10" s="6">
        <f t="shared" si="0"/>
        <v>165100</v>
      </c>
      <c r="D10" s="185">
        <f>SUM(D9)</f>
        <v>0</v>
      </c>
      <c r="E10" s="6">
        <f>SUM(E9)</f>
        <v>0</v>
      </c>
      <c r="F10" s="185">
        <f>SUM(F9)</f>
        <v>0</v>
      </c>
      <c r="G10" s="6">
        <f>SUM(G9)</f>
        <v>165100</v>
      </c>
    </row>
    <row r="11" spans="1:7" ht="15.75" x14ac:dyDescent="0.25">
      <c r="A11" s="7">
        <v>20</v>
      </c>
      <c r="B11" s="7" t="s">
        <v>12</v>
      </c>
      <c r="C11" s="7">
        <f t="shared" si="0"/>
        <v>38402122</v>
      </c>
      <c r="D11" s="184">
        <f>D8+D10</f>
        <v>28433429</v>
      </c>
      <c r="E11" s="7">
        <f>SUM(E8+E10)</f>
        <v>27211643</v>
      </c>
      <c r="F11" s="184">
        <f>SUM(F8+F10)</f>
        <v>11560825</v>
      </c>
      <c r="G11" s="7">
        <f>SUM(G8+G10)</f>
        <v>11190479</v>
      </c>
    </row>
    <row r="12" spans="1:7" ht="15.75" x14ac:dyDescent="0.25">
      <c r="A12" s="7">
        <v>21</v>
      </c>
      <c r="B12" s="7" t="s">
        <v>13</v>
      </c>
      <c r="C12" s="7">
        <f t="shared" si="0"/>
        <v>7943264</v>
      </c>
      <c r="D12" s="184">
        <f>SUM(D13:D17)</f>
        <v>5814249</v>
      </c>
      <c r="E12" s="7">
        <f>SUM(E13:E17)</f>
        <v>5641694</v>
      </c>
      <c r="F12" s="184">
        <f>SUM(F13:F17)</f>
        <v>2335648</v>
      </c>
      <c r="G12" s="7">
        <f>SUM(G13:G17)</f>
        <v>2301570</v>
      </c>
    </row>
    <row r="13" spans="1:7" ht="15.75" x14ac:dyDescent="0.25">
      <c r="A13" s="4">
        <v>22</v>
      </c>
      <c r="B13" s="4" t="s">
        <v>14</v>
      </c>
      <c r="C13" s="4">
        <f t="shared" si="0"/>
        <v>7579544</v>
      </c>
      <c r="D13" s="4">
        <v>5370097</v>
      </c>
      <c r="E13" s="4">
        <f>Óvoda!M28</f>
        <v>5383719</v>
      </c>
      <c r="F13" s="4">
        <v>2131671</v>
      </c>
      <c r="G13" s="4">
        <f>Konyha!O25</f>
        <v>2195825</v>
      </c>
    </row>
    <row r="14" spans="1:7" ht="15.75" x14ac:dyDescent="0.25">
      <c r="A14" s="4"/>
      <c r="B14" s="4" t="s">
        <v>219</v>
      </c>
      <c r="C14" s="4">
        <f t="shared" si="0"/>
        <v>188226</v>
      </c>
      <c r="D14" s="4">
        <v>188229</v>
      </c>
      <c r="E14" s="4">
        <f>Óvoda!M29</f>
        <v>188226</v>
      </c>
      <c r="F14" s="4">
        <v>98472</v>
      </c>
      <c r="G14" s="4"/>
    </row>
    <row r="15" spans="1:7" ht="15.75" x14ac:dyDescent="0.25">
      <c r="A15" s="4">
        <v>25</v>
      </c>
      <c r="B15" s="4" t="s">
        <v>15</v>
      </c>
      <c r="C15" s="4">
        <f t="shared" si="0"/>
        <v>70927</v>
      </c>
      <c r="D15" s="4">
        <v>54249</v>
      </c>
      <c r="E15" s="4">
        <f>Óvoda!M30</f>
        <v>69749</v>
      </c>
      <c r="F15" s="4">
        <v>0</v>
      </c>
      <c r="G15" s="4">
        <f>Konyha!O27</f>
        <v>1178</v>
      </c>
    </row>
    <row r="16" spans="1:7" ht="15.75" x14ac:dyDescent="0.25">
      <c r="A16" s="4"/>
      <c r="B16" s="4" t="s">
        <v>115</v>
      </c>
      <c r="C16" s="4">
        <f>SUM(E16+G16)</f>
        <v>0</v>
      </c>
      <c r="D16" s="4">
        <v>201674</v>
      </c>
      <c r="E16" s="4"/>
      <c r="F16" s="4">
        <v>105505</v>
      </c>
      <c r="G16" s="4"/>
    </row>
    <row r="17" spans="1:7" ht="31.5" x14ac:dyDescent="0.25">
      <c r="A17" s="4">
        <v>26</v>
      </c>
      <c r="B17" s="4" t="s">
        <v>16</v>
      </c>
      <c r="C17" s="4">
        <f t="shared" si="0"/>
        <v>104567</v>
      </c>
      <c r="D17" s="4">
        <v>0</v>
      </c>
      <c r="E17" s="4">
        <v>0</v>
      </c>
      <c r="F17" s="4">
        <v>0</v>
      </c>
      <c r="G17" s="10">
        <f>Konyha!O28</f>
        <v>104567</v>
      </c>
    </row>
    <row r="18" spans="1:7" ht="18.75" x14ac:dyDescent="0.25">
      <c r="A18" s="8"/>
      <c r="B18" s="8" t="s">
        <v>41</v>
      </c>
      <c r="C18" s="8">
        <f t="shared" si="0"/>
        <v>46345386</v>
      </c>
      <c r="D18" s="186">
        <f>SUM(D11:D12)</f>
        <v>34247678</v>
      </c>
      <c r="E18" s="8">
        <f>SUM(E11:E12)</f>
        <v>32853337</v>
      </c>
      <c r="F18" s="186">
        <f>SUM(F11:F12)</f>
        <v>13896473</v>
      </c>
      <c r="G18" s="8">
        <f>SUM(G11:G12)</f>
        <v>13492049</v>
      </c>
    </row>
    <row r="19" spans="1:7" ht="15.75" x14ac:dyDescent="0.25">
      <c r="A19" s="3">
        <v>28</v>
      </c>
      <c r="B19" s="3" t="s">
        <v>17</v>
      </c>
      <c r="C19" s="3">
        <f t="shared" si="0"/>
        <v>262847</v>
      </c>
      <c r="D19" s="4">
        <v>88249</v>
      </c>
      <c r="E19" s="10">
        <f>Óvoda!M33</f>
        <v>262847</v>
      </c>
      <c r="F19" s="4"/>
      <c r="G19" s="3"/>
    </row>
    <row r="20" spans="1:7" ht="15.75" x14ac:dyDescent="0.25">
      <c r="A20" s="3">
        <v>29</v>
      </c>
      <c r="B20" s="3" t="s">
        <v>18</v>
      </c>
      <c r="C20" s="3">
        <f t="shared" si="0"/>
        <v>17311900</v>
      </c>
      <c r="D20" s="4">
        <v>1220779</v>
      </c>
      <c r="E20" s="3">
        <f>Óvoda!M34</f>
        <v>1123332</v>
      </c>
      <c r="F20" s="4">
        <v>16011015.598425196</v>
      </c>
      <c r="G20" s="3">
        <f>Konyha!O30</f>
        <v>16188568</v>
      </c>
    </row>
    <row r="21" spans="1:7" ht="15.75" x14ac:dyDescent="0.25">
      <c r="A21" s="6">
        <v>31</v>
      </c>
      <c r="B21" s="6" t="s">
        <v>19</v>
      </c>
      <c r="C21" s="6">
        <f t="shared" si="0"/>
        <v>17574747</v>
      </c>
      <c r="D21" s="185">
        <f>SUM(D19:D20)</f>
        <v>1309028</v>
      </c>
      <c r="E21" s="6">
        <f>SUM(E19:E20)</f>
        <v>1386179</v>
      </c>
      <c r="F21" s="185">
        <f>SUM(F19:F20)</f>
        <v>16011015.598425196</v>
      </c>
      <c r="G21" s="6">
        <f>SUM(G19:G20)</f>
        <v>16188568</v>
      </c>
    </row>
    <row r="22" spans="1:7" ht="15.75" x14ac:dyDescent="0.25">
      <c r="A22" s="3">
        <v>32</v>
      </c>
      <c r="B22" s="3" t="s">
        <v>20</v>
      </c>
      <c r="C22" s="3">
        <f t="shared" si="0"/>
        <v>111345</v>
      </c>
      <c r="D22" s="4">
        <v>85145</v>
      </c>
      <c r="E22" s="3">
        <f>Óvoda!M36</f>
        <v>45833</v>
      </c>
      <c r="F22" s="4">
        <v>110782.95</v>
      </c>
      <c r="G22" s="3">
        <f>Konyha!O32</f>
        <v>65512</v>
      </c>
    </row>
    <row r="23" spans="1:7" ht="15.75" x14ac:dyDescent="0.25">
      <c r="A23" s="3">
        <v>33</v>
      </c>
      <c r="B23" s="3" t="s">
        <v>21</v>
      </c>
      <c r="C23" s="3">
        <f t="shared" si="0"/>
        <v>24913</v>
      </c>
      <c r="D23" s="4">
        <v>27897</v>
      </c>
      <c r="E23" s="3">
        <f>Óvoda!M37</f>
        <v>24913</v>
      </c>
      <c r="F23" s="4"/>
      <c r="G23" s="3">
        <f>Konyha!O33</f>
        <v>0</v>
      </c>
    </row>
    <row r="24" spans="1:7" ht="15.75" x14ac:dyDescent="0.25">
      <c r="A24" s="6">
        <v>34</v>
      </c>
      <c r="B24" s="6" t="s">
        <v>22</v>
      </c>
      <c r="C24" s="6">
        <f t="shared" si="0"/>
        <v>136258</v>
      </c>
      <c r="D24" s="185">
        <f>SUM(D22:D23)</f>
        <v>113042</v>
      </c>
      <c r="E24" s="6">
        <f>SUM(E22:E23)</f>
        <v>70746</v>
      </c>
      <c r="F24" s="185">
        <f>SUM(F22:F23)</f>
        <v>110782.95</v>
      </c>
      <c r="G24" s="6">
        <f>SUM(G22:G23)</f>
        <v>65512</v>
      </c>
    </row>
    <row r="25" spans="1:7" ht="15.75" x14ac:dyDescent="0.25">
      <c r="A25" s="3">
        <v>35</v>
      </c>
      <c r="B25" s="3" t="s">
        <v>23</v>
      </c>
      <c r="C25" s="3">
        <f t="shared" si="0"/>
        <v>2352413</v>
      </c>
      <c r="D25" s="4">
        <v>651801</v>
      </c>
      <c r="E25" s="10">
        <f>Óvoda!M39</f>
        <v>1038620</v>
      </c>
      <c r="F25" s="4">
        <v>959437.29</v>
      </c>
      <c r="G25" s="3">
        <f>Konyha!O35</f>
        <v>1313793</v>
      </c>
    </row>
    <row r="26" spans="1:7" ht="15.75" x14ac:dyDescent="0.25">
      <c r="A26" s="3">
        <v>36</v>
      </c>
      <c r="B26" s="3" t="s">
        <v>24</v>
      </c>
      <c r="C26" s="3">
        <f>SUM(E26+G26)</f>
        <v>8413</v>
      </c>
      <c r="D26" s="4">
        <v>0</v>
      </c>
      <c r="E26">
        <v>0</v>
      </c>
      <c r="F26" s="4">
        <v>0</v>
      </c>
      <c r="G26" s="10">
        <f>Konyha!O36</f>
        <v>8413</v>
      </c>
    </row>
    <row r="27" spans="1:7" ht="15.75" x14ac:dyDescent="0.25">
      <c r="A27" s="3">
        <v>39</v>
      </c>
      <c r="B27" s="3" t="s">
        <v>25</v>
      </c>
      <c r="C27" s="3">
        <f>SUM(E27+G27)</f>
        <v>247343</v>
      </c>
      <c r="D27" s="4">
        <v>0</v>
      </c>
      <c r="E27" s="3">
        <f>Óvoda!M40</f>
        <v>6933</v>
      </c>
      <c r="F27" s="4">
        <v>406193.88</v>
      </c>
      <c r="G27" s="3">
        <f>Konyha!O38</f>
        <v>240410</v>
      </c>
    </row>
    <row r="28" spans="1:7" ht="15.75" x14ac:dyDescent="0.25">
      <c r="A28" s="3">
        <v>42</v>
      </c>
      <c r="B28" s="3" t="s">
        <v>26</v>
      </c>
      <c r="C28" s="3">
        <f t="shared" si="0"/>
        <v>402005</v>
      </c>
      <c r="D28" s="4">
        <v>89950</v>
      </c>
      <c r="E28" s="10">
        <f>Óvoda!M41</f>
        <v>395205</v>
      </c>
      <c r="F28" s="4">
        <v>102866.75</v>
      </c>
      <c r="G28" s="3">
        <f>Konyha!O39</f>
        <v>6800</v>
      </c>
    </row>
    <row r="29" spans="1:7" ht="15.75" x14ac:dyDescent="0.25">
      <c r="A29" s="3">
        <v>43</v>
      </c>
      <c r="B29" s="3" t="s">
        <v>27</v>
      </c>
      <c r="C29" s="3">
        <f t="shared" si="0"/>
        <v>573112</v>
      </c>
      <c r="D29" s="4">
        <v>674386</v>
      </c>
      <c r="E29" s="3">
        <f>Óvoda!M42</f>
        <v>401021</v>
      </c>
      <c r="F29" s="4">
        <v>90002.37</v>
      </c>
      <c r="G29" s="10">
        <f>Konyha!O40</f>
        <v>172091</v>
      </c>
    </row>
    <row r="30" spans="1:7" ht="15.75" x14ac:dyDescent="0.25">
      <c r="A30" s="6">
        <v>45</v>
      </c>
      <c r="B30" s="6" t="s">
        <v>28</v>
      </c>
      <c r="C30" s="6">
        <f>SUM(E30+G30)</f>
        <v>3583286</v>
      </c>
      <c r="D30" s="185">
        <f>SUM(D25:D29)</f>
        <v>1416137</v>
      </c>
      <c r="E30" s="6">
        <f>SUM(E25:E29)</f>
        <v>1841779</v>
      </c>
      <c r="F30" s="185">
        <f>SUM(F25:F29)</f>
        <v>1558500.29</v>
      </c>
      <c r="G30" s="6">
        <f>SUM(G25:G29)</f>
        <v>1741507</v>
      </c>
    </row>
    <row r="31" spans="1:7" ht="15.75" x14ac:dyDescent="0.25">
      <c r="A31" s="3">
        <v>49</v>
      </c>
      <c r="B31" s="3" t="s">
        <v>29</v>
      </c>
      <c r="C31" s="3">
        <f t="shared" si="0"/>
        <v>4126668</v>
      </c>
      <c r="D31" s="4">
        <v>595774</v>
      </c>
      <c r="E31" s="3">
        <f>Óvoda!M46</f>
        <v>603877</v>
      </c>
      <c r="F31" s="4">
        <v>3702347.0815748028</v>
      </c>
      <c r="G31" s="3">
        <f>Konyha!O42</f>
        <v>3522791</v>
      </c>
    </row>
    <row r="32" spans="1:7" ht="15.75" x14ac:dyDescent="0.25">
      <c r="A32" s="3">
        <v>50</v>
      </c>
      <c r="B32" s="3" t="s">
        <v>30</v>
      </c>
      <c r="C32" s="3">
        <f t="shared" si="0"/>
        <v>363000</v>
      </c>
      <c r="D32" s="4"/>
      <c r="E32" s="3"/>
      <c r="F32" s="4">
        <v>363000</v>
      </c>
      <c r="G32" s="3">
        <f>Konyha!O43</f>
        <v>363000</v>
      </c>
    </row>
    <row r="33" spans="1:7" ht="15.75" x14ac:dyDescent="0.25">
      <c r="A33" s="3">
        <v>58</v>
      </c>
      <c r="B33" s="3" t="s">
        <v>61</v>
      </c>
      <c r="C33" s="3">
        <f t="shared" si="0"/>
        <v>49475</v>
      </c>
      <c r="D33" s="4">
        <v>539418</v>
      </c>
      <c r="E33" s="3">
        <f>Óvoda!M47</f>
        <v>49475</v>
      </c>
      <c r="F33" s="4">
        <v>291960</v>
      </c>
      <c r="G33" s="3"/>
    </row>
    <row r="34" spans="1:7" ht="15.75" x14ac:dyDescent="0.25">
      <c r="A34" s="6">
        <v>59</v>
      </c>
      <c r="B34" s="6" t="s">
        <v>32</v>
      </c>
      <c r="C34" s="6">
        <f t="shared" si="0"/>
        <v>4539143</v>
      </c>
      <c r="D34" s="185">
        <f>SUM(D31:D33)</f>
        <v>1135192</v>
      </c>
      <c r="E34" s="6">
        <f>SUM(E31:E33)</f>
        <v>653352</v>
      </c>
      <c r="F34" s="185">
        <f>SUM(F31:F33)</f>
        <v>4357307.0815748032</v>
      </c>
      <c r="G34" s="6">
        <f>SUM(G31:G33)</f>
        <v>3885791</v>
      </c>
    </row>
    <row r="35" spans="1:7" ht="15.75" x14ac:dyDescent="0.25">
      <c r="A35" s="7">
        <v>60</v>
      </c>
      <c r="B35" s="7" t="s">
        <v>33</v>
      </c>
      <c r="C35" s="7">
        <f t="shared" si="0"/>
        <v>25833434</v>
      </c>
      <c r="D35" s="184">
        <f>SUM(D34,D30,D24,D21)</f>
        <v>3973399</v>
      </c>
      <c r="E35" s="7">
        <f>E21+E24+E30+E34</f>
        <v>3952056</v>
      </c>
      <c r="F35" s="184">
        <f>F21+F24+F30+F34</f>
        <v>22037605.920000002</v>
      </c>
      <c r="G35" s="7">
        <f>G21+G24+G30+G34</f>
        <v>21881378</v>
      </c>
    </row>
    <row r="36" spans="1:7" ht="15.75" x14ac:dyDescent="0.25">
      <c r="A36" s="3">
        <v>193</v>
      </c>
      <c r="B36" s="3" t="s">
        <v>62</v>
      </c>
      <c r="C36" s="3">
        <f t="shared" si="0"/>
        <v>177637</v>
      </c>
      <c r="D36" s="4">
        <v>0</v>
      </c>
      <c r="E36" s="10">
        <f>Óvoda!M52</f>
        <v>177637</v>
      </c>
      <c r="F36" s="4"/>
      <c r="G36" s="3"/>
    </row>
    <row r="37" spans="1:7" ht="15.75" x14ac:dyDescent="0.25">
      <c r="A37" s="3">
        <v>196</v>
      </c>
      <c r="B37" s="3" t="s">
        <v>35</v>
      </c>
      <c r="C37" s="3">
        <f>SUM(E37+G37)</f>
        <v>33038</v>
      </c>
      <c r="D37" s="4">
        <v>0</v>
      </c>
      <c r="E37" s="10">
        <f>Óvoda!M53</f>
        <v>33038</v>
      </c>
      <c r="F37" s="4"/>
      <c r="G37" s="3"/>
    </row>
    <row r="38" spans="1:7" ht="15.75" x14ac:dyDescent="0.25">
      <c r="A38" s="7">
        <v>197</v>
      </c>
      <c r="B38" s="7" t="s">
        <v>36</v>
      </c>
      <c r="C38" s="7">
        <f>SUM(E38+G38)</f>
        <v>210675</v>
      </c>
      <c r="D38" s="184">
        <f>SUM(D36:D37)</f>
        <v>0</v>
      </c>
      <c r="E38" s="7">
        <f t="shared" ref="E38:G38" si="1">SUM(E36:E37)</f>
        <v>210675</v>
      </c>
      <c r="F38" s="184">
        <f t="shared" si="1"/>
        <v>0</v>
      </c>
      <c r="G38" s="7">
        <f t="shared" si="1"/>
        <v>0</v>
      </c>
    </row>
    <row r="39" spans="1:7" ht="15.75" x14ac:dyDescent="0.25">
      <c r="A39" s="3"/>
      <c r="B39" s="3" t="s">
        <v>37</v>
      </c>
      <c r="C39" s="3">
        <v>0</v>
      </c>
      <c r="D39" s="4">
        <v>1574803.1496063001</v>
      </c>
      <c r="E39" s="3">
        <v>0</v>
      </c>
      <c r="F39" s="4"/>
      <c r="G39" s="3"/>
    </row>
    <row r="40" spans="1:7" ht="15.75" x14ac:dyDescent="0.25">
      <c r="A40" s="3"/>
      <c r="B40" s="3" t="s">
        <v>38</v>
      </c>
      <c r="C40" s="3">
        <v>0</v>
      </c>
      <c r="D40" s="4">
        <v>425196.85039370076</v>
      </c>
      <c r="E40" s="3">
        <v>0</v>
      </c>
      <c r="F40" s="4"/>
      <c r="G40" s="3"/>
    </row>
    <row r="41" spans="1:7" ht="15.75" x14ac:dyDescent="0.25">
      <c r="A41" s="7"/>
      <c r="B41" s="7" t="s">
        <v>220</v>
      </c>
      <c r="C41" s="7">
        <f>SUM(C39:C40)</f>
        <v>0</v>
      </c>
      <c r="D41" s="184">
        <f t="shared" ref="D41:G41" si="2">SUM(D39:D40)</f>
        <v>2000000.0000000009</v>
      </c>
      <c r="E41" s="7">
        <f t="shared" si="2"/>
        <v>0</v>
      </c>
      <c r="F41" s="184">
        <f t="shared" si="2"/>
        <v>0</v>
      </c>
      <c r="G41" s="7">
        <f t="shared" si="2"/>
        <v>0</v>
      </c>
    </row>
    <row r="42" spans="1:7" ht="18.75" x14ac:dyDescent="0.25">
      <c r="A42" s="8">
        <v>265</v>
      </c>
      <c r="B42" s="8" t="s">
        <v>40</v>
      </c>
      <c r="C42" s="8">
        <f>SUM(E42+G42)</f>
        <v>72389495</v>
      </c>
      <c r="D42" s="186">
        <f>D18+D35+D41+D38</f>
        <v>40221077</v>
      </c>
      <c r="E42" s="8">
        <f>E35+E38+E18</f>
        <v>37016068</v>
      </c>
      <c r="F42" s="186">
        <f>SUM(F18+F35)</f>
        <v>35934078.920000002</v>
      </c>
      <c r="G42" s="8">
        <f>G35+G38+G18</f>
        <v>35373427</v>
      </c>
    </row>
    <row r="43" spans="1:7" x14ac:dyDescent="0.25">
      <c r="E43" s="205">
        <f>E42/+D42</f>
        <v>0.92031518698517201</v>
      </c>
      <c r="F43" s="206"/>
      <c r="G43" s="205">
        <f>G42/+F42</f>
        <v>0.98439776566283554</v>
      </c>
    </row>
  </sheetData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1"/>
  <sheetViews>
    <sheetView topLeftCell="C34" zoomScale="90" zoomScaleNormal="90" zoomScaleSheetLayoutView="90" workbookViewId="0">
      <selection activeCell="K53" sqref="K53"/>
    </sheetView>
  </sheetViews>
  <sheetFormatPr defaultColWidth="9.140625" defaultRowHeight="12.75" x14ac:dyDescent="0.2"/>
  <cols>
    <col min="1" max="1" width="8.140625" style="13" customWidth="1"/>
    <col min="2" max="2" width="61.42578125" style="13" bestFit="1" customWidth="1"/>
    <col min="3" max="3" width="9.85546875" style="13" customWidth="1"/>
    <col min="4" max="5" width="18.140625" style="13" customWidth="1"/>
    <col min="6" max="7" width="20.5703125" style="13" customWidth="1"/>
    <col min="8" max="9" width="19.85546875" style="13" customWidth="1"/>
    <col min="10" max="12" width="20.7109375" style="13" customWidth="1"/>
    <col min="13" max="13" width="15.42578125" style="13" bestFit="1" customWidth="1"/>
    <col min="14" max="16384" width="9.140625" style="13"/>
  </cols>
  <sheetData>
    <row r="1" spans="1:13" ht="20.25" x14ac:dyDescent="0.3">
      <c r="B1" s="105" t="s">
        <v>172</v>
      </c>
    </row>
    <row r="2" spans="1:13" ht="13.5" thickBot="1" x14ac:dyDescent="0.25"/>
    <row r="3" spans="1:13" ht="90.75" thickBot="1" x14ac:dyDescent="0.25">
      <c r="D3" s="104" t="s">
        <v>171</v>
      </c>
      <c r="E3" s="104" t="s">
        <v>171</v>
      </c>
      <c r="F3" s="104" t="s">
        <v>170</v>
      </c>
      <c r="G3" s="104" t="s">
        <v>170</v>
      </c>
      <c r="H3" s="104" t="s">
        <v>169</v>
      </c>
      <c r="I3" s="104" t="s">
        <v>169</v>
      </c>
      <c r="J3" s="103" t="s">
        <v>168</v>
      </c>
      <c r="K3" s="103" t="s">
        <v>168</v>
      </c>
    </row>
    <row r="4" spans="1:13" ht="33" thickTop="1" thickBot="1" x14ac:dyDescent="0.25">
      <c r="A4" s="102" t="s">
        <v>167</v>
      </c>
      <c r="B4" s="101" t="s">
        <v>166</v>
      </c>
      <c r="C4" s="100" t="s">
        <v>165</v>
      </c>
      <c r="D4" s="99" t="s">
        <v>164</v>
      </c>
      <c r="E4" s="99" t="s">
        <v>3</v>
      </c>
      <c r="F4" s="99" t="s">
        <v>163</v>
      </c>
      <c r="G4" s="99" t="s">
        <v>3</v>
      </c>
      <c r="H4" s="99" t="s">
        <v>162</v>
      </c>
      <c r="I4" s="99" t="s">
        <v>3</v>
      </c>
      <c r="J4" s="98" t="s">
        <v>161</v>
      </c>
      <c r="K4" s="99" t="s">
        <v>3</v>
      </c>
      <c r="L4" s="97" t="s">
        <v>160</v>
      </c>
      <c r="M4" s="156" t="s">
        <v>3</v>
      </c>
    </row>
    <row r="5" spans="1:13" ht="14.25" x14ac:dyDescent="0.2">
      <c r="A5" s="76">
        <v>1</v>
      </c>
      <c r="B5" s="96" t="s">
        <v>159</v>
      </c>
      <c r="C5" s="95" t="s">
        <v>158</v>
      </c>
      <c r="D5" s="94"/>
      <c r="E5" s="94"/>
      <c r="F5" s="94"/>
      <c r="G5" s="93"/>
      <c r="H5" s="93"/>
      <c r="I5" s="93"/>
      <c r="J5" s="112">
        <v>600</v>
      </c>
      <c r="K5" s="145"/>
      <c r="L5" s="91">
        <f t="shared" ref="L5:M12" si="0">D5+F5+H5+J5</f>
        <v>600</v>
      </c>
      <c r="M5" s="91">
        <f t="shared" si="0"/>
        <v>0</v>
      </c>
    </row>
    <row r="6" spans="1:13" ht="14.25" x14ac:dyDescent="0.2">
      <c r="A6" s="90">
        <v>2</v>
      </c>
      <c r="B6" s="89" t="s">
        <v>157</v>
      </c>
      <c r="C6" s="88" t="s">
        <v>156</v>
      </c>
      <c r="D6" s="73"/>
      <c r="E6" s="73"/>
      <c r="F6" s="73"/>
      <c r="G6" s="72"/>
      <c r="H6" s="72"/>
      <c r="I6" s="72"/>
      <c r="J6" s="73">
        <v>10</v>
      </c>
      <c r="K6" s="146"/>
      <c r="L6" s="71">
        <f t="shared" si="0"/>
        <v>10</v>
      </c>
      <c r="M6" s="71">
        <f t="shared" si="0"/>
        <v>0</v>
      </c>
    </row>
    <row r="7" spans="1:13" ht="15" x14ac:dyDescent="0.2">
      <c r="A7" s="83">
        <v>3</v>
      </c>
      <c r="B7" s="87" t="s">
        <v>155</v>
      </c>
      <c r="C7" s="86" t="s">
        <v>154</v>
      </c>
      <c r="D7" s="33">
        <f>SUM(D5:D6)</f>
        <v>0</v>
      </c>
      <c r="E7" s="33"/>
      <c r="F7" s="33"/>
      <c r="G7" s="32"/>
      <c r="H7" s="32">
        <f>SUM(H5:H6)</f>
        <v>0</v>
      </c>
      <c r="I7" s="32"/>
      <c r="J7" s="33">
        <f>SUM(J5:J6)</f>
        <v>610</v>
      </c>
      <c r="K7" s="147"/>
      <c r="L7" s="31">
        <f t="shared" si="0"/>
        <v>610</v>
      </c>
      <c r="M7" s="31">
        <f t="shared" si="0"/>
        <v>0</v>
      </c>
    </row>
    <row r="8" spans="1:13" ht="15" x14ac:dyDescent="0.2">
      <c r="A8" s="30">
        <v>4</v>
      </c>
      <c r="B8" s="29" t="s">
        <v>153</v>
      </c>
      <c r="C8" s="28" t="s">
        <v>152</v>
      </c>
      <c r="D8" s="27">
        <f>SUM(D7)</f>
        <v>0</v>
      </c>
      <c r="E8" s="26"/>
      <c r="F8" s="26"/>
      <c r="G8" s="25"/>
      <c r="H8" s="25">
        <f>SUM(H7)</f>
        <v>0</v>
      </c>
      <c r="I8" s="25"/>
      <c r="J8" s="26">
        <f>SUM(J7)</f>
        <v>610</v>
      </c>
      <c r="K8" s="148"/>
      <c r="L8" s="24">
        <f t="shared" si="0"/>
        <v>610</v>
      </c>
      <c r="M8" s="24">
        <f t="shared" si="0"/>
        <v>0</v>
      </c>
    </row>
    <row r="9" spans="1:13" ht="14.25" x14ac:dyDescent="0.2">
      <c r="A9" s="76">
        <v>5</v>
      </c>
      <c r="B9" s="85" t="s">
        <v>151</v>
      </c>
      <c r="C9" s="74" t="s">
        <v>150</v>
      </c>
      <c r="D9" s="73"/>
      <c r="E9" s="73"/>
      <c r="F9" s="73"/>
      <c r="G9" s="72"/>
      <c r="H9" s="72"/>
      <c r="I9" s="72"/>
      <c r="J9" s="157">
        <v>3849585</v>
      </c>
      <c r="K9" s="157">
        <v>3849585</v>
      </c>
      <c r="L9" s="71">
        <f t="shared" si="0"/>
        <v>3849585</v>
      </c>
      <c r="M9" s="71">
        <f t="shared" si="0"/>
        <v>3849585</v>
      </c>
    </row>
    <row r="10" spans="1:13" s="84" customFormat="1" ht="14.25" x14ac:dyDescent="0.2">
      <c r="A10" s="76">
        <v>6</v>
      </c>
      <c r="B10" s="85" t="s">
        <v>149</v>
      </c>
      <c r="C10" s="74" t="s">
        <v>147</v>
      </c>
      <c r="D10" s="73"/>
      <c r="E10" s="73"/>
      <c r="F10" s="73"/>
      <c r="G10" s="72"/>
      <c r="H10" s="72"/>
      <c r="I10" s="72"/>
      <c r="J10" s="73">
        <f>SUM(J9)</f>
        <v>3849585</v>
      </c>
      <c r="K10" s="73">
        <f>SUM(K9)</f>
        <v>3849585</v>
      </c>
      <c r="L10" s="71">
        <f t="shared" si="0"/>
        <v>3849585</v>
      </c>
      <c r="M10" s="71">
        <f t="shared" si="0"/>
        <v>3849585</v>
      </c>
    </row>
    <row r="11" spans="1:13" s="77" customFormat="1" ht="15" x14ac:dyDescent="0.25">
      <c r="A11" s="83"/>
      <c r="B11" s="82" t="s">
        <v>148</v>
      </c>
      <c r="C11" s="81" t="s">
        <v>147</v>
      </c>
      <c r="D11" s="80"/>
      <c r="E11" s="80"/>
      <c r="F11" s="80"/>
      <c r="G11" s="79"/>
      <c r="H11" s="79"/>
      <c r="I11" s="79"/>
      <c r="J11" s="80">
        <f>SUM(J10:J10)</f>
        <v>3849585</v>
      </c>
      <c r="K11" s="80">
        <f>SUM(K10:K10)</f>
        <v>3849585</v>
      </c>
      <c r="L11" s="78">
        <f t="shared" si="0"/>
        <v>3849585</v>
      </c>
      <c r="M11" s="78">
        <f t="shared" si="0"/>
        <v>3849585</v>
      </c>
    </row>
    <row r="12" spans="1:13" s="77" customFormat="1" ht="15" x14ac:dyDescent="0.25">
      <c r="A12" s="83">
        <v>7</v>
      </c>
      <c r="B12" s="82" t="s">
        <v>146</v>
      </c>
      <c r="C12" s="81" t="s">
        <v>145</v>
      </c>
      <c r="D12" s="80"/>
      <c r="E12" s="80"/>
      <c r="F12" s="80"/>
      <c r="G12" s="79"/>
      <c r="H12" s="79"/>
      <c r="I12" s="79"/>
      <c r="J12" s="158">
        <v>36366500</v>
      </c>
      <c r="K12" s="158">
        <f>27902540</f>
        <v>27902540</v>
      </c>
      <c r="L12" s="78">
        <f t="shared" si="0"/>
        <v>36366500</v>
      </c>
      <c r="M12" s="78">
        <f t="shared" si="0"/>
        <v>27902540</v>
      </c>
    </row>
    <row r="13" spans="1:13" s="77" customFormat="1" ht="15" x14ac:dyDescent="0.25">
      <c r="A13" s="83"/>
      <c r="B13" s="82" t="s">
        <v>144</v>
      </c>
      <c r="C13" s="81"/>
      <c r="D13" s="80"/>
      <c r="E13" s="80"/>
      <c r="F13" s="80"/>
      <c r="G13" s="79"/>
      <c r="H13" s="79"/>
      <c r="I13" s="79"/>
      <c r="J13" s="158">
        <f>3600*1.22</f>
        <v>4392</v>
      </c>
      <c r="K13" s="158">
        <f>3600*1.22</f>
        <v>4392</v>
      </c>
      <c r="L13" s="78"/>
      <c r="M13" s="78"/>
    </row>
    <row r="14" spans="1:13" ht="14.25" x14ac:dyDescent="0.2">
      <c r="A14" s="76">
        <v>8</v>
      </c>
      <c r="B14" s="75" t="s">
        <v>143</v>
      </c>
      <c r="C14" s="74" t="s">
        <v>142</v>
      </c>
      <c r="D14" s="73"/>
      <c r="E14" s="73"/>
      <c r="F14" s="73"/>
      <c r="G14" s="72"/>
      <c r="H14" s="72"/>
      <c r="I14" s="72"/>
      <c r="J14" s="73">
        <f>J11+J12+J13</f>
        <v>40220477</v>
      </c>
      <c r="K14" s="73">
        <v>30165335</v>
      </c>
      <c r="L14" s="71">
        <f t="shared" ref="L14:M16" si="1">D14+F14+H14+J14</f>
        <v>40220477</v>
      </c>
      <c r="M14" s="71">
        <f t="shared" si="1"/>
        <v>30165335</v>
      </c>
    </row>
    <row r="15" spans="1:13" ht="15" x14ac:dyDescent="0.2">
      <c r="A15" s="30">
        <v>9</v>
      </c>
      <c r="B15" s="29" t="s">
        <v>141</v>
      </c>
      <c r="C15" s="28" t="s">
        <v>140</v>
      </c>
      <c r="D15" s="27">
        <f>SUM(D14)</f>
        <v>0</v>
      </c>
      <c r="E15" s="26"/>
      <c r="F15" s="26"/>
      <c r="G15" s="25"/>
      <c r="H15" s="25">
        <f>SUM(H14)</f>
        <v>0</v>
      </c>
      <c r="I15" s="25"/>
      <c r="J15" s="26">
        <f>SUM(J14)</f>
        <v>40220477</v>
      </c>
      <c r="K15" s="26">
        <f>SUM(K14)</f>
        <v>30165335</v>
      </c>
      <c r="L15" s="24">
        <f t="shared" si="1"/>
        <v>40220477</v>
      </c>
      <c r="M15" s="24">
        <f t="shared" si="1"/>
        <v>30165335</v>
      </c>
    </row>
    <row r="16" spans="1:13" ht="18" x14ac:dyDescent="0.2">
      <c r="A16" s="70">
        <v>10</v>
      </c>
      <c r="B16" s="69" t="s">
        <v>139</v>
      </c>
      <c r="C16" s="68" t="s">
        <v>138</v>
      </c>
      <c r="D16" s="67">
        <f>SUM(D15)</f>
        <v>0</v>
      </c>
      <c r="E16" s="67"/>
      <c r="F16" s="67"/>
      <c r="G16" s="66"/>
      <c r="H16" s="66">
        <f>SUM(H15)</f>
        <v>0</v>
      </c>
      <c r="I16" s="66"/>
      <c r="J16" s="67">
        <f>SUM(J15)+J8</f>
        <v>40221087</v>
      </c>
      <c r="K16" s="67">
        <f>SUM(K15)+K8</f>
        <v>30165335</v>
      </c>
      <c r="L16" s="65">
        <f t="shared" si="1"/>
        <v>40221087</v>
      </c>
      <c r="M16" s="65">
        <f t="shared" si="1"/>
        <v>30165335</v>
      </c>
    </row>
    <row r="17" spans="1:13" ht="6" customHeight="1" x14ac:dyDescent="0.2">
      <c r="A17" s="42"/>
      <c r="B17" s="64"/>
      <c r="C17" s="57"/>
      <c r="D17" s="39"/>
      <c r="E17" s="39"/>
      <c r="F17" s="39"/>
      <c r="G17" s="38"/>
      <c r="H17" s="38"/>
      <c r="I17" s="38"/>
      <c r="J17" s="39"/>
      <c r="K17" s="150"/>
      <c r="L17" s="37"/>
      <c r="M17" s="37"/>
    </row>
    <row r="18" spans="1:13" ht="14.25" x14ac:dyDescent="0.2">
      <c r="A18" s="42">
        <v>1</v>
      </c>
      <c r="B18" s="64" t="s">
        <v>137</v>
      </c>
      <c r="C18" s="57" t="s">
        <v>136</v>
      </c>
      <c r="D18" s="39">
        <f>27252900-H18+11981+358</f>
        <v>22332339</v>
      </c>
      <c r="E18" s="39">
        <v>22197722</v>
      </c>
      <c r="F18" s="39"/>
      <c r="G18" s="38"/>
      <c r="H18" s="38">
        <v>4932900</v>
      </c>
      <c r="I18" s="38">
        <v>4932900</v>
      </c>
      <c r="J18" s="39"/>
      <c r="K18" s="150"/>
      <c r="L18" s="37">
        <f t="shared" ref="L18:L51" si="2">D18+F18+H18+J18</f>
        <v>27265239</v>
      </c>
      <c r="M18" s="37">
        <f t="shared" ref="M18:M51" si="3">E18+G18+I18+K18</f>
        <v>27130622</v>
      </c>
    </row>
    <row r="19" spans="1:13" ht="14.25" x14ac:dyDescent="0.2">
      <c r="A19" s="42"/>
      <c r="B19" s="64" t="s">
        <v>135</v>
      </c>
      <c r="C19" s="57" t="s">
        <v>134</v>
      </c>
      <c r="D19" s="39">
        <v>25190</v>
      </c>
      <c r="E19" s="39">
        <v>25190</v>
      </c>
      <c r="F19" s="39"/>
      <c r="G19" s="38"/>
      <c r="H19" s="38"/>
      <c r="I19" s="38"/>
      <c r="J19" s="39"/>
      <c r="K19" s="150"/>
      <c r="L19" s="37">
        <f t="shared" si="2"/>
        <v>25190</v>
      </c>
      <c r="M19" s="37">
        <f t="shared" si="3"/>
        <v>25190</v>
      </c>
    </row>
    <row r="20" spans="1:13" ht="14.25" x14ac:dyDescent="0.2">
      <c r="A20" s="42">
        <v>2</v>
      </c>
      <c r="B20" s="41" t="s">
        <v>133</v>
      </c>
      <c r="C20" s="57" t="s">
        <v>132</v>
      </c>
      <c r="D20" s="39">
        <f>1139400-126600</f>
        <v>1012800</v>
      </c>
      <c r="E20" s="39">
        <v>1012800</v>
      </c>
      <c r="F20" s="39"/>
      <c r="G20" s="38"/>
      <c r="H20" s="38">
        <v>126600</v>
      </c>
      <c r="I20" s="38">
        <v>126600</v>
      </c>
      <c r="J20" s="39"/>
      <c r="K20" s="150"/>
      <c r="L20" s="37">
        <f t="shared" si="2"/>
        <v>1139400</v>
      </c>
      <c r="M20" s="37">
        <f t="shared" si="3"/>
        <v>1139400</v>
      </c>
    </row>
    <row r="21" spans="1:13" ht="14.25" x14ac:dyDescent="0.2">
      <c r="A21" s="42">
        <v>3</v>
      </c>
      <c r="B21" s="41" t="s">
        <v>131</v>
      </c>
      <c r="C21" s="57" t="s">
        <v>130</v>
      </c>
      <c r="D21" s="39"/>
      <c r="E21" s="39"/>
      <c r="F21" s="39"/>
      <c r="G21" s="38"/>
      <c r="H21" s="38"/>
      <c r="I21" s="38"/>
      <c r="J21" s="39"/>
      <c r="K21" s="150"/>
      <c r="L21" s="37">
        <f t="shared" si="2"/>
        <v>0</v>
      </c>
      <c r="M21" s="37">
        <f t="shared" si="3"/>
        <v>0</v>
      </c>
    </row>
    <row r="22" spans="1:13" ht="14.25" x14ac:dyDescent="0.2">
      <c r="A22" s="42">
        <v>4</v>
      </c>
      <c r="B22" s="41" t="s">
        <v>129</v>
      </c>
      <c r="C22" s="57" t="s">
        <v>128</v>
      </c>
      <c r="D22" s="39">
        <v>3600</v>
      </c>
      <c r="E22" s="164">
        <v>55831</v>
      </c>
      <c r="F22" s="39"/>
      <c r="G22" s="38"/>
      <c r="H22" s="38"/>
      <c r="I22" s="38"/>
      <c r="J22" s="39"/>
      <c r="K22" s="150"/>
      <c r="L22" s="37">
        <f t="shared" si="2"/>
        <v>3600</v>
      </c>
      <c r="M22" s="37">
        <f t="shared" si="3"/>
        <v>55831</v>
      </c>
    </row>
    <row r="23" spans="1:13" ht="15" x14ac:dyDescent="0.2">
      <c r="A23" s="36">
        <v>5</v>
      </c>
      <c r="B23" s="50" t="s">
        <v>127</v>
      </c>
      <c r="C23" s="34" t="s">
        <v>126</v>
      </c>
      <c r="D23" s="53">
        <f>SUM(D18:D22)</f>
        <v>23373929</v>
      </c>
      <c r="E23" s="53">
        <f>SUM(E18:E22)</f>
        <v>23291543</v>
      </c>
      <c r="F23" s="53"/>
      <c r="G23" s="52"/>
      <c r="H23" s="52">
        <f>SUM(H18:H22)</f>
        <v>5059500</v>
      </c>
      <c r="I23" s="52">
        <f>SUM(I18:I22)</f>
        <v>5059500</v>
      </c>
      <c r="J23" s="53">
        <f>SUM(J18:J22)</f>
        <v>0</v>
      </c>
      <c r="K23" s="151"/>
      <c r="L23" s="51">
        <f t="shared" si="2"/>
        <v>28433429</v>
      </c>
      <c r="M23" s="51">
        <f t="shared" si="3"/>
        <v>28351043</v>
      </c>
    </row>
    <row r="24" spans="1:13" ht="28.5" x14ac:dyDescent="0.2">
      <c r="A24" s="36"/>
      <c r="B24" s="41" t="s">
        <v>125</v>
      </c>
      <c r="C24" s="40" t="s">
        <v>124</v>
      </c>
      <c r="D24" s="60"/>
      <c r="E24" s="60"/>
      <c r="F24" s="60"/>
      <c r="G24" s="59"/>
      <c r="H24" s="59"/>
      <c r="I24" s="59"/>
      <c r="J24" s="60"/>
      <c r="K24" s="152"/>
      <c r="L24" s="58">
        <f t="shared" si="2"/>
        <v>0</v>
      </c>
      <c r="M24" s="58">
        <f t="shared" si="3"/>
        <v>0</v>
      </c>
    </row>
    <row r="25" spans="1:13" ht="15" x14ac:dyDescent="0.2">
      <c r="A25" s="36"/>
      <c r="B25" s="50" t="s">
        <v>123</v>
      </c>
      <c r="C25" s="63" t="s">
        <v>122</v>
      </c>
      <c r="D25" s="53"/>
      <c r="E25" s="53"/>
      <c r="F25" s="53">
        <f>F24</f>
        <v>0</v>
      </c>
      <c r="G25" s="52"/>
      <c r="H25" s="52"/>
      <c r="I25" s="52"/>
      <c r="J25" s="53"/>
      <c r="K25" s="151"/>
      <c r="L25" s="51">
        <f t="shared" si="2"/>
        <v>0</v>
      </c>
      <c r="M25" s="51">
        <f t="shared" si="3"/>
        <v>0</v>
      </c>
    </row>
    <row r="26" spans="1:13" ht="15" x14ac:dyDescent="0.2">
      <c r="A26" s="36">
        <v>6</v>
      </c>
      <c r="B26" s="50" t="s">
        <v>121</v>
      </c>
      <c r="C26" s="34" t="s">
        <v>120</v>
      </c>
      <c r="D26" s="33">
        <f>SUM(D23)</f>
        <v>23373929</v>
      </c>
      <c r="E26" s="33">
        <f>SUM(E23)</f>
        <v>23291543</v>
      </c>
      <c r="F26" s="33">
        <f>F25</f>
        <v>0</v>
      </c>
      <c r="G26" s="32"/>
      <c r="H26" s="32">
        <f>SUM(H23)</f>
        <v>5059500</v>
      </c>
      <c r="I26" s="32">
        <f t="shared" ref="I26:K26" si="4">SUM(I23)</f>
        <v>5059500</v>
      </c>
      <c r="J26" s="32">
        <f t="shared" si="4"/>
        <v>0</v>
      </c>
      <c r="K26" s="32">
        <f t="shared" si="4"/>
        <v>0</v>
      </c>
      <c r="L26" s="31">
        <f t="shared" si="2"/>
        <v>28433429</v>
      </c>
      <c r="M26" s="31">
        <f t="shared" si="3"/>
        <v>28351043</v>
      </c>
    </row>
    <row r="27" spans="1:13" ht="30" x14ac:dyDescent="0.2">
      <c r="A27" s="36">
        <v>7</v>
      </c>
      <c r="B27" s="50" t="s">
        <v>119</v>
      </c>
      <c r="C27" s="34" t="s">
        <v>114</v>
      </c>
      <c r="D27" s="33">
        <f>SUM(D28:D31)</f>
        <v>4798734.625</v>
      </c>
      <c r="E27" s="33">
        <f>SUM(E28:E31)</f>
        <v>4827852</v>
      </c>
      <c r="F27" s="33">
        <f>F28</f>
        <v>0</v>
      </c>
      <c r="G27" s="32"/>
      <c r="H27" s="32">
        <f>SUM(H28:H31)</f>
        <v>1015514.375</v>
      </c>
      <c r="I27" s="32">
        <f t="shared" ref="I27:K27" si="5">SUM(I28:I31)</f>
        <v>1015514</v>
      </c>
      <c r="J27" s="32">
        <f t="shared" si="5"/>
        <v>0</v>
      </c>
      <c r="K27" s="32">
        <f t="shared" si="5"/>
        <v>0</v>
      </c>
      <c r="L27" s="31">
        <f t="shared" si="2"/>
        <v>5814249</v>
      </c>
      <c r="M27" s="31">
        <f t="shared" si="3"/>
        <v>5843366</v>
      </c>
    </row>
    <row r="28" spans="1:13" ht="14.25" x14ac:dyDescent="0.2">
      <c r="A28" s="42">
        <v>8</v>
      </c>
      <c r="B28" s="62" t="s">
        <v>118</v>
      </c>
      <c r="C28" s="61" t="s">
        <v>114</v>
      </c>
      <c r="D28" s="56">
        <f>5369305-H28+3600*0.22</f>
        <v>4397904.625</v>
      </c>
      <c r="E28" s="56">
        <v>4411527</v>
      </c>
      <c r="F28" s="56">
        <f>F24*0.9*0.22</f>
        <v>0</v>
      </c>
      <c r="G28" s="55"/>
      <c r="H28" s="55">
        <f>411075*0.22+411075*11*0.195</f>
        <v>972192.375</v>
      </c>
      <c r="I28" s="55">
        <v>972192</v>
      </c>
      <c r="J28" s="56"/>
      <c r="K28" s="153"/>
      <c r="L28" s="54">
        <f t="shared" si="2"/>
        <v>5370097</v>
      </c>
      <c r="M28" s="54">
        <f t="shared" si="3"/>
        <v>5383719</v>
      </c>
    </row>
    <row r="29" spans="1:13" ht="14.25" x14ac:dyDescent="0.2">
      <c r="A29" s="42">
        <v>9</v>
      </c>
      <c r="B29" s="62" t="s">
        <v>117</v>
      </c>
      <c r="C29" s="61" t="s">
        <v>114</v>
      </c>
      <c r="D29" s="56">
        <f>188229-H29</f>
        <v>167315</v>
      </c>
      <c r="E29" s="56">
        <v>167312</v>
      </c>
      <c r="F29" s="56"/>
      <c r="G29" s="55"/>
      <c r="H29" s="55">
        <v>20914</v>
      </c>
      <c r="I29" s="55">
        <v>20914</v>
      </c>
      <c r="J29" s="56"/>
      <c r="K29" s="153"/>
      <c r="L29" s="54">
        <f t="shared" si="2"/>
        <v>188229</v>
      </c>
      <c r="M29" s="54">
        <f t="shared" si="3"/>
        <v>188226</v>
      </c>
    </row>
    <row r="30" spans="1:13" ht="14.25" x14ac:dyDescent="0.2">
      <c r="A30" s="42">
        <v>10</v>
      </c>
      <c r="B30" s="62" t="s">
        <v>116</v>
      </c>
      <c r="C30" s="61" t="s">
        <v>114</v>
      </c>
      <c r="D30" s="56">
        <v>54249</v>
      </c>
      <c r="E30" s="203">
        <f>15500+54249</f>
        <v>69749</v>
      </c>
      <c r="F30" s="56"/>
      <c r="G30" s="55"/>
      <c r="H30" s="55">
        <v>0</v>
      </c>
      <c r="I30" s="55">
        <v>0</v>
      </c>
      <c r="J30" s="56"/>
      <c r="K30" s="153"/>
      <c r="L30" s="54">
        <f t="shared" si="2"/>
        <v>54249</v>
      </c>
      <c r="M30" s="54">
        <f t="shared" si="3"/>
        <v>69749</v>
      </c>
    </row>
    <row r="31" spans="1:13" ht="14.25" x14ac:dyDescent="0.2">
      <c r="A31" s="42">
        <v>11</v>
      </c>
      <c r="B31" s="62" t="s">
        <v>115</v>
      </c>
      <c r="C31" s="61" t="s">
        <v>114</v>
      </c>
      <c r="D31" s="56">
        <f>201674-H31</f>
        <v>179266</v>
      </c>
      <c r="E31" s="56">
        <v>179264</v>
      </c>
      <c r="F31" s="56"/>
      <c r="G31" s="55"/>
      <c r="H31" s="55">
        <v>22408</v>
      </c>
      <c r="I31" s="55">
        <v>22408</v>
      </c>
      <c r="J31" s="56"/>
      <c r="K31" s="153"/>
      <c r="L31" s="54">
        <f t="shared" si="2"/>
        <v>201674</v>
      </c>
      <c r="M31" s="54">
        <f t="shared" si="3"/>
        <v>201672</v>
      </c>
    </row>
    <row r="32" spans="1:13" ht="15.75" x14ac:dyDescent="0.2">
      <c r="A32" s="49">
        <v>12</v>
      </c>
      <c r="B32" s="48" t="s">
        <v>113</v>
      </c>
      <c r="C32" s="47" t="s">
        <v>112</v>
      </c>
      <c r="D32" s="46">
        <f>SUM(D26:D27)</f>
        <v>28172663.625</v>
      </c>
      <c r="E32" s="46">
        <f t="shared" ref="E32:K32" si="6">SUM(E26:E27)</f>
        <v>28119395</v>
      </c>
      <c r="F32" s="46">
        <f t="shared" si="6"/>
        <v>0</v>
      </c>
      <c r="G32" s="46">
        <f t="shared" si="6"/>
        <v>0</v>
      </c>
      <c r="H32" s="46">
        <f t="shared" si="6"/>
        <v>6075014.375</v>
      </c>
      <c r="I32" s="46">
        <f t="shared" si="6"/>
        <v>6075014</v>
      </c>
      <c r="J32" s="46">
        <f t="shared" si="6"/>
        <v>0</v>
      </c>
      <c r="K32" s="46">
        <f t="shared" si="6"/>
        <v>0</v>
      </c>
      <c r="L32" s="44">
        <f t="shared" si="2"/>
        <v>34247678</v>
      </c>
      <c r="M32" s="44">
        <f t="shared" si="3"/>
        <v>34194409</v>
      </c>
    </row>
    <row r="33" spans="1:13" ht="14.25" x14ac:dyDescent="0.2">
      <c r="A33" s="42">
        <v>13</v>
      </c>
      <c r="B33" s="41" t="s">
        <v>111</v>
      </c>
      <c r="C33" s="57" t="s">
        <v>110</v>
      </c>
      <c r="D33" s="60"/>
      <c r="E33" s="60"/>
      <c r="F33" s="60"/>
      <c r="G33" s="59"/>
      <c r="H33" s="59"/>
      <c r="I33" s="59"/>
      <c r="J33" s="60">
        <v>88249</v>
      </c>
      <c r="K33" s="165">
        <v>262847</v>
      </c>
      <c r="L33" s="58">
        <f t="shared" si="2"/>
        <v>88249</v>
      </c>
      <c r="M33" s="58">
        <f t="shared" si="3"/>
        <v>262847</v>
      </c>
    </row>
    <row r="34" spans="1:13" ht="14.25" x14ac:dyDescent="0.2">
      <c r="A34" s="42">
        <v>14</v>
      </c>
      <c r="B34" s="41" t="s">
        <v>109</v>
      </c>
      <c r="C34" s="57" t="s">
        <v>108</v>
      </c>
      <c r="D34" s="60"/>
      <c r="E34" s="60"/>
      <c r="F34" s="60"/>
      <c r="G34" s="59"/>
      <c r="H34" s="59"/>
      <c r="I34" s="59"/>
      <c r="J34" s="60">
        <f>820779+300000+50000+50000</f>
        <v>1220779</v>
      </c>
      <c r="K34" s="152">
        <v>1123332</v>
      </c>
      <c r="L34" s="58">
        <f t="shared" si="2"/>
        <v>1220779</v>
      </c>
      <c r="M34" s="58">
        <f t="shared" si="3"/>
        <v>1123332</v>
      </c>
    </row>
    <row r="35" spans="1:13" ht="15" x14ac:dyDescent="0.2">
      <c r="A35" s="36">
        <v>15</v>
      </c>
      <c r="B35" s="50" t="s">
        <v>107</v>
      </c>
      <c r="C35" s="34" t="s">
        <v>106</v>
      </c>
      <c r="D35" s="53">
        <f>SUM(D33:D34)</f>
        <v>0</v>
      </c>
      <c r="E35" s="53"/>
      <c r="F35" s="53"/>
      <c r="G35" s="52"/>
      <c r="H35" s="52">
        <f>SUM(H33:H34)</f>
        <v>0</v>
      </c>
      <c r="I35" s="52"/>
      <c r="J35" s="53">
        <f>SUM(J33:J34)</f>
        <v>1309028</v>
      </c>
      <c r="K35" s="53">
        <f>SUM(K33:K34)</f>
        <v>1386179</v>
      </c>
      <c r="L35" s="51">
        <f t="shared" si="2"/>
        <v>1309028</v>
      </c>
      <c r="M35" s="51">
        <f t="shared" si="3"/>
        <v>1386179</v>
      </c>
    </row>
    <row r="36" spans="1:13" ht="14.25" x14ac:dyDescent="0.2">
      <c r="A36" s="42">
        <v>16</v>
      </c>
      <c r="B36" s="41" t="s">
        <v>105</v>
      </c>
      <c r="C36" s="57" t="s">
        <v>104</v>
      </c>
      <c r="D36" s="60"/>
      <c r="E36" s="60"/>
      <c r="F36" s="60"/>
      <c r="G36" s="59"/>
      <c r="H36" s="59"/>
      <c r="I36" s="59"/>
      <c r="J36" s="60">
        <v>85145</v>
      </c>
      <c r="K36" s="152">
        <v>45833</v>
      </c>
      <c r="L36" s="58">
        <f t="shared" si="2"/>
        <v>85145</v>
      </c>
      <c r="M36" s="58">
        <f t="shared" si="3"/>
        <v>45833</v>
      </c>
    </row>
    <row r="37" spans="1:13" ht="14.25" x14ac:dyDescent="0.2">
      <c r="A37" s="42">
        <v>17</v>
      </c>
      <c r="B37" s="41" t="s">
        <v>103</v>
      </c>
      <c r="C37" s="57" t="s">
        <v>102</v>
      </c>
      <c r="D37" s="60"/>
      <c r="E37" s="60"/>
      <c r="F37" s="60"/>
      <c r="G37" s="59"/>
      <c r="H37" s="59"/>
      <c r="I37" s="59"/>
      <c r="J37" s="60">
        <v>27897</v>
      </c>
      <c r="K37" s="152">
        <v>24913</v>
      </c>
      <c r="L37" s="58">
        <f t="shared" si="2"/>
        <v>27897</v>
      </c>
      <c r="M37" s="58">
        <f t="shared" si="3"/>
        <v>24913</v>
      </c>
    </row>
    <row r="38" spans="1:13" ht="15" x14ac:dyDescent="0.2">
      <c r="A38" s="36">
        <v>18</v>
      </c>
      <c r="B38" s="50" t="s">
        <v>101</v>
      </c>
      <c r="C38" s="34" t="s">
        <v>100</v>
      </c>
      <c r="D38" s="53">
        <f>SUM(D36:D37)</f>
        <v>0</v>
      </c>
      <c r="E38" s="53"/>
      <c r="F38" s="53"/>
      <c r="G38" s="52"/>
      <c r="H38" s="52">
        <f>SUM(H36:H37)</f>
        <v>0</v>
      </c>
      <c r="I38" s="52"/>
      <c r="J38" s="53">
        <f>SUM(J36:J37)</f>
        <v>113042</v>
      </c>
      <c r="K38" s="53">
        <f>SUM(K36:K37)</f>
        <v>70746</v>
      </c>
      <c r="L38" s="51">
        <f t="shared" si="2"/>
        <v>113042</v>
      </c>
      <c r="M38" s="51">
        <f t="shared" si="3"/>
        <v>70746</v>
      </c>
    </row>
    <row r="39" spans="1:13" ht="14.25" x14ac:dyDescent="0.2">
      <c r="A39" s="42">
        <v>19</v>
      </c>
      <c r="B39" s="41" t="s">
        <v>99</v>
      </c>
      <c r="C39" s="57" t="s">
        <v>98</v>
      </c>
      <c r="D39" s="60"/>
      <c r="E39" s="60"/>
      <c r="F39" s="60"/>
      <c r="G39" s="59"/>
      <c r="H39" s="59"/>
      <c r="I39" s="59"/>
      <c r="J39" s="60">
        <v>651801</v>
      </c>
      <c r="K39" s="165">
        <v>1038620</v>
      </c>
      <c r="L39" s="58">
        <f t="shared" si="2"/>
        <v>651801</v>
      </c>
      <c r="M39" s="58">
        <f t="shared" si="3"/>
        <v>1038620</v>
      </c>
    </row>
    <row r="40" spans="1:13" ht="14.25" x14ac:dyDescent="0.2">
      <c r="A40" s="42">
        <v>20</v>
      </c>
      <c r="B40" s="41" t="s">
        <v>97</v>
      </c>
      <c r="C40" s="57" t="s">
        <v>96</v>
      </c>
      <c r="D40" s="60"/>
      <c r="E40" s="60"/>
      <c r="F40" s="60"/>
      <c r="G40" s="59"/>
      <c r="H40" s="59"/>
      <c r="I40" s="59"/>
      <c r="J40" s="60">
        <v>0</v>
      </c>
      <c r="K40" s="165">
        <v>6933</v>
      </c>
      <c r="L40" s="58">
        <f t="shared" si="2"/>
        <v>0</v>
      </c>
      <c r="M40" s="58">
        <f t="shared" si="3"/>
        <v>6933</v>
      </c>
    </row>
    <row r="41" spans="1:13" ht="14.25" x14ac:dyDescent="0.2">
      <c r="A41" s="42">
        <v>20</v>
      </c>
      <c r="B41" s="41" t="s">
        <v>95</v>
      </c>
      <c r="C41" s="57" t="s">
        <v>94</v>
      </c>
      <c r="D41" s="39"/>
      <c r="E41" s="39"/>
      <c r="F41" s="39"/>
      <c r="G41" s="163">
        <v>350000</v>
      </c>
      <c r="H41" s="38"/>
      <c r="I41" s="38"/>
      <c r="J41" s="39">
        <v>89950</v>
      </c>
      <c r="K41" s="150">
        <v>45205</v>
      </c>
      <c r="L41" s="37">
        <f t="shared" si="2"/>
        <v>89950</v>
      </c>
      <c r="M41" s="37">
        <f t="shared" si="3"/>
        <v>395205</v>
      </c>
    </row>
    <row r="42" spans="1:13" ht="14.25" x14ac:dyDescent="0.2">
      <c r="A42" s="42">
        <v>21</v>
      </c>
      <c r="B42" s="41" t="s">
        <v>93</v>
      </c>
      <c r="C42" s="57" t="s">
        <v>92</v>
      </c>
      <c r="D42" s="39"/>
      <c r="E42" s="39"/>
      <c r="F42" s="39"/>
      <c r="G42" s="38"/>
      <c r="H42" s="38"/>
      <c r="I42" s="38"/>
      <c r="J42" s="39">
        <f>414386+100000+160000</f>
        <v>674386</v>
      </c>
      <c r="K42" s="150">
        <v>401021</v>
      </c>
      <c r="L42" s="37">
        <f t="shared" si="2"/>
        <v>674386</v>
      </c>
      <c r="M42" s="37">
        <f t="shared" si="3"/>
        <v>401021</v>
      </c>
    </row>
    <row r="43" spans="1:13" ht="15" x14ac:dyDescent="0.2">
      <c r="A43" s="36">
        <v>22</v>
      </c>
      <c r="B43" s="50" t="s">
        <v>91</v>
      </c>
      <c r="C43" s="34" t="s">
        <v>90</v>
      </c>
      <c r="D43" s="53">
        <f>SUM(D39:D42)</f>
        <v>0</v>
      </c>
      <c r="E43" s="53"/>
      <c r="F43" s="53"/>
      <c r="G43" s="53">
        <f>SUM(G39:G42)</f>
        <v>350000</v>
      </c>
      <c r="H43" s="52">
        <f>SUM(H39:H42)</f>
        <v>0</v>
      </c>
      <c r="I43" s="52"/>
      <c r="J43" s="53">
        <f>SUM(J39:J42)</f>
        <v>1416137</v>
      </c>
      <c r="K43" s="53">
        <f>SUM(K39:K42)</f>
        <v>1491779</v>
      </c>
      <c r="L43" s="51">
        <f t="shared" si="2"/>
        <v>1416137</v>
      </c>
      <c r="M43" s="51">
        <f t="shared" si="3"/>
        <v>1841779</v>
      </c>
    </row>
    <row r="44" spans="1:13" ht="14.25" x14ac:dyDescent="0.2">
      <c r="A44" s="42">
        <v>23</v>
      </c>
      <c r="B44" s="41" t="s">
        <v>89</v>
      </c>
      <c r="C44" s="57" t="s">
        <v>88</v>
      </c>
      <c r="D44" s="56"/>
      <c r="E44" s="56"/>
      <c r="F44" s="56"/>
      <c r="G44" s="55"/>
      <c r="H44" s="55"/>
      <c r="I44" s="55"/>
      <c r="J44" s="56">
        <v>0</v>
      </c>
      <c r="K44" s="153"/>
      <c r="L44" s="54">
        <f t="shared" si="2"/>
        <v>0</v>
      </c>
      <c r="M44" s="54">
        <f t="shared" si="3"/>
        <v>0</v>
      </c>
    </row>
    <row r="45" spans="1:13" ht="15" x14ac:dyDescent="0.2">
      <c r="A45" s="36">
        <v>24</v>
      </c>
      <c r="B45" s="50" t="s">
        <v>87</v>
      </c>
      <c r="C45" s="34" t="s">
        <v>86</v>
      </c>
      <c r="D45" s="53">
        <f>SUM(D44)</f>
        <v>0</v>
      </c>
      <c r="E45" s="53"/>
      <c r="F45" s="53"/>
      <c r="G45" s="52"/>
      <c r="H45" s="52">
        <f>SUM(H44)</f>
        <v>0</v>
      </c>
      <c r="I45" s="52"/>
      <c r="J45" s="53">
        <f>SUM(J44)</f>
        <v>0</v>
      </c>
      <c r="K45" s="151"/>
      <c r="L45" s="51">
        <f t="shared" si="2"/>
        <v>0</v>
      </c>
      <c r="M45" s="51">
        <f t="shared" si="3"/>
        <v>0</v>
      </c>
    </row>
    <row r="46" spans="1:13" ht="14.25" x14ac:dyDescent="0.2">
      <c r="A46" s="42">
        <v>25</v>
      </c>
      <c r="B46" s="41" t="s">
        <v>85</v>
      </c>
      <c r="C46" s="57" t="s">
        <v>84</v>
      </c>
      <c r="D46" s="39"/>
      <c r="E46" s="39"/>
      <c r="F46" s="39"/>
      <c r="G46" s="38"/>
      <c r="H46" s="38"/>
      <c r="I46" s="38"/>
      <c r="J46" s="39">
        <v>595774</v>
      </c>
      <c r="K46" s="150">
        <v>603877</v>
      </c>
      <c r="L46" s="37">
        <f t="shared" si="2"/>
        <v>595774</v>
      </c>
      <c r="M46" s="37">
        <f t="shared" si="3"/>
        <v>603877</v>
      </c>
    </row>
    <row r="47" spans="1:13" ht="14.25" x14ac:dyDescent="0.2">
      <c r="A47" s="42">
        <v>26</v>
      </c>
      <c r="B47" s="41" t="s">
        <v>83</v>
      </c>
      <c r="C47" s="57" t="s">
        <v>82</v>
      </c>
      <c r="D47" s="56"/>
      <c r="E47" s="56"/>
      <c r="F47" s="56"/>
      <c r="G47" s="55"/>
      <c r="H47" s="55"/>
      <c r="I47" s="55"/>
      <c r="J47" s="56">
        <v>10</v>
      </c>
      <c r="K47" s="150">
        <v>49475</v>
      </c>
      <c r="L47" s="54">
        <f t="shared" si="2"/>
        <v>10</v>
      </c>
      <c r="M47" s="54">
        <f t="shared" si="3"/>
        <v>49475</v>
      </c>
    </row>
    <row r="48" spans="1:13" ht="14.25" x14ac:dyDescent="0.2">
      <c r="A48" s="42"/>
      <c r="B48" s="41" t="s">
        <v>81</v>
      </c>
      <c r="C48" s="57"/>
      <c r="D48" s="56"/>
      <c r="E48" s="56"/>
      <c r="F48" s="56"/>
      <c r="G48" s="55"/>
      <c r="H48" s="55"/>
      <c r="I48" s="55"/>
      <c r="J48" s="159">
        <v>539418</v>
      </c>
      <c r="K48" s="155"/>
      <c r="L48" s="54">
        <f t="shared" si="2"/>
        <v>539418</v>
      </c>
      <c r="M48" s="54">
        <f t="shared" si="3"/>
        <v>0</v>
      </c>
    </row>
    <row r="49" spans="1:13" ht="15" x14ac:dyDescent="0.2">
      <c r="A49" s="36">
        <v>27</v>
      </c>
      <c r="B49" s="50" t="s">
        <v>80</v>
      </c>
      <c r="C49" s="34" t="s">
        <v>79</v>
      </c>
      <c r="D49" s="53">
        <f>SUM(D46:D47)</f>
        <v>0</v>
      </c>
      <c r="E49" s="53"/>
      <c r="F49" s="53"/>
      <c r="G49" s="52"/>
      <c r="H49" s="52">
        <f>SUM(H46:H47)</f>
        <v>0</v>
      </c>
      <c r="I49" s="52"/>
      <c r="J49" s="53">
        <f>SUM(J46:J48)</f>
        <v>1135202</v>
      </c>
      <c r="K49" s="53">
        <f>SUM(K46:K48)</f>
        <v>653352</v>
      </c>
      <c r="L49" s="51">
        <f t="shared" si="2"/>
        <v>1135202</v>
      </c>
      <c r="M49" s="51">
        <f t="shared" si="3"/>
        <v>653352</v>
      </c>
    </row>
    <row r="50" spans="1:13" ht="15" x14ac:dyDescent="0.2">
      <c r="A50" s="36">
        <v>28</v>
      </c>
      <c r="B50" s="50" t="s">
        <v>78</v>
      </c>
      <c r="C50" s="34" t="s">
        <v>77</v>
      </c>
      <c r="D50" s="33">
        <f>SUM(D49,D45,D43,D38,D35)</f>
        <v>0</v>
      </c>
      <c r="E50" s="33"/>
      <c r="F50" s="33"/>
      <c r="G50" s="33">
        <f>SUM(G49,G45,G43,G38,G35)</f>
        <v>350000</v>
      </c>
      <c r="H50" s="32">
        <f>SUM(H49,H45,H43,H38,H35)</f>
        <v>0</v>
      </c>
      <c r="I50" s="32"/>
      <c r="J50" s="33">
        <f>SUM(J49,J45,J43,J38,J35)</f>
        <v>3973409</v>
      </c>
      <c r="K50" s="33">
        <f>SUM(K49,K45,K43,K38,K35)</f>
        <v>3602056</v>
      </c>
      <c r="L50" s="31">
        <f t="shared" si="2"/>
        <v>3973409</v>
      </c>
      <c r="M50" s="31">
        <f t="shared" si="3"/>
        <v>3952056</v>
      </c>
    </row>
    <row r="51" spans="1:13" ht="15.75" x14ac:dyDescent="0.2">
      <c r="A51" s="49">
        <v>29</v>
      </c>
      <c r="B51" s="48" t="s">
        <v>76</v>
      </c>
      <c r="C51" s="47" t="s">
        <v>75</v>
      </c>
      <c r="D51" s="46">
        <f>SUM(D50,D32)</f>
        <v>28172663.625</v>
      </c>
      <c r="E51" s="46">
        <f>SUM(E50,E32)</f>
        <v>28119395</v>
      </c>
      <c r="F51" s="46">
        <f>F32</f>
        <v>0</v>
      </c>
      <c r="G51" s="45">
        <f>SUM(G50,G32)</f>
        <v>350000</v>
      </c>
      <c r="H51" s="45">
        <f>SUM(H50,H32)</f>
        <v>6075014.375</v>
      </c>
      <c r="I51" s="45">
        <f>SUM(I50,I32)</f>
        <v>6075014</v>
      </c>
      <c r="J51" s="46">
        <f>SUM(J50,J32)</f>
        <v>3973409</v>
      </c>
      <c r="K51" s="46">
        <f>SUM(K50,K32)</f>
        <v>3602056</v>
      </c>
      <c r="L51" s="44">
        <f t="shared" si="2"/>
        <v>38221087</v>
      </c>
      <c r="M51" s="44">
        <f t="shared" si="3"/>
        <v>38146465</v>
      </c>
    </row>
    <row r="52" spans="1:13" ht="14.25" x14ac:dyDescent="0.2">
      <c r="A52" s="42"/>
      <c r="B52" s="43" t="s">
        <v>213</v>
      </c>
      <c r="C52" s="40" t="s">
        <v>211</v>
      </c>
      <c r="D52" s="39"/>
      <c r="E52" s="39"/>
      <c r="F52" s="39"/>
      <c r="G52" s="38"/>
      <c r="H52" s="38"/>
      <c r="I52" s="38"/>
      <c r="J52" s="39"/>
      <c r="K52" s="150">
        <v>177637</v>
      </c>
      <c r="L52" s="37">
        <f t="shared" ref="L52:L54" si="7">D52+F52+H52+J52</f>
        <v>0</v>
      </c>
      <c r="M52" s="37">
        <f t="shared" ref="M52:M54" si="8">E52+G52+I52+K52</f>
        <v>177637</v>
      </c>
    </row>
    <row r="53" spans="1:13" ht="14.25" x14ac:dyDescent="0.2">
      <c r="A53" s="42"/>
      <c r="B53" s="41" t="s">
        <v>72</v>
      </c>
      <c r="C53" s="40" t="s">
        <v>212</v>
      </c>
      <c r="D53" s="39"/>
      <c r="E53" s="39"/>
      <c r="F53" s="39"/>
      <c r="G53" s="38"/>
      <c r="H53" s="38"/>
      <c r="I53" s="38"/>
      <c r="J53" s="39"/>
      <c r="K53" s="150">
        <v>33038</v>
      </c>
      <c r="L53" s="37">
        <f t="shared" si="7"/>
        <v>0</v>
      </c>
      <c r="M53" s="37">
        <f t="shared" si="8"/>
        <v>33038</v>
      </c>
    </row>
    <row r="54" spans="1:13" ht="15" x14ac:dyDescent="0.2">
      <c r="A54" s="36"/>
      <c r="B54" s="35" t="s">
        <v>70</v>
      </c>
      <c r="C54" s="34" t="s">
        <v>69</v>
      </c>
      <c r="D54" s="33"/>
      <c r="E54" s="33"/>
      <c r="F54" s="33"/>
      <c r="G54" s="32"/>
      <c r="H54" s="32"/>
      <c r="I54" s="32"/>
      <c r="J54" s="33"/>
      <c r="K54" s="147">
        <f>SUM(K52:K53)</f>
        <v>210675</v>
      </c>
      <c r="L54" s="31">
        <f t="shared" si="7"/>
        <v>0</v>
      </c>
      <c r="M54" s="31">
        <f t="shared" si="8"/>
        <v>210675</v>
      </c>
    </row>
    <row r="55" spans="1:13" ht="14.25" x14ac:dyDescent="0.2">
      <c r="A55" s="42">
        <v>30</v>
      </c>
      <c r="B55" s="43" t="s">
        <v>74</v>
      </c>
      <c r="C55" s="40" t="s">
        <v>73</v>
      </c>
      <c r="D55" s="39"/>
      <c r="E55" s="39"/>
      <c r="F55" s="39"/>
      <c r="G55" s="38"/>
      <c r="H55" s="38"/>
      <c r="I55" s="38"/>
      <c r="J55" s="39">
        <f>2000000/1.27</f>
        <v>1574803.1496062991</v>
      </c>
      <c r="K55" s="150"/>
      <c r="L55" s="37">
        <f t="shared" ref="L55:M59" si="9">D55+F55+H55+J55</f>
        <v>1574803.1496062991</v>
      </c>
      <c r="M55" s="37">
        <f t="shared" si="9"/>
        <v>0</v>
      </c>
    </row>
    <row r="56" spans="1:13" ht="14.25" x14ac:dyDescent="0.2">
      <c r="A56" s="42">
        <v>31</v>
      </c>
      <c r="B56" s="41" t="s">
        <v>214</v>
      </c>
      <c r="C56" s="40" t="s">
        <v>71</v>
      </c>
      <c r="D56" s="39"/>
      <c r="E56" s="39"/>
      <c r="F56" s="39"/>
      <c r="G56" s="38"/>
      <c r="H56" s="38"/>
      <c r="I56" s="38"/>
      <c r="J56" s="39">
        <f>J55*0.27</f>
        <v>425196.85039370076</v>
      </c>
      <c r="K56" s="150"/>
      <c r="L56" s="37">
        <f t="shared" si="9"/>
        <v>425196.85039370076</v>
      </c>
      <c r="M56" s="37">
        <f t="shared" si="9"/>
        <v>0</v>
      </c>
    </row>
    <row r="57" spans="1:13" ht="15" x14ac:dyDescent="0.2">
      <c r="A57" s="36">
        <v>32</v>
      </c>
      <c r="B57" s="35" t="s">
        <v>215</v>
      </c>
      <c r="C57" s="34" t="s">
        <v>216</v>
      </c>
      <c r="D57" s="33">
        <f>SUM(D55:D56)</f>
        <v>0</v>
      </c>
      <c r="E57" s="33"/>
      <c r="F57" s="33"/>
      <c r="G57" s="32"/>
      <c r="H57" s="32">
        <f>SUM(H55:H56)</f>
        <v>0</v>
      </c>
      <c r="I57" s="32">
        <f>SUM(I55:I56)</f>
        <v>0</v>
      </c>
      <c r="J57" s="33">
        <f>SUM(J55:J56)</f>
        <v>2000000</v>
      </c>
      <c r="K57" s="33">
        <f>SUM(K55:K56)</f>
        <v>0</v>
      </c>
      <c r="L57" s="31">
        <f t="shared" si="9"/>
        <v>2000000</v>
      </c>
      <c r="M57" s="31">
        <f t="shared" si="9"/>
        <v>0</v>
      </c>
    </row>
    <row r="58" spans="1:13" ht="15.75" thickBot="1" x14ac:dyDescent="0.25">
      <c r="A58" s="30">
        <v>33</v>
      </c>
      <c r="B58" s="29" t="s">
        <v>68</v>
      </c>
      <c r="C58" s="28" t="s">
        <v>67</v>
      </c>
      <c r="D58" s="27">
        <f>SUM(D51+D57)</f>
        <v>28172663.625</v>
      </c>
      <c r="E58" s="27">
        <f>SUM(E51+E57)</f>
        <v>28119395</v>
      </c>
      <c r="F58" s="26">
        <f>F51</f>
        <v>0</v>
      </c>
      <c r="G58" s="25">
        <f>SUM(G51+G57)</f>
        <v>350000</v>
      </c>
      <c r="H58" s="25">
        <f>SUM(H51+H57)</f>
        <v>6075014.375</v>
      </c>
      <c r="I58" s="25">
        <f>SUM(I51+I57)</f>
        <v>6075014</v>
      </c>
      <c r="J58" s="26">
        <f>SUM(J51+J57)</f>
        <v>5973409</v>
      </c>
      <c r="K58" s="26">
        <f>SUM(K51+K57+K54)</f>
        <v>3812731</v>
      </c>
      <c r="L58" s="24">
        <f t="shared" si="9"/>
        <v>40221087</v>
      </c>
      <c r="M58" s="24">
        <f t="shared" si="9"/>
        <v>38357140</v>
      </c>
    </row>
    <row r="59" spans="1:13" ht="18.75" thickBot="1" x14ac:dyDescent="0.25">
      <c r="A59" s="23">
        <v>34</v>
      </c>
      <c r="B59" s="22" t="s">
        <v>66</v>
      </c>
      <c r="C59" s="21" t="s">
        <v>65</v>
      </c>
      <c r="D59" s="20">
        <f>SUM(D58)</f>
        <v>28172663.625</v>
      </c>
      <c r="E59" s="20">
        <f>SUM(E58)</f>
        <v>28119395</v>
      </c>
      <c r="F59" s="19">
        <f>F58</f>
        <v>0</v>
      </c>
      <c r="G59" s="18">
        <f>SUM(G58)</f>
        <v>350000</v>
      </c>
      <c r="H59" s="18">
        <f>SUM(H58)</f>
        <v>6075014.375</v>
      </c>
      <c r="I59" s="18">
        <f>SUM(I58)</f>
        <v>6075014</v>
      </c>
      <c r="J59" s="19">
        <f>SUM(J58)</f>
        <v>5973409</v>
      </c>
      <c r="K59" s="19">
        <f>SUM(K58)</f>
        <v>3812731</v>
      </c>
      <c r="L59" s="17">
        <f t="shared" si="9"/>
        <v>40221087</v>
      </c>
      <c r="M59" s="17">
        <f t="shared" si="9"/>
        <v>38357140</v>
      </c>
    </row>
    <row r="60" spans="1:13" x14ac:dyDescent="0.2">
      <c r="L60" s="16">
        <f>L16-L59</f>
        <v>0</v>
      </c>
    </row>
    <row r="61" spans="1:13" ht="15" x14ac:dyDescent="0.25">
      <c r="J61" s="15"/>
      <c r="K61" s="15"/>
      <c r="L61" s="14"/>
    </row>
  </sheetData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6"/>
  <sheetViews>
    <sheetView zoomScale="90" zoomScaleNormal="90" workbookViewId="0">
      <selection activeCell="I56" sqref="I56"/>
    </sheetView>
  </sheetViews>
  <sheetFormatPr defaultColWidth="9.140625" defaultRowHeight="12.75" x14ac:dyDescent="0.2"/>
  <cols>
    <col min="1" max="1" width="8.140625" style="13" customWidth="1"/>
    <col min="2" max="2" width="61.42578125" style="13" customWidth="1"/>
    <col min="3" max="3" width="9.85546875" style="13" customWidth="1"/>
    <col min="4" max="5" width="20" style="13" customWidth="1"/>
    <col min="6" max="6" width="25.42578125" style="13" bestFit="1" customWidth="1"/>
    <col min="7" max="7" width="25.42578125" style="13" customWidth="1"/>
    <col min="8" max="11" width="19.85546875" style="13" customWidth="1"/>
    <col min="12" max="12" width="20.5703125" style="13" bestFit="1" customWidth="1"/>
    <col min="13" max="13" width="20.5703125" style="13" customWidth="1"/>
    <col min="14" max="14" width="20.7109375" style="13" customWidth="1"/>
    <col min="15" max="15" width="14.5703125" style="13" bestFit="1" customWidth="1"/>
    <col min="16" max="16384" width="9.140625" style="13"/>
  </cols>
  <sheetData>
    <row r="1" spans="1:15" ht="20.25" x14ac:dyDescent="0.3">
      <c r="B1" s="105" t="s">
        <v>173</v>
      </c>
    </row>
    <row r="2" spans="1:15" ht="13.5" thickBot="1" x14ac:dyDescent="0.25"/>
    <row r="3" spans="1:15" ht="105.75" thickBot="1" x14ac:dyDescent="0.25">
      <c r="D3" s="106" t="s">
        <v>174</v>
      </c>
      <c r="E3" s="106" t="s">
        <v>174</v>
      </c>
      <c r="F3" s="106" t="s">
        <v>175</v>
      </c>
      <c r="G3" s="106" t="s">
        <v>175</v>
      </c>
      <c r="H3" s="106" t="s">
        <v>176</v>
      </c>
      <c r="I3" s="106" t="s">
        <v>176</v>
      </c>
      <c r="J3" s="106" t="s">
        <v>177</v>
      </c>
      <c r="K3" s="106" t="s">
        <v>177</v>
      </c>
      <c r="L3" s="107" t="s">
        <v>178</v>
      </c>
      <c r="M3" s="107" t="s">
        <v>178</v>
      </c>
    </row>
    <row r="4" spans="1:15" ht="33" thickTop="1" thickBot="1" x14ac:dyDescent="0.25">
      <c r="A4" s="102" t="s">
        <v>167</v>
      </c>
      <c r="B4" s="101" t="s">
        <v>166</v>
      </c>
      <c r="C4" s="100" t="s">
        <v>165</v>
      </c>
      <c r="D4" s="108" t="s">
        <v>179</v>
      </c>
      <c r="E4" s="108" t="s">
        <v>3</v>
      </c>
      <c r="F4" s="108" t="s">
        <v>180</v>
      </c>
      <c r="G4" s="108" t="s">
        <v>3</v>
      </c>
      <c r="H4" s="108" t="s">
        <v>181</v>
      </c>
      <c r="I4" s="108" t="s">
        <v>3</v>
      </c>
      <c r="J4" s="108" t="s">
        <v>182</v>
      </c>
      <c r="K4" s="109" t="s">
        <v>3</v>
      </c>
      <c r="L4" s="170" t="s">
        <v>183</v>
      </c>
      <c r="M4" s="166" t="s">
        <v>3</v>
      </c>
      <c r="N4" s="97" t="s">
        <v>160</v>
      </c>
      <c r="O4" s="97" t="s">
        <v>3</v>
      </c>
    </row>
    <row r="5" spans="1:15" ht="15" x14ac:dyDescent="0.2">
      <c r="A5" s="42" t="s">
        <v>184</v>
      </c>
      <c r="B5" s="110" t="s">
        <v>185</v>
      </c>
      <c r="C5" s="111" t="s">
        <v>186</v>
      </c>
      <c r="D5" s="112"/>
      <c r="E5" s="94"/>
      <c r="F5" s="73"/>
      <c r="G5" s="94"/>
      <c r="H5" s="112">
        <f>970/1.27*237*50</f>
        <v>9050787.4015748017</v>
      </c>
      <c r="I5" s="112">
        <v>8063985</v>
      </c>
      <c r="J5" s="112">
        <f>970*237*1</f>
        <v>229890</v>
      </c>
      <c r="K5" s="92">
        <v>734890</v>
      </c>
      <c r="L5" s="171"/>
      <c r="M5" s="145"/>
      <c r="N5" s="71">
        <f>D5+F5+H5+J5+L5</f>
        <v>9280677.4015748017</v>
      </c>
      <c r="O5" s="71">
        <f>E5+G5+I5+K5+M5</f>
        <v>8798875</v>
      </c>
    </row>
    <row r="6" spans="1:15" ht="15" x14ac:dyDescent="0.2">
      <c r="A6" s="42" t="s">
        <v>187</v>
      </c>
      <c r="B6" s="110" t="s">
        <v>188</v>
      </c>
      <c r="C6" s="111" t="s">
        <v>189</v>
      </c>
      <c r="D6" s="73"/>
      <c r="E6" s="73"/>
      <c r="F6" s="73">
        <f>2284559/1.27</f>
        <v>1798865.3543307087</v>
      </c>
      <c r="G6" s="73">
        <v>1590619</v>
      </c>
      <c r="H6" s="113"/>
      <c r="I6" s="113"/>
      <c r="J6" s="113"/>
      <c r="K6" s="160"/>
      <c r="L6" s="172"/>
      <c r="M6" s="146"/>
      <c r="N6" s="71">
        <f t="shared" ref="N6:O13" si="0">D6+F6+H6+J6+L6</f>
        <v>1798865.3543307087</v>
      </c>
      <c r="O6" s="71">
        <f t="shared" si="0"/>
        <v>1590619</v>
      </c>
    </row>
    <row r="7" spans="1:15" ht="15" x14ac:dyDescent="0.2">
      <c r="A7" s="42" t="s">
        <v>190</v>
      </c>
      <c r="B7" s="114" t="s">
        <v>191</v>
      </c>
      <c r="C7" s="115" t="s">
        <v>192</v>
      </c>
      <c r="D7" s="73"/>
      <c r="E7" s="116"/>
      <c r="F7" s="116">
        <f>F6*0.27</f>
        <v>485693.64566929138</v>
      </c>
      <c r="G7" s="116">
        <v>429466</v>
      </c>
      <c r="H7" s="73">
        <f>H5*0.27</f>
        <v>2443712.5984251965</v>
      </c>
      <c r="I7" s="73">
        <v>2177275</v>
      </c>
      <c r="J7" s="73">
        <f>J5*0.27</f>
        <v>62070.3</v>
      </c>
      <c r="K7" s="72">
        <v>198420</v>
      </c>
      <c r="L7" s="172"/>
      <c r="M7" s="146"/>
      <c r="N7" s="71">
        <f t="shared" si="0"/>
        <v>2991476.5440944876</v>
      </c>
      <c r="O7" s="71">
        <f t="shared" si="0"/>
        <v>2805161</v>
      </c>
    </row>
    <row r="8" spans="1:15" ht="15" x14ac:dyDescent="0.2">
      <c r="A8" s="30" t="s">
        <v>193</v>
      </c>
      <c r="B8" s="29" t="s">
        <v>153</v>
      </c>
      <c r="C8" s="28" t="s">
        <v>152</v>
      </c>
      <c r="D8" s="27"/>
      <c r="E8" s="26"/>
      <c r="F8" s="26">
        <f>SUM(F6:F7)</f>
        <v>2284559</v>
      </c>
      <c r="G8" s="26">
        <f t="shared" ref="G8" si="1">SUM(G6:G7)</f>
        <v>2020085</v>
      </c>
      <c r="H8" s="27">
        <f>SUM(H5:H7)</f>
        <v>11494499.999999998</v>
      </c>
      <c r="I8" s="27">
        <f t="shared" ref="I8:M8" si="2">SUM(I5:I7)</f>
        <v>10241260</v>
      </c>
      <c r="J8" s="27">
        <f t="shared" si="2"/>
        <v>291960.3</v>
      </c>
      <c r="K8" s="27">
        <f t="shared" si="2"/>
        <v>933310</v>
      </c>
      <c r="L8" s="27">
        <f t="shared" si="2"/>
        <v>0</v>
      </c>
      <c r="M8" s="27">
        <f t="shared" si="2"/>
        <v>0</v>
      </c>
      <c r="N8" s="24">
        <f t="shared" si="0"/>
        <v>14071019.299999999</v>
      </c>
      <c r="O8" s="24">
        <f t="shared" si="0"/>
        <v>13194655</v>
      </c>
    </row>
    <row r="9" spans="1:15" ht="15" x14ac:dyDescent="0.25">
      <c r="A9" s="76" t="s">
        <v>194</v>
      </c>
      <c r="B9" s="75" t="s">
        <v>146</v>
      </c>
      <c r="C9" s="74" t="s">
        <v>145</v>
      </c>
      <c r="D9" s="80">
        <v>363000</v>
      </c>
      <c r="E9" s="80">
        <v>363000</v>
      </c>
      <c r="F9" s="80">
        <f>8987000+9284099+F11</f>
        <v>18437761</v>
      </c>
      <c r="G9" s="80">
        <f>SUM(G10)</f>
        <v>18259561</v>
      </c>
      <c r="H9" s="80">
        <f>H11</f>
        <v>1499929</v>
      </c>
      <c r="I9" s="80"/>
      <c r="J9" s="80"/>
      <c r="K9" s="79"/>
      <c r="L9" s="173">
        <v>1562370</v>
      </c>
      <c r="M9" s="149"/>
      <c r="N9" s="78">
        <f t="shared" si="0"/>
        <v>21863060</v>
      </c>
      <c r="O9" s="78">
        <f t="shared" si="0"/>
        <v>18622561</v>
      </c>
    </row>
    <row r="10" spans="1:15" ht="15" x14ac:dyDescent="0.25">
      <c r="A10" s="76" t="s">
        <v>195</v>
      </c>
      <c r="B10" s="75" t="s">
        <v>196</v>
      </c>
      <c r="C10" s="74" t="s">
        <v>142</v>
      </c>
      <c r="D10" s="117">
        <f>D9</f>
        <v>363000</v>
      </c>
      <c r="E10" s="117">
        <f>E9</f>
        <v>363000</v>
      </c>
      <c r="F10" s="73">
        <f>SUM(F9:F9)</f>
        <v>18437761</v>
      </c>
      <c r="G10" s="73">
        <v>18259561</v>
      </c>
      <c r="H10" s="73">
        <f t="shared" ref="H10:L10" si="3">SUM(H9:H9)</f>
        <v>1499929</v>
      </c>
      <c r="I10" s="73">
        <f t="shared" si="3"/>
        <v>0</v>
      </c>
      <c r="J10" s="73">
        <f t="shared" si="3"/>
        <v>0</v>
      </c>
      <c r="K10" s="72">
        <f t="shared" si="3"/>
        <v>0</v>
      </c>
      <c r="L10" s="172">
        <f t="shared" si="3"/>
        <v>1562370</v>
      </c>
      <c r="M10" s="167">
        <v>1052220</v>
      </c>
      <c r="N10" s="71">
        <f t="shared" si="0"/>
        <v>21863060</v>
      </c>
      <c r="O10" s="71">
        <f t="shared" si="0"/>
        <v>19674781</v>
      </c>
    </row>
    <row r="11" spans="1:15" ht="15" x14ac:dyDescent="0.25">
      <c r="A11" s="118"/>
      <c r="B11" s="119" t="s">
        <v>197</v>
      </c>
      <c r="C11" s="120"/>
      <c r="D11" s="121"/>
      <c r="E11" s="121"/>
      <c r="F11" s="116">
        <v>166662</v>
      </c>
      <c r="G11" s="116"/>
      <c r="H11" s="116">
        <v>1499929</v>
      </c>
      <c r="I11" s="116"/>
      <c r="J11" s="116"/>
      <c r="K11" s="122"/>
      <c r="L11" s="174"/>
      <c r="M11" s="161"/>
      <c r="N11" s="71">
        <f t="shared" si="0"/>
        <v>1666591</v>
      </c>
      <c r="O11" s="71">
        <f t="shared" si="0"/>
        <v>0</v>
      </c>
    </row>
    <row r="12" spans="1:15" ht="15.75" thickBot="1" x14ac:dyDescent="0.25">
      <c r="A12" s="30" t="s">
        <v>198</v>
      </c>
      <c r="B12" s="29" t="s">
        <v>141</v>
      </c>
      <c r="C12" s="28" t="s">
        <v>140</v>
      </c>
      <c r="D12" s="26">
        <f>D10</f>
        <v>363000</v>
      </c>
      <c r="E12" s="26">
        <f t="shared" ref="E12:M12" si="4">E10</f>
        <v>363000</v>
      </c>
      <c r="F12" s="26">
        <f t="shared" si="4"/>
        <v>18437761</v>
      </c>
      <c r="G12" s="26">
        <f t="shared" si="4"/>
        <v>18259561</v>
      </c>
      <c r="H12" s="26">
        <f>H10</f>
        <v>1499929</v>
      </c>
      <c r="I12" s="26">
        <f t="shared" si="4"/>
        <v>0</v>
      </c>
      <c r="J12" s="26">
        <f t="shared" si="4"/>
        <v>0</v>
      </c>
      <c r="K12" s="25">
        <f t="shared" si="4"/>
        <v>0</v>
      </c>
      <c r="L12" s="175">
        <f t="shared" si="4"/>
        <v>1562370</v>
      </c>
      <c r="M12" s="148">
        <f t="shared" si="4"/>
        <v>1052220</v>
      </c>
      <c r="N12" s="24">
        <f t="shared" si="0"/>
        <v>21863060</v>
      </c>
      <c r="O12" s="24">
        <f t="shared" si="0"/>
        <v>19674781</v>
      </c>
    </row>
    <row r="13" spans="1:15" ht="18.75" thickBot="1" x14ac:dyDescent="0.25">
      <c r="A13" s="123" t="s">
        <v>199</v>
      </c>
      <c r="B13" s="124" t="s">
        <v>139</v>
      </c>
      <c r="C13" s="125" t="s">
        <v>138</v>
      </c>
      <c r="D13" s="126">
        <f>D12</f>
        <v>363000</v>
      </c>
      <c r="E13" s="126">
        <f t="shared" ref="E13" si="5">E12</f>
        <v>363000</v>
      </c>
      <c r="F13" s="126">
        <f>F12+F8</f>
        <v>20722320</v>
      </c>
      <c r="G13" s="126">
        <f>G12+G8</f>
        <v>20279646</v>
      </c>
      <c r="H13" s="126">
        <f t="shared" ref="H13:M13" si="6">H12+H8</f>
        <v>12994428.999999998</v>
      </c>
      <c r="I13" s="126">
        <f t="shared" si="6"/>
        <v>10241260</v>
      </c>
      <c r="J13" s="126">
        <f>J12+J8</f>
        <v>291960.3</v>
      </c>
      <c r="K13" s="126">
        <f t="shared" si="6"/>
        <v>933310</v>
      </c>
      <c r="L13" s="126">
        <f t="shared" si="6"/>
        <v>1562370</v>
      </c>
      <c r="M13" s="126">
        <f t="shared" si="6"/>
        <v>1052220</v>
      </c>
      <c r="N13" s="127">
        <f t="shared" si="0"/>
        <v>35934079.299999997</v>
      </c>
      <c r="O13" s="127">
        <f t="shared" si="0"/>
        <v>32869436</v>
      </c>
    </row>
    <row r="14" spans="1:15" ht="6" customHeight="1" x14ac:dyDescent="0.2">
      <c r="A14" s="128"/>
      <c r="B14" s="129"/>
      <c r="C14" s="130"/>
      <c r="D14" s="131"/>
      <c r="E14" s="131"/>
      <c r="F14" s="131"/>
      <c r="G14" s="131"/>
      <c r="H14" s="131"/>
      <c r="I14" s="131"/>
      <c r="J14" s="131"/>
      <c r="K14" s="132"/>
      <c r="L14" s="176"/>
      <c r="M14" s="162"/>
      <c r="N14" s="133"/>
      <c r="O14" s="133"/>
    </row>
    <row r="15" spans="1:15" ht="14.25" x14ac:dyDescent="0.2">
      <c r="A15" s="42">
        <v>1</v>
      </c>
      <c r="B15" s="64" t="s">
        <v>137</v>
      </c>
      <c r="C15" s="57" t="s">
        <v>136</v>
      </c>
      <c r="D15" s="39"/>
      <c r="E15" s="39"/>
      <c r="F15" s="39">
        <v>6708865</v>
      </c>
      <c r="G15" s="39">
        <v>6338305</v>
      </c>
      <c r="H15" s="39">
        <f>10820750-F15</f>
        <v>4111885</v>
      </c>
      <c r="I15" s="39">
        <v>3846276</v>
      </c>
      <c r="J15" s="39"/>
      <c r="K15" s="38">
        <v>710367</v>
      </c>
      <c r="L15" s="177"/>
      <c r="M15" s="150"/>
      <c r="N15" s="37">
        <f t="shared" ref="N15:O33" si="7">D15+F15+H15+J15+L15</f>
        <v>10820750</v>
      </c>
      <c r="O15" s="37">
        <f t="shared" si="7"/>
        <v>10894948</v>
      </c>
    </row>
    <row r="16" spans="1:15" ht="14.25" x14ac:dyDescent="0.2">
      <c r="A16" s="42"/>
      <c r="B16" s="41" t="s">
        <v>200</v>
      </c>
      <c r="C16" s="57" t="s">
        <v>201</v>
      </c>
      <c r="D16" s="39"/>
      <c r="E16" s="39"/>
      <c r="F16" s="39">
        <v>0</v>
      </c>
      <c r="G16" s="39"/>
      <c r="H16" s="39">
        <v>0</v>
      </c>
      <c r="I16" s="39"/>
      <c r="J16" s="39"/>
      <c r="K16" s="38"/>
      <c r="L16" s="177"/>
      <c r="M16" s="150"/>
      <c r="N16" s="37">
        <f t="shared" si="7"/>
        <v>0</v>
      </c>
      <c r="O16" s="37">
        <f t="shared" si="7"/>
        <v>0</v>
      </c>
    </row>
    <row r="17" spans="1:15" ht="14.25" x14ac:dyDescent="0.2">
      <c r="A17" s="42">
        <v>2</v>
      </c>
      <c r="B17" s="41" t="s">
        <v>133</v>
      </c>
      <c r="C17" s="57" t="s">
        <v>132</v>
      </c>
      <c r="D17" s="39"/>
      <c r="E17" s="39"/>
      <c r="F17" s="39">
        <f>596075*0.65</f>
        <v>387448.75</v>
      </c>
      <c r="G17" s="39">
        <v>395659</v>
      </c>
      <c r="H17" s="39">
        <f>596075*0.35</f>
        <v>208626.25</v>
      </c>
      <c r="I17" s="39">
        <v>182025</v>
      </c>
      <c r="J17" s="39"/>
      <c r="K17" s="38">
        <v>13116</v>
      </c>
      <c r="L17" s="177"/>
      <c r="M17" s="150"/>
      <c r="N17" s="37">
        <f t="shared" si="7"/>
        <v>596075</v>
      </c>
      <c r="O17" s="37">
        <f t="shared" si="7"/>
        <v>590800</v>
      </c>
    </row>
    <row r="18" spans="1:15" ht="14.25" x14ac:dyDescent="0.2">
      <c r="A18" s="42">
        <v>3</v>
      </c>
      <c r="B18" s="41" t="s">
        <v>131</v>
      </c>
      <c r="C18" s="57" t="s">
        <v>130</v>
      </c>
      <c r="D18" s="39"/>
      <c r="E18" s="39"/>
      <c r="F18" s="39">
        <f>144000*0.65</f>
        <v>93600</v>
      </c>
      <c r="G18" s="39">
        <v>80954</v>
      </c>
      <c r="H18" s="39">
        <f>144000*0.35</f>
        <v>50400</v>
      </c>
      <c r="I18" s="39">
        <v>44855</v>
      </c>
      <c r="J18" s="39"/>
      <c r="K18" s="38">
        <v>4622</v>
      </c>
      <c r="L18" s="177"/>
      <c r="M18" s="150"/>
      <c r="N18" s="37">
        <f t="shared" si="7"/>
        <v>144000</v>
      </c>
      <c r="O18" s="37">
        <f t="shared" si="7"/>
        <v>130431</v>
      </c>
    </row>
    <row r="19" spans="1:15" ht="14.25" x14ac:dyDescent="0.2">
      <c r="A19" s="42">
        <v>4</v>
      </c>
      <c r="B19" s="41" t="s">
        <v>129</v>
      </c>
      <c r="C19" s="57" t="s">
        <v>128</v>
      </c>
      <c r="D19" s="39"/>
      <c r="E19" s="39"/>
      <c r="F19" s="39"/>
      <c r="G19" s="164">
        <v>59892</v>
      </c>
      <c r="H19" s="39"/>
      <c r="I19" s="164">
        <v>27553</v>
      </c>
      <c r="J19" s="39"/>
      <c r="K19" s="38">
        <v>1985</v>
      </c>
      <c r="L19" s="177"/>
      <c r="M19" s="150"/>
      <c r="N19" s="37">
        <f t="shared" si="7"/>
        <v>0</v>
      </c>
      <c r="O19" s="37">
        <f t="shared" si="7"/>
        <v>89430</v>
      </c>
    </row>
    <row r="20" spans="1:15" ht="15" x14ac:dyDescent="0.2">
      <c r="A20" s="36">
        <v>5</v>
      </c>
      <c r="B20" s="50" t="s">
        <v>127</v>
      </c>
      <c r="C20" s="34" t="s">
        <v>126</v>
      </c>
      <c r="D20" s="53"/>
      <c r="E20" s="53"/>
      <c r="F20" s="53">
        <f t="shared" ref="F20:M20" si="8">SUM(F15:F19)</f>
        <v>7189913.75</v>
      </c>
      <c r="G20" s="53">
        <f t="shared" si="8"/>
        <v>6874810</v>
      </c>
      <c r="H20" s="53">
        <f t="shared" si="8"/>
        <v>4370911.25</v>
      </c>
      <c r="I20" s="53">
        <f t="shared" si="8"/>
        <v>4100709</v>
      </c>
      <c r="J20" s="53">
        <f t="shared" si="8"/>
        <v>0</v>
      </c>
      <c r="K20" s="52">
        <f t="shared" si="8"/>
        <v>730090</v>
      </c>
      <c r="L20" s="178">
        <f t="shared" si="8"/>
        <v>0</v>
      </c>
      <c r="M20" s="151">
        <f t="shared" si="8"/>
        <v>0</v>
      </c>
      <c r="N20" s="51">
        <f t="shared" si="7"/>
        <v>11560825</v>
      </c>
      <c r="O20" s="51">
        <f t="shared" si="7"/>
        <v>11705609</v>
      </c>
    </row>
    <row r="21" spans="1:15" ht="14.25" x14ac:dyDescent="0.2">
      <c r="A21" s="42"/>
      <c r="B21" s="64" t="s">
        <v>217</v>
      </c>
      <c r="C21" s="57" t="s">
        <v>218</v>
      </c>
      <c r="D21" s="39"/>
      <c r="E21" s="39"/>
      <c r="F21" s="39"/>
      <c r="G21" s="39"/>
      <c r="H21" s="39"/>
      <c r="I21" s="39">
        <f>114300+50800</f>
        <v>165100</v>
      </c>
      <c r="J21" s="39"/>
      <c r="K21" s="38"/>
      <c r="L21" s="177"/>
      <c r="M21" s="150"/>
      <c r="N21" s="37">
        <f t="shared" ref="N21:N22" si="9">D21+F21+H21+J21+L21</f>
        <v>0</v>
      </c>
      <c r="O21" s="37">
        <f t="shared" ref="O21:O22" si="10">E21+G21+I21+K21+M21</f>
        <v>165100</v>
      </c>
    </row>
    <row r="22" spans="1:15" ht="15" x14ac:dyDescent="0.2">
      <c r="A22" s="36"/>
      <c r="B22" s="50" t="s">
        <v>123</v>
      </c>
      <c r="C22" s="34" t="s">
        <v>122</v>
      </c>
      <c r="D22" s="53"/>
      <c r="E22" s="53"/>
      <c r="F22" s="53">
        <f t="shared" ref="F22:M22" si="11">SUM(F21)</f>
        <v>0</v>
      </c>
      <c r="G22" s="53">
        <f t="shared" si="11"/>
        <v>0</v>
      </c>
      <c r="H22" s="53">
        <f t="shared" si="11"/>
        <v>0</v>
      </c>
      <c r="I22" s="53">
        <f t="shared" si="11"/>
        <v>165100</v>
      </c>
      <c r="J22" s="53">
        <f t="shared" si="11"/>
        <v>0</v>
      </c>
      <c r="K22" s="52">
        <f t="shared" si="11"/>
        <v>0</v>
      </c>
      <c r="L22" s="178">
        <f t="shared" si="11"/>
        <v>0</v>
      </c>
      <c r="M22" s="168">
        <f t="shared" si="11"/>
        <v>0</v>
      </c>
      <c r="N22" s="51">
        <f t="shared" si="9"/>
        <v>0</v>
      </c>
      <c r="O22" s="51">
        <f t="shared" si="10"/>
        <v>165100</v>
      </c>
    </row>
    <row r="23" spans="1:15" ht="15" x14ac:dyDescent="0.2">
      <c r="A23" s="36">
        <v>6</v>
      </c>
      <c r="B23" s="50" t="s">
        <v>121</v>
      </c>
      <c r="C23" s="34" t="s">
        <v>120</v>
      </c>
      <c r="D23" s="33"/>
      <c r="E23" s="33"/>
      <c r="F23" s="33">
        <f>SUM(F20)</f>
        <v>7189913.75</v>
      </c>
      <c r="G23" s="33">
        <f t="shared" ref="G23:M23" si="12">SUM(G20)</f>
        <v>6874810</v>
      </c>
      <c r="H23" s="33">
        <f t="shared" si="12"/>
        <v>4370911.25</v>
      </c>
      <c r="I23" s="33">
        <f>SUM(I20+I22)</f>
        <v>4265809</v>
      </c>
      <c r="J23" s="33">
        <f t="shared" si="12"/>
        <v>0</v>
      </c>
      <c r="K23" s="32">
        <f t="shared" si="12"/>
        <v>730090</v>
      </c>
      <c r="L23" s="179">
        <f t="shared" si="12"/>
        <v>0</v>
      </c>
      <c r="M23" s="147">
        <f t="shared" si="12"/>
        <v>0</v>
      </c>
      <c r="N23" s="31">
        <f t="shared" si="7"/>
        <v>11560825</v>
      </c>
      <c r="O23" s="31">
        <f>E23+G23+I23+K23+M23</f>
        <v>11870709</v>
      </c>
    </row>
    <row r="24" spans="1:15" ht="30" x14ac:dyDescent="0.2">
      <c r="A24" s="36">
        <v>7</v>
      </c>
      <c r="B24" s="50" t="s">
        <v>119</v>
      </c>
      <c r="C24" s="34" t="s">
        <v>114</v>
      </c>
      <c r="D24" s="33"/>
      <c r="E24" s="33"/>
      <c r="F24" s="33">
        <f>SUM(F25:F28)</f>
        <v>1518171.05</v>
      </c>
      <c r="G24" s="33">
        <f t="shared" ref="G24:M24" si="13">SUM(G25:G28)</f>
        <v>1397707</v>
      </c>
      <c r="H24" s="33">
        <f t="shared" si="13"/>
        <v>817476.95</v>
      </c>
      <c r="I24" s="33">
        <f t="shared" si="13"/>
        <v>857821</v>
      </c>
      <c r="J24" s="33">
        <f t="shared" si="13"/>
        <v>0</v>
      </c>
      <c r="K24" s="32">
        <f t="shared" si="13"/>
        <v>143637</v>
      </c>
      <c r="L24" s="179">
        <f t="shared" si="13"/>
        <v>0</v>
      </c>
      <c r="M24" s="147">
        <f t="shared" si="13"/>
        <v>0</v>
      </c>
      <c r="N24" s="31">
        <f t="shared" si="7"/>
        <v>2335648</v>
      </c>
      <c r="O24" s="31">
        <f t="shared" si="7"/>
        <v>2399165</v>
      </c>
    </row>
    <row r="25" spans="1:15" ht="14.25" x14ac:dyDescent="0.2">
      <c r="A25" s="42">
        <v>8</v>
      </c>
      <c r="B25" s="62" t="s">
        <v>118</v>
      </c>
      <c r="C25" s="61" t="s">
        <v>114</v>
      </c>
      <c r="D25" s="56"/>
      <c r="E25" s="56"/>
      <c r="F25" s="56">
        <v>1385586</v>
      </c>
      <c r="G25" s="56">
        <v>1261530</v>
      </c>
      <c r="H25" s="56">
        <v>746085</v>
      </c>
      <c r="I25" s="56">
        <f>762955+32217</f>
        <v>795172</v>
      </c>
      <c r="J25" s="56"/>
      <c r="K25" s="55">
        <v>139123</v>
      </c>
      <c r="L25" s="180"/>
      <c r="M25" s="153"/>
      <c r="N25" s="54">
        <f t="shared" si="7"/>
        <v>2131671</v>
      </c>
      <c r="O25" s="54">
        <f t="shared" si="7"/>
        <v>2195825</v>
      </c>
    </row>
    <row r="26" spans="1:15" ht="14.25" x14ac:dyDescent="0.2">
      <c r="A26" s="42">
        <v>9</v>
      </c>
      <c r="B26" s="62" t="s">
        <v>117</v>
      </c>
      <c r="C26" s="61" t="s">
        <v>114</v>
      </c>
      <c r="D26" s="56"/>
      <c r="E26" s="56"/>
      <c r="F26" s="56">
        <f>98472*0.65</f>
        <v>64006.8</v>
      </c>
      <c r="G26" s="56">
        <v>65359</v>
      </c>
      <c r="H26" s="56">
        <f>98472*0.35</f>
        <v>34465.199999999997</v>
      </c>
      <c r="I26" s="56">
        <v>30069</v>
      </c>
      <c r="J26" s="56">
        <f>J17*1.18*0.14</f>
        <v>0</v>
      </c>
      <c r="K26" s="55">
        <v>2167</v>
      </c>
      <c r="L26" s="180"/>
      <c r="M26" s="153"/>
      <c r="N26" s="54">
        <f t="shared" si="7"/>
        <v>98472</v>
      </c>
      <c r="O26" s="54">
        <f t="shared" si="7"/>
        <v>97595</v>
      </c>
    </row>
    <row r="27" spans="1:15" ht="14.25" x14ac:dyDescent="0.2">
      <c r="A27" s="42">
        <v>10</v>
      </c>
      <c r="B27" s="62" t="s">
        <v>116</v>
      </c>
      <c r="C27" s="61" t="s">
        <v>114</v>
      </c>
      <c r="D27" s="56"/>
      <c r="E27" s="56"/>
      <c r="F27" s="56"/>
      <c r="G27" s="203">
        <v>789</v>
      </c>
      <c r="H27" s="56"/>
      <c r="I27" s="203">
        <v>363</v>
      </c>
      <c r="J27" s="56"/>
      <c r="K27" s="55">
        <v>26</v>
      </c>
      <c r="L27" s="180"/>
      <c r="M27" s="153"/>
      <c r="N27" s="54">
        <f t="shared" si="7"/>
        <v>0</v>
      </c>
      <c r="O27" s="54">
        <f t="shared" si="7"/>
        <v>1178</v>
      </c>
    </row>
    <row r="28" spans="1:15" ht="14.25" x14ac:dyDescent="0.2">
      <c r="A28" s="42">
        <v>11</v>
      </c>
      <c r="B28" s="62" t="s">
        <v>115</v>
      </c>
      <c r="C28" s="61" t="s">
        <v>114</v>
      </c>
      <c r="D28" s="56"/>
      <c r="E28" s="56"/>
      <c r="F28" s="56">
        <f>105505*0.65</f>
        <v>68578.25</v>
      </c>
      <c r="G28" s="56">
        <v>70029</v>
      </c>
      <c r="H28" s="56">
        <f>105505*0.35</f>
        <v>36926.75</v>
      </c>
      <c r="I28" s="56">
        <v>32217</v>
      </c>
      <c r="J28" s="56">
        <f>J17*1.18*0.15</f>
        <v>0</v>
      </c>
      <c r="K28" s="55">
        <v>2321</v>
      </c>
      <c r="L28" s="180"/>
      <c r="M28" s="153"/>
      <c r="N28" s="54">
        <f t="shared" si="7"/>
        <v>105505</v>
      </c>
      <c r="O28" s="54">
        <f t="shared" si="7"/>
        <v>104567</v>
      </c>
    </row>
    <row r="29" spans="1:15" ht="15.75" x14ac:dyDescent="0.2">
      <c r="A29" s="49">
        <v>12</v>
      </c>
      <c r="B29" s="48" t="s">
        <v>113</v>
      </c>
      <c r="C29" s="47" t="s">
        <v>112</v>
      </c>
      <c r="D29" s="46"/>
      <c r="E29" s="46"/>
      <c r="F29" s="46">
        <f>SUM(F23:F24)</f>
        <v>8708084.8000000007</v>
      </c>
      <c r="G29" s="46">
        <f t="shared" ref="G29:M29" si="14">SUM(G23:G24)</f>
        <v>8272517</v>
      </c>
      <c r="H29" s="46">
        <f t="shared" si="14"/>
        <v>5188388.2</v>
      </c>
      <c r="I29" s="46">
        <f t="shared" si="14"/>
        <v>5123630</v>
      </c>
      <c r="J29" s="46">
        <f t="shared" si="14"/>
        <v>0</v>
      </c>
      <c r="K29" s="45">
        <f t="shared" si="14"/>
        <v>873727</v>
      </c>
      <c r="L29" s="181">
        <f t="shared" si="14"/>
        <v>0</v>
      </c>
      <c r="M29" s="154">
        <f t="shared" si="14"/>
        <v>0</v>
      </c>
      <c r="N29" s="44">
        <f t="shared" si="7"/>
        <v>13896473</v>
      </c>
      <c r="O29" s="44">
        <f t="shared" si="7"/>
        <v>14269874</v>
      </c>
    </row>
    <row r="30" spans="1:15" ht="14.25" x14ac:dyDescent="0.2">
      <c r="A30" s="42">
        <v>13</v>
      </c>
      <c r="B30" s="41" t="s">
        <v>109</v>
      </c>
      <c r="C30" s="57" t="s">
        <v>108</v>
      </c>
      <c r="D30" s="60"/>
      <c r="E30" s="60"/>
      <c r="F30" s="60">
        <f>14780803*0.6</f>
        <v>8868481.7999999989</v>
      </c>
      <c r="G30" s="60">
        <v>9135154</v>
      </c>
      <c r="H30" s="60">
        <f>14780803*0.4</f>
        <v>5912321.2000000002</v>
      </c>
      <c r="I30" s="60">
        <v>5253346</v>
      </c>
      <c r="J30" s="60"/>
      <c r="K30" s="59">
        <v>890573</v>
      </c>
      <c r="L30" s="134">
        <f>1562370/1.27</f>
        <v>1230212.5984251969</v>
      </c>
      <c r="M30" s="152">
        <v>909495</v>
      </c>
      <c r="N30" s="58">
        <f>D30+F30+H30+J30+L30</f>
        <v>16011015.598425196</v>
      </c>
      <c r="O30" s="58">
        <f>E30+G30+I30+K30+M30</f>
        <v>16188568</v>
      </c>
    </row>
    <row r="31" spans="1:15" ht="15" x14ac:dyDescent="0.2">
      <c r="A31" s="36">
        <v>14</v>
      </c>
      <c r="B31" s="50" t="s">
        <v>107</v>
      </c>
      <c r="C31" s="34" t="s">
        <v>106</v>
      </c>
      <c r="D31" s="53"/>
      <c r="E31" s="53"/>
      <c r="F31" s="53">
        <f>SUM(F30)</f>
        <v>8868481.7999999989</v>
      </c>
      <c r="G31" s="53">
        <f t="shared" ref="G31:M31" si="15">SUM(G30)</f>
        <v>9135154</v>
      </c>
      <c r="H31" s="53">
        <f t="shared" si="15"/>
        <v>5912321.2000000002</v>
      </c>
      <c r="I31" s="53">
        <f t="shared" si="15"/>
        <v>5253346</v>
      </c>
      <c r="J31" s="53">
        <f t="shared" si="15"/>
        <v>0</v>
      </c>
      <c r="K31" s="52">
        <f t="shared" si="15"/>
        <v>890573</v>
      </c>
      <c r="L31" s="178">
        <f t="shared" si="15"/>
        <v>1230212.5984251969</v>
      </c>
      <c r="M31" s="151">
        <f t="shared" si="15"/>
        <v>909495</v>
      </c>
      <c r="N31" s="51">
        <f t="shared" si="7"/>
        <v>16011015.598425196</v>
      </c>
      <c r="O31" s="51">
        <f t="shared" si="7"/>
        <v>16188568</v>
      </c>
    </row>
    <row r="32" spans="1:15" ht="14.25" x14ac:dyDescent="0.2">
      <c r="A32" s="42">
        <v>15</v>
      </c>
      <c r="B32" s="41" t="s">
        <v>105</v>
      </c>
      <c r="C32" s="57" t="s">
        <v>104</v>
      </c>
      <c r="D32" s="60"/>
      <c r="E32" s="60"/>
      <c r="F32" s="60">
        <v>70301</v>
      </c>
      <c r="G32" s="60">
        <v>42157</v>
      </c>
      <c r="H32" s="60">
        <v>40481.949999999997</v>
      </c>
      <c r="I32" s="60">
        <v>22743</v>
      </c>
      <c r="J32" s="60"/>
      <c r="K32" s="59">
        <v>612</v>
      </c>
      <c r="L32" s="134"/>
      <c r="M32" s="152"/>
      <c r="N32" s="58">
        <f t="shared" si="7"/>
        <v>110782.95</v>
      </c>
      <c r="O32" s="58">
        <f t="shared" si="7"/>
        <v>65512</v>
      </c>
    </row>
    <row r="33" spans="1:15" ht="14.25" x14ac:dyDescent="0.2">
      <c r="A33" s="42">
        <v>16</v>
      </c>
      <c r="B33" s="41" t="s">
        <v>103</v>
      </c>
      <c r="C33" s="57" t="s">
        <v>102</v>
      </c>
      <c r="D33" s="134"/>
      <c r="E33" s="134"/>
      <c r="F33" s="134">
        <v>0</v>
      </c>
      <c r="G33" s="134"/>
      <c r="H33" s="134">
        <v>0</v>
      </c>
      <c r="I33" s="134"/>
      <c r="J33" s="134"/>
      <c r="K33" s="59">
        <v>0</v>
      </c>
      <c r="L33" s="134"/>
      <c r="M33" s="152"/>
      <c r="N33" s="58">
        <f t="shared" si="7"/>
        <v>0</v>
      </c>
      <c r="O33" s="58">
        <f>E33+G33+I33+K33+M33</f>
        <v>0</v>
      </c>
    </row>
    <row r="34" spans="1:15" ht="15" x14ac:dyDescent="0.2">
      <c r="A34" s="36">
        <v>17</v>
      </c>
      <c r="B34" s="50" t="s">
        <v>101</v>
      </c>
      <c r="C34" s="34" t="s">
        <v>100</v>
      </c>
      <c r="D34" s="53"/>
      <c r="E34" s="53"/>
      <c r="F34" s="53">
        <f>SUM(F32:F33)</f>
        <v>70301</v>
      </c>
      <c r="G34" s="53">
        <f t="shared" ref="G34:M34" si="16">SUM(G32:G33)</f>
        <v>42157</v>
      </c>
      <c r="H34" s="53">
        <f t="shared" si="16"/>
        <v>40481.949999999997</v>
      </c>
      <c r="I34" s="53">
        <f>SUM(I32:I33)</f>
        <v>22743</v>
      </c>
      <c r="J34" s="53">
        <f t="shared" si="16"/>
        <v>0</v>
      </c>
      <c r="K34" s="52">
        <f>SUM(K32:K33)</f>
        <v>612</v>
      </c>
      <c r="L34" s="178">
        <f t="shared" si="16"/>
        <v>0</v>
      </c>
      <c r="M34" s="151">
        <f t="shared" si="16"/>
        <v>0</v>
      </c>
      <c r="N34" s="51">
        <f t="shared" ref="N34:N40" si="17">D34+F34+H34+J34+L34</f>
        <v>110782.95</v>
      </c>
      <c r="O34" s="51">
        <f>E34+G34+I34+K34+M34</f>
        <v>65512</v>
      </c>
    </row>
    <row r="35" spans="1:15" ht="14.25" x14ac:dyDescent="0.2">
      <c r="A35" s="42">
        <v>18</v>
      </c>
      <c r="B35" s="41" t="s">
        <v>99</v>
      </c>
      <c r="C35" s="57" t="s">
        <v>98</v>
      </c>
      <c r="D35" s="60"/>
      <c r="E35" s="60"/>
      <c r="F35" s="60">
        <v>595257</v>
      </c>
      <c r="G35" s="204">
        <v>774420</v>
      </c>
      <c r="H35" s="60">
        <v>364180.29</v>
      </c>
      <c r="I35" s="204">
        <v>456237</v>
      </c>
      <c r="J35" s="60"/>
      <c r="K35" s="59">
        <v>83136</v>
      </c>
      <c r="L35" s="134"/>
      <c r="M35" s="152"/>
      <c r="N35" s="58">
        <f>D35+F35+H35+J35+L35</f>
        <v>959437.29</v>
      </c>
      <c r="O35" s="58">
        <f>E35+G35+I35+K35+M35</f>
        <v>1313793</v>
      </c>
    </row>
    <row r="36" spans="1:15" ht="14.25" x14ac:dyDescent="0.2">
      <c r="A36" s="42">
        <v>19</v>
      </c>
      <c r="B36" s="41" t="s">
        <v>202</v>
      </c>
      <c r="C36" s="57" t="s">
        <v>203</v>
      </c>
      <c r="D36" s="60"/>
      <c r="E36" s="60"/>
      <c r="F36" s="60">
        <v>0</v>
      </c>
      <c r="G36" s="204">
        <v>5490</v>
      </c>
      <c r="H36" s="60">
        <v>0</v>
      </c>
      <c r="I36" s="204">
        <v>2841</v>
      </c>
      <c r="J36" s="60"/>
      <c r="K36" s="59">
        <v>82</v>
      </c>
      <c r="L36" s="134"/>
      <c r="M36" s="152"/>
      <c r="N36" s="58">
        <f t="shared" si="17"/>
        <v>0</v>
      </c>
      <c r="O36" s="58">
        <f t="shared" ref="N36:O52" si="18">E36+G36+I36+K36+M36</f>
        <v>8413</v>
      </c>
    </row>
    <row r="37" spans="1:15" ht="14.25" x14ac:dyDescent="0.2">
      <c r="A37" s="42">
        <v>20</v>
      </c>
      <c r="B37" s="41" t="s">
        <v>204</v>
      </c>
      <c r="C37" s="57" t="s">
        <v>205</v>
      </c>
      <c r="D37" s="60"/>
      <c r="E37" s="60"/>
      <c r="F37" s="60">
        <v>0</v>
      </c>
      <c r="G37" s="60"/>
      <c r="H37" s="60">
        <v>0</v>
      </c>
      <c r="I37" s="60"/>
      <c r="J37" s="60"/>
      <c r="K37" s="59"/>
      <c r="L37" s="134"/>
      <c r="M37" s="152"/>
      <c r="N37" s="58">
        <f t="shared" si="17"/>
        <v>0</v>
      </c>
      <c r="O37" s="58">
        <f t="shared" si="18"/>
        <v>0</v>
      </c>
    </row>
    <row r="38" spans="1:15" ht="14.25" x14ac:dyDescent="0.2">
      <c r="A38" s="42"/>
      <c r="B38" s="41" t="s">
        <v>206</v>
      </c>
      <c r="C38" s="57" t="s">
        <v>96</v>
      </c>
      <c r="D38" s="60"/>
      <c r="E38" s="60"/>
      <c r="F38" s="60">
        <v>259642</v>
      </c>
      <c r="G38" s="60">
        <v>152435</v>
      </c>
      <c r="H38" s="60">
        <v>146551.88</v>
      </c>
      <c r="I38" s="60">
        <v>82884</v>
      </c>
      <c r="J38" s="60"/>
      <c r="K38" s="59">
        <v>5091</v>
      </c>
      <c r="L38" s="134"/>
      <c r="M38" s="152"/>
      <c r="N38" s="58">
        <f t="shared" si="17"/>
        <v>406193.88</v>
      </c>
      <c r="O38" s="58">
        <f t="shared" si="18"/>
        <v>240410</v>
      </c>
    </row>
    <row r="39" spans="1:15" ht="14.25" x14ac:dyDescent="0.2">
      <c r="A39" s="42">
        <v>21</v>
      </c>
      <c r="B39" s="41" t="s">
        <v>95</v>
      </c>
      <c r="C39" s="57" t="s">
        <v>94</v>
      </c>
      <c r="D39" s="39"/>
      <c r="E39" s="39"/>
      <c r="F39" s="39">
        <v>74946</v>
      </c>
      <c r="G39" s="39">
        <v>4346</v>
      </c>
      <c r="H39" s="39">
        <v>27920.75</v>
      </c>
      <c r="I39" s="39">
        <v>2378</v>
      </c>
      <c r="J39" s="39"/>
      <c r="K39" s="38">
        <v>76</v>
      </c>
      <c r="L39" s="177"/>
      <c r="M39" s="150"/>
      <c r="N39" s="37">
        <f t="shared" si="17"/>
        <v>102866.75</v>
      </c>
      <c r="O39" s="37">
        <f t="shared" si="18"/>
        <v>6800</v>
      </c>
    </row>
    <row r="40" spans="1:15" ht="14.25" x14ac:dyDescent="0.2">
      <c r="A40" s="42">
        <v>22</v>
      </c>
      <c r="B40" s="41" t="s">
        <v>93</v>
      </c>
      <c r="C40" s="57" t="s">
        <v>92</v>
      </c>
      <c r="D40" s="39"/>
      <c r="E40" s="39"/>
      <c r="F40" s="39">
        <v>53970</v>
      </c>
      <c r="G40" s="164">
        <v>84970</v>
      </c>
      <c r="H40" s="39">
        <v>36032.370000000003</v>
      </c>
      <c r="I40" s="164">
        <v>55691</v>
      </c>
      <c r="J40" s="39"/>
      <c r="K40" s="38">
        <v>31430</v>
      </c>
      <c r="L40" s="177"/>
      <c r="M40" s="150"/>
      <c r="N40" s="37">
        <f t="shared" si="17"/>
        <v>90002.37</v>
      </c>
      <c r="O40" s="37">
        <f t="shared" si="18"/>
        <v>172091</v>
      </c>
    </row>
    <row r="41" spans="1:15" ht="15" x14ac:dyDescent="0.2">
      <c r="A41" s="36">
        <v>23</v>
      </c>
      <c r="B41" s="50" t="s">
        <v>91</v>
      </c>
      <c r="C41" s="34" t="s">
        <v>90</v>
      </c>
      <c r="D41" s="53"/>
      <c r="E41" s="53"/>
      <c r="F41" s="53">
        <f>SUM(F35:F40)</f>
        <v>983815</v>
      </c>
      <c r="G41" s="53">
        <f>SUM(G35:G40)</f>
        <v>1021661</v>
      </c>
      <c r="H41" s="53">
        <f>SUM(H35:H40)</f>
        <v>574685.28999999992</v>
      </c>
      <c r="I41" s="53">
        <f>SUM(I35:I40)</f>
        <v>600031</v>
      </c>
      <c r="J41" s="53">
        <f t="shared" ref="J41:M41" si="19">SUM(J35:J40)</f>
        <v>0</v>
      </c>
      <c r="K41" s="52">
        <f t="shared" si="19"/>
        <v>119815</v>
      </c>
      <c r="L41" s="178">
        <f t="shared" si="19"/>
        <v>0</v>
      </c>
      <c r="M41" s="151">
        <f t="shared" si="19"/>
        <v>0</v>
      </c>
      <c r="N41" s="51">
        <f t="shared" si="18"/>
        <v>1558500.29</v>
      </c>
      <c r="O41" s="51">
        <f t="shared" si="18"/>
        <v>1741507</v>
      </c>
    </row>
    <row r="42" spans="1:15" ht="14.25" x14ac:dyDescent="0.2">
      <c r="A42" s="42">
        <v>24</v>
      </c>
      <c r="B42" s="41" t="s">
        <v>85</v>
      </c>
      <c r="C42" s="57" t="s">
        <v>84</v>
      </c>
      <c r="D42" s="39"/>
      <c r="E42" s="39"/>
      <c r="F42" s="39">
        <v>2091637</v>
      </c>
      <c r="G42" s="39">
        <v>2007130</v>
      </c>
      <c r="H42" s="39">
        <v>1278552.68</v>
      </c>
      <c r="I42" s="39">
        <v>1149203</v>
      </c>
      <c r="J42" s="39"/>
      <c r="K42" s="38">
        <v>203678</v>
      </c>
      <c r="L42" s="177">
        <f>L30*0.27</f>
        <v>332157.40157480323</v>
      </c>
      <c r="M42" s="150">
        <v>162780</v>
      </c>
      <c r="N42" s="37">
        <f t="shared" si="18"/>
        <v>3702347.0815748028</v>
      </c>
      <c r="O42" s="37">
        <f t="shared" si="18"/>
        <v>3522791</v>
      </c>
    </row>
    <row r="43" spans="1:15" ht="14.25" x14ac:dyDescent="0.2">
      <c r="A43" s="42"/>
      <c r="B43" s="41" t="s">
        <v>207</v>
      </c>
      <c r="C43" s="57" t="s">
        <v>208</v>
      </c>
      <c r="D43" s="39">
        <v>363000</v>
      </c>
      <c r="E43" s="39">
        <v>363000</v>
      </c>
      <c r="F43" s="39"/>
      <c r="G43" s="39"/>
      <c r="H43" s="39"/>
      <c r="I43" s="39"/>
      <c r="J43" s="39"/>
      <c r="K43" s="38"/>
      <c r="L43" s="177"/>
      <c r="M43" s="150"/>
      <c r="N43" s="37">
        <f t="shared" si="18"/>
        <v>363000</v>
      </c>
      <c r="O43" s="37">
        <f t="shared" si="18"/>
        <v>363000</v>
      </c>
    </row>
    <row r="44" spans="1:15" ht="14.25" x14ac:dyDescent="0.2">
      <c r="A44" s="42">
        <v>25</v>
      </c>
      <c r="B44" s="41" t="s">
        <v>209</v>
      </c>
      <c r="C44" s="57" t="s">
        <v>82</v>
      </c>
      <c r="D44" s="56"/>
      <c r="E44" s="56"/>
      <c r="F44" s="56"/>
      <c r="G44" s="56">
        <v>150387</v>
      </c>
      <c r="H44" s="56"/>
      <c r="I44" s="56"/>
      <c r="J44" s="56">
        <v>291960</v>
      </c>
      <c r="K44" s="55"/>
      <c r="L44" s="180"/>
      <c r="M44" s="153"/>
      <c r="N44" s="54">
        <f t="shared" si="18"/>
        <v>291960</v>
      </c>
      <c r="O44" s="54">
        <f t="shared" si="18"/>
        <v>150387</v>
      </c>
    </row>
    <row r="45" spans="1:15" ht="15" x14ac:dyDescent="0.2">
      <c r="A45" s="36">
        <v>26</v>
      </c>
      <c r="B45" s="50" t="s">
        <v>80</v>
      </c>
      <c r="C45" s="34" t="s">
        <v>79</v>
      </c>
      <c r="D45" s="53">
        <f>D43</f>
        <v>363000</v>
      </c>
      <c r="E45" s="53">
        <f>E43</f>
        <v>363000</v>
      </c>
      <c r="F45" s="53">
        <f>SUM(F42:F44)</f>
        <v>2091637</v>
      </c>
      <c r="G45" s="53">
        <f t="shared" ref="G45:M45" si="20">SUM(G42:G44)</f>
        <v>2157517</v>
      </c>
      <c r="H45" s="53">
        <f t="shared" si="20"/>
        <v>1278552.68</v>
      </c>
      <c r="I45" s="53">
        <f>SUM(I42:I44)</f>
        <v>1149203</v>
      </c>
      <c r="J45" s="53">
        <f t="shared" si="20"/>
        <v>291960</v>
      </c>
      <c r="K45" s="52">
        <f t="shared" si="20"/>
        <v>203678</v>
      </c>
      <c r="L45" s="178">
        <f t="shared" si="20"/>
        <v>332157.40157480323</v>
      </c>
      <c r="M45" s="151">
        <f t="shared" si="20"/>
        <v>162780</v>
      </c>
      <c r="N45" s="51">
        <f>D45+F45+H45+J45+L45</f>
        <v>4357307.0815748032</v>
      </c>
      <c r="O45" s="51">
        <f>E45+G45+I45+K45+M45</f>
        <v>4036178</v>
      </c>
    </row>
    <row r="46" spans="1:15" ht="15" x14ac:dyDescent="0.2">
      <c r="A46" s="36">
        <v>27</v>
      </c>
      <c r="B46" s="50" t="s">
        <v>78</v>
      </c>
      <c r="C46" s="34" t="s">
        <v>77</v>
      </c>
      <c r="D46" s="33">
        <f>D45</f>
        <v>363000</v>
      </c>
      <c r="E46" s="33">
        <f>E45</f>
        <v>363000</v>
      </c>
      <c r="F46" s="33">
        <f>SUM(F31)+F34+F41+F45</f>
        <v>12014234.799999999</v>
      </c>
      <c r="G46" s="33">
        <f t="shared" ref="G46:M46" si="21">SUM(G31)+G34+G41+G45</f>
        <v>12356489</v>
      </c>
      <c r="H46" s="33">
        <f t="shared" si="21"/>
        <v>7806041.1200000001</v>
      </c>
      <c r="I46" s="33">
        <f t="shared" si="21"/>
        <v>7025323</v>
      </c>
      <c r="J46" s="33">
        <f t="shared" si="21"/>
        <v>291960</v>
      </c>
      <c r="K46" s="32">
        <f t="shared" si="21"/>
        <v>1214678</v>
      </c>
      <c r="L46" s="179">
        <f t="shared" si="21"/>
        <v>1562370.0000000002</v>
      </c>
      <c r="M46" s="147">
        <f t="shared" si="21"/>
        <v>1072275</v>
      </c>
      <c r="N46" s="31">
        <f>D46+F46+H46+J46+L46</f>
        <v>22037605.919999998</v>
      </c>
      <c r="O46" s="31">
        <f>E46+G46+I46+K46+M46</f>
        <v>22031765</v>
      </c>
    </row>
    <row r="47" spans="1:15" ht="15.75" x14ac:dyDescent="0.2">
      <c r="A47" s="49">
        <v>28</v>
      </c>
      <c r="B47" s="48" t="s">
        <v>76</v>
      </c>
      <c r="C47" s="47" t="s">
        <v>75</v>
      </c>
      <c r="D47" s="46">
        <f>D46</f>
        <v>363000</v>
      </c>
      <c r="E47" s="46">
        <f>E46</f>
        <v>363000</v>
      </c>
      <c r="F47" s="46">
        <f>SUM(F46,F29)</f>
        <v>20722319.600000001</v>
      </c>
      <c r="G47" s="46">
        <f t="shared" ref="G47:M47" si="22">SUM(G46,G29)</f>
        <v>20629006</v>
      </c>
      <c r="H47" s="46">
        <f t="shared" si="22"/>
        <v>12994429.32</v>
      </c>
      <c r="I47" s="46">
        <f t="shared" si="22"/>
        <v>12148953</v>
      </c>
      <c r="J47" s="46">
        <f t="shared" si="22"/>
        <v>291960</v>
      </c>
      <c r="K47" s="45">
        <f t="shared" si="22"/>
        <v>2088405</v>
      </c>
      <c r="L47" s="181">
        <f t="shared" si="22"/>
        <v>1562370.0000000002</v>
      </c>
      <c r="M47" s="154">
        <f t="shared" si="22"/>
        <v>1072275</v>
      </c>
      <c r="N47" s="44">
        <f t="shared" si="18"/>
        <v>35934078.920000002</v>
      </c>
      <c r="O47" s="44">
        <f t="shared" si="18"/>
        <v>36301639</v>
      </c>
    </row>
    <row r="48" spans="1:15" ht="14.25" x14ac:dyDescent="0.2">
      <c r="A48" s="42">
        <v>29</v>
      </c>
      <c r="B48" s="136" t="s">
        <v>210</v>
      </c>
      <c r="C48" s="57" t="s">
        <v>211</v>
      </c>
      <c r="D48" s="39"/>
      <c r="E48" s="39"/>
      <c r="F48" s="39"/>
      <c r="G48" s="39"/>
      <c r="H48" s="39"/>
      <c r="I48" s="39"/>
      <c r="J48" s="39"/>
      <c r="K48" s="38"/>
      <c r="L48" s="177"/>
      <c r="M48" s="150"/>
      <c r="N48" s="37">
        <f t="shared" si="18"/>
        <v>0</v>
      </c>
      <c r="O48" s="37">
        <f t="shared" si="18"/>
        <v>0</v>
      </c>
    </row>
    <row r="49" spans="1:15" ht="14.25" x14ac:dyDescent="0.2">
      <c r="A49" s="42">
        <v>30</v>
      </c>
      <c r="B49" s="41" t="s">
        <v>72</v>
      </c>
      <c r="C49" s="57" t="s">
        <v>212</v>
      </c>
      <c r="D49" s="39"/>
      <c r="E49" s="39"/>
      <c r="F49" s="39"/>
      <c r="G49" s="39"/>
      <c r="H49" s="39"/>
      <c r="I49" s="39"/>
      <c r="J49" s="39"/>
      <c r="K49" s="38"/>
      <c r="L49" s="177"/>
      <c r="M49" s="150"/>
      <c r="N49" s="37">
        <f t="shared" si="18"/>
        <v>0</v>
      </c>
      <c r="O49" s="37">
        <f t="shared" si="18"/>
        <v>0</v>
      </c>
    </row>
    <row r="50" spans="1:15" ht="15" x14ac:dyDescent="0.2">
      <c r="A50" s="36">
        <v>31</v>
      </c>
      <c r="B50" s="35" t="s">
        <v>70</v>
      </c>
      <c r="C50" s="34" t="s">
        <v>69</v>
      </c>
      <c r="D50" s="33"/>
      <c r="E50" s="33"/>
      <c r="F50" s="33">
        <f>SUM(F48:F49)</f>
        <v>0</v>
      </c>
      <c r="G50" s="33">
        <f t="shared" ref="G50:M50" si="23">SUM(G48:G49)</f>
        <v>0</v>
      </c>
      <c r="H50" s="33">
        <f t="shared" si="23"/>
        <v>0</v>
      </c>
      <c r="I50" s="33">
        <f t="shared" si="23"/>
        <v>0</v>
      </c>
      <c r="J50" s="33">
        <f t="shared" si="23"/>
        <v>0</v>
      </c>
      <c r="K50" s="32">
        <f t="shared" si="23"/>
        <v>0</v>
      </c>
      <c r="L50" s="179">
        <f t="shared" si="23"/>
        <v>0</v>
      </c>
      <c r="M50" s="147">
        <f t="shared" si="23"/>
        <v>0</v>
      </c>
      <c r="N50" s="31">
        <f t="shared" si="18"/>
        <v>0</v>
      </c>
      <c r="O50" s="31">
        <f t="shared" si="18"/>
        <v>0</v>
      </c>
    </row>
    <row r="51" spans="1:15" ht="15.75" thickBot="1" x14ac:dyDescent="0.25">
      <c r="A51" s="30">
        <v>32</v>
      </c>
      <c r="B51" s="29" t="s">
        <v>68</v>
      </c>
      <c r="C51" s="28" t="s">
        <v>67</v>
      </c>
      <c r="D51" s="26">
        <f>SUM(D47+D50)</f>
        <v>363000</v>
      </c>
      <c r="E51" s="26">
        <f t="shared" ref="E51" si="24">SUM(E47+E50)</f>
        <v>363000</v>
      </c>
      <c r="F51" s="26">
        <f>SUM(F47+F50)</f>
        <v>20722319.600000001</v>
      </c>
      <c r="G51" s="26">
        <f t="shared" ref="G51:M51" si="25">SUM(G47+G50)</f>
        <v>20629006</v>
      </c>
      <c r="H51" s="26">
        <f t="shared" si="25"/>
        <v>12994429.32</v>
      </c>
      <c r="I51" s="26">
        <f t="shared" si="25"/>
        <v>12148953</v>
      </c>
      <c r="J51" s="26">
        <f t="shared" si="25"/>
        <v>291960</v>
      </c>
      <c r="K51" s="25">
        <f t="shared" si="25"/>
        <v>2088405</v>
      </c>
      <c r="L51" s="175">
        <f t="shared" si="25"/>
        <v>1562370.0000000002</v>
      </c>
      <c r="M51" s="148">
        <f t="shared" si="25"/>
        <v>1072275</v>
      </c>
      <c r="N51" s="24">
        <f t="shared" si="18"/>
        <v>35934078.920000002</v>
      </c>
      <c r="O51" s="24">
        <f>E51+G51+I51+K51+M51</f>
        <v>36301639</v>
      </c>
    </row>
    <row r="52" spans="1:15" ht="18.75" thickBot="1" x14ac:dyDescent="0.25">
      <c r="A52" s="137">
        <v>33</v>
      </c>
      <c r="B52" s="23" t="s">
        <v>66</v>
      </c>
      <c r="C52" s="21" t="s">
        <v>65</v>
      </c>
      <c r="D52" s="19">
        <f>D47</f>
        <v>363000</v>
      </c>
      <c r="E52" s="19">
        <f>E47</f>
        <v>363000</v>
      </c>
      <c r="F52" s="19">
        <f>SUM(F51)</f>
        <v>20722319.600000001</v>
      </c>
      <c r="G52" s="19">
        <f t="shared" ref="G52:M52" si="26">SUM(G51)</f>
        <v>20629006</v>
      </c>
      <c r="H52" s="19">
        <f t="shared" si="26"/>
        <v>12994429.32</v>
      </c>
      <c r="I52" s="19">
        <f t="shared" si="26"/>
        <v>12148953</v>
      </c>
      <c r="J52" s="182">
        <f t="shared" si="26"/>
        <v>291960</v>
      </c>
      <c r="K52" s="138">
        <f t="shared" si="26"/>
        <v>2088405</v>
      </c>
      <c r="L52" s="182">
        <f t="shared" si="26"/>
        <v>1562370.0000000002</v>
      </c>
      <c r="M52" s="169">
        <f t="shared" si="26"/>
        <v>1072275</v>
      </c>
      <c r="N52" s="17">
        <f t="shared" si="18"/>
        <v>35934078.920000002</v>
      </c>
      <c r="O52" s="17">
        <f t="shared" si="18"/>
        <v>36301639</v>
      </c>
    </row>
    <row r="53" spans="1:15" ht="15" x14ac:dyDescent="0.25">
      <c r="F53" s="139">
        <f>F13-F52</f>
        <v>0.39999999850988388</v>
      </c>
      <c r="G53" s="139">
        <f>G13-G52</f>
        <v>-349360</v>
      </c>
      <c r="H53" s="140">
        <f>H13-H52</f>
        <v>-0.32000000216066837</v>
      </c>
      <c r="I53" s="140">
        <f>I13-I52</f>
        <v>-1907693</v>
      </c>
      <c r="J53" s="141"/>
      <c r="K53" s="141">
        <f>K13-K52</f>
        <v>-1155095</v>
      </c>
      <c r="M53" s="135">
        <f>+M13-M52</f>
        <v>-20055</v>
      </c>
      <c r="N53" s="142">
        <f>N13-N52</f>
        <v>0.37999999523162842</v>
      </c>
      <c r="O53" s="135">
        <f>O13-O52</f>
        <v>-3432203</v>
      </c>
    </row>
    <row r="54" spans="1:15" x14ac:dyDescent="0.2">
      <c r="F54" s="143"/>
      <c r="G54" s="143"/>
      <c r="N54" s="143" t="s">
        <v>289</v>
      </c>
      <c r="O54" s="135">
        <v>1907693</v>
      </c>
    </row>
    <row r="55" spans="1:15" x14ac:dyDescent="0.2">
      <c r="F55" s="144"/>
      <c r="G55" s="144"/>
      <c r="N55" s="143" t="s">
        <v>290</v>
      </c>
      <c r="O55" s="135">
        <v>355720</v>
      </c>
    </row>
    <row r="56" spans="1:15" x14ac:dyDescent="0.2">
      <c r="O56" s="135">
        <f>O53+O54+O55</f>
        <v>-1168790</v>
      </c>
    </row>
  </sheetData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</vt:lpstr>
      <vt:lpstr>Teljesítés</vt:lpstr>
      <vt:lpstr>Óvoda</vt:lpstr>
      <vt:lpstr>Konyha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Jegyzo</cp:lastModifiedBy>
  <cp:lastPrinted>2018-11-05T12:55:51Z</cp:lastPrinted>
  <dcterms:created xsi:type="dcterms:W3CDTF">2018-08-17T08:24:30Z</dcterms:created>
  <dcterms:modified xsi:type="dcterms:W3CDTF">2019-05-28T09:15:28Z</dcterms:modified>
  <cp:category/>
</cp:coreProperties>
</file>