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7.sz. táj. feladatos Önk. " sheetId="1" r:id="rId1"/>
  </sheets>
  <externalReferences>
    <externalReference r:id="rId2"/>
  </externalReferences>
  <definedNames>
    <definedName name="_xlnm.Print_Area" localSheetId="0">'7.sz. táj. feladatos Önk. '!$A$3:$O$59</definedName>
  </definedNames>
  <calcPr calcId="145621"/>
</workbook>
</file>

<file path=xl/calcChain.xml><?xml version="1.0" encoding="utf-8"?>
<calcChain xmlns="http://schemas.openxmlformats.org/spreadsheetml/2006/main">
  <c r="N61" i="1" l="1"/>
  <c r="M61" i="1"/>
  <c r="K61" i="1"/>
  <c r="J61" i="1"/>
  <c r="O61" i="1" s="1"/>
  <c r="G61" i="1"/>
  <c r="F61" i="1"/>
  <c r="E61" i="1"/>
  <c r="D61" i="1"/>
  <c r="C61" i="1"/>
  <c r="H61" i="1" s="1"/>
  <c r="L58" i="1"/>
  <c r="O58" i="1" s="1"/>
  <c r="L57" i="1"/>
  <c r="L59" i="1" s="1"/>
  <c r="L60" i="1" s="1"/>
  <c r="F57" i="1"/>
  <c r="F59" i="1" s="1"/>
  <c r="F60" i="1" s="1"/>
  <c r="E57" i="1"/>
  <c r="E59" i="1" s="1"/>
  <c r="E60" i="1" s="1"/>
  <c r="N56" i="1"/>
  <c r="N57" i="1" s="1"/>
  <c r="N59" i="1" s="1"/>
  <c r="N60" i="1" s="1"/>
  <c r="M56" i="1"/>
  <c r="M57" i="1" s="1"/>
  <c r="M59" i="1" s="1"/>
  <c r="M60" i="1" s="1"/>
  <c r="J56" i="1"/>
  <c r="O56" i="1" s="1"/>
  <c r="H56" i="1"/>
  <c r="O55" i="1"/>
  <c r="J55" i="1"/>
  <c r="H55" i="1"/>
  <c r="E55" i="1"/>
  <c r="K53" i="1"/>
  <c r="J53" i="1"/>
  <c r="O53" i="1" s="1"/>
  <c r="D53" i="1"/>
  <c r="H53" i="1" s="1"/>
  <c r="J52" i="1"/>
  <c r="O52" i="1" s="1"/>
  <c r="C52" i="1"/>
  <c r="H52" i="1" s="1"/>
  <c r="J51" i="1"/>
  <c r="O51" i="1" s="1"/>
  <c r="H51" i="1"/>
  <c r="K50" i="1"/>
  <c r="J50" i="1"/>
  <c r="O50" i="1" s="1"/>
  <c r="C50" i="1"/>
  <c r="H50" i="1" s="1"/>
  <c r="J49" i="1"/>
  <c r="O49" i="1" s="1"/>
  <c r="H49" i="1"/>
  <c r="K48" i="1"/>
  <c r="J48" i="1"/>
  <c r="O48" i="1" s="1"/>
  <c r="H48" i="1"/>
  <c r="O47" i="1"/>
  <c r="J47" i="1"/>
  <c r="H47" i="1"/>
  <c r="J46" i="1"/>
  <c r="O46" i="1" s="1"/>
  <c r="H46" i="1"/>
  <c r="K44" i="1"/>
  <c r="J44" i="1"/>
  <c r="O44" i="1" s="1"/>
  <c r="D44" i="1"/>
  <c r="C44" i="1"/>
  <c r="H44" i="1" s="1"/>
  <c r="K43" i="1"/>
  <c r="J43" i="1"/>
  <c r="O43" i="1" s="1"/>
  <c r="C43" i="1"/>
  <c r="H43" i="1" s="1"/>
  <c r="J42" i="1"/>
  <c r="O42" i="1" s="1"/>
  <c r="C42" i="1"/>
  <c r="H42" i="1" s="1"/>
  <c r="J41" i="1"/>
  <c r="O41" i="1" s="1"/>
  <c r="H41" i="1"/>
  <c r="K39" i="1"/>
  <c r="J39" i="1"/>
  <c r="O39" i="1" s="1"/>
  <c r="H39" i="1"/>
  <c r="K38" i="1"/>
  <c r="J38" i="1"/>
  <c r="O38" i="1" s="1"/>
  <c r="C38" i="1"/>
  <c r="H38" i="1" s="1"/>
  <c r="O37" i="1"/>
  <c r="H37" i="1"/>
  <c r="O36" i="1"/>
  <c r="H36" i="1"/>
  <c r="K34" i="1"/>
  <c r="J34" i="1"/>
  <c r="O34" i="1" s="1"/>
  <c r="H34" i="1"/>
  <c r="C34" i="1"/>
  <c r="O33" i="1"/>
  <c r="J33" i="1"/>
  <c r="H33" i="1"/>
  <c r="K32" i="1"/>
  <c r="J32" i="1"/>
  <c r="O32" i="1" s="1"/>
  <c r="H32" i="1"/>
  <c r="K31" i="1"/>
  <c r="J31" i="1"/>
  <c r="O31" i="1" s="1"/>
  <c r="D31" i="1"/>
  <c r="C31" i="1"/>
  <c r="H31" i="1" s="1"/>
  <c r="O29" i="1"/>
  <c r="H29" i="1"/>
  <c r="C29" i="1"/>
  <c r="O28" i="1"/>
  <c r="H28" i="1"/>
  <c r="O27" i="1"/>
  <c r="J27" i="1"/>
  <c r="H27" i="1"/>
  <c r="C27" i="1"/>
  <c r="K26" i="1"/>
  <c r="J26" i="1"/>
  <c r="O26" i="1" s="1"/>
  <c r="H26" i="1"/>
  <c r="K24" i="1"/>
  <c r="J24" i="1"/>
  <c r="O24" i="1" s="1"/>
  <c r="D24" i="1"/>
  <c r="H24" i="1" s="1"/>
  <c r="K23" i="1"/>
  <c r="J23" i="1"/>
  <c r="O23" i="1" s="1"/>
  <c r="H23" i="1"/>
  <c r="K22" i="1"/>
  <c r="J22" i="1"/>
  <c r="O22" i="1" s="1"/>
  <c r="H22" i="1"/>
  <c r="D22" i="1"/>
  <c r="O21" i="1"/>
  <c r="H21" i="1"/>
  <c r="O20" i="1"/>
  <c r="H20" i="1"/>
  <c r="O19" i="1"/>
  <c r="J19" i="1"/>
  <c r="H19" i="1"/>
  <c r="O17" i="1"/>
  <c r="H17" i="1"/>
  <c r="J15" i="1"/>
  <c r="O15" i="1" s="1"/>
  <c r="G15" i="1"/>
  <c r="G57" i="1" s="1"/>
  <c r="G59" i="1" s="1"/>
  <c r="G60" i="1" s="1"/>
  <c r="C15" i="1"/>
  <c r="H15" i="1" s="1"/>
  <c r="O14" i="1"/>
  <c r="J14" i="1"/>
  <c r="D14" i="1"/>
  <c r="C14" i="1"/>
  <c r="H14" i="1" s="1"/>
  <c r="K13" i="1"/>
  <c r="J13" i="1"/>
  <c r="O13" i="1" s="1"/>
  <c r="I13" i="1"/>
  <c r="I57" i="1" s="1"/>
  <c r="I59" i="1" s="1"/>
  <c r="I60" i="1" s="1"/>
  <c r="C13" i="1"/>
  <c r="H13" i="1" s="1"/>
  <c r="K12" i="1"/>
  <c r="K57" i="1" s="1"/>
  <c r="K59" i="1" s="1"/>
  <c r="K60" i="1" s="1"/>
  <c r="J12" i="1"/>
  <c r="O12" i="1" s="1"/>
  <c r="D12" i="1"/>
  <c r="D57" i="1" s="1"/>
  <c r="D59" i="1" s="1"/>
  <c r="D60" i="1" s="1"/>
  <c r="C12" i="1"/>
  <c r="H12" i="1" s="1"/>
  <c r="J11" i="1"/>
  <c r="O11" i="1" s="1"/>
  <c r="C11" i="1"/>
  <c r="H11" i="1" s="1"/>
  <c r="J10" i="1"/>
  <c r="J57" i="1" s="1"/>
  <c r="J59" i="1" s="1"/>
  <c r="J60" i="1" s="1"/>
  <c r="C10" i="1"/>
  <c r="C57" i="1" s="1"/>
  <c r="C59" i="1" s="1"/>
  <c r="C60" i="1" s="1"/>
  <c r="H10" i="1" l="1"/>
  <c r="H57" i="1" s="1"/>
  <c r="H59" i="1" s="1"/>
  <c r="H60" i="1" s="1"/>
  <c r="O10" i="1"/>
  <c r="O57" i="1" s="1"/>
  <c r="O59" i="1" l="1"/>
  <c r="O60" i="1" s="1"/>
  <c r="P57" i="1"/>
</calcChain>
</file>

<file path=xl/sharedStrings.xml><?xml version="1.0" encoding="utf-8"?>
<sst xmlns="http://schemas.openxmlformats.org/spreadsheetml/2006/main" count="132" uniqueCount="114">
  <si>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</si>
  <si>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</si>
  <si>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</si>
  <si>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</si>
  <si>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</si>
  <si>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</si>
  <si>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</si>
  <si>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</si>
  <si>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</si>
  <si>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</si>
  <si>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</si>
  <si>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</si>
  <si>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</si>
  <si>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</si>
  <si>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</si>
  <si>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</si>
  <si>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</si>
  <si>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</si>
  <si>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</si>
  <si>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</si>
  <si>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</si>
  <si>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</si>
  <si>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</si>
  <si>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</si>
  <si>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</si>
  <si>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</si>
  <si>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</si>
  <si>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</si>
  <si>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</si>
  <si>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</si>
  <si>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</si>
  <si>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</si>
  <si>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</si>
  <si>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</si>
  <si>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</si>
  <si>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</si>
  <si>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</si>
  <si>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</si>
  <si>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</si>
  <si>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</si>
  <si>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</si>
  <si>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</si>
  <si>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</si>
  <si>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</si>
  <si>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</si>
  <si>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</si>
  <si>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</si>
  <si>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</si>
  <si>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</si>
  <si>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</si>
  <si>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</si>
  <si>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</si>
  <si>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</si>
  <si>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</si>
  <si>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056010</t>
  </si>
  <si>
    <t>Komplex környezetvédelmi programok támogatása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</si>
  <si>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</si>
  <si>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</si>
  <si>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</si>
  <si>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</si>
  <si>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</si>
  <si>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</si>
  <si>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</si>
  <si>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062020</t>
  </si>
  <si>
    <t xml:space="preserve">Településfejlesztési projektek és támogatásuk 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</si>
  <si>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</si>
  <si>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</si>
  <si>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</si>
  <si>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</si>
  <si>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</si>
  <si>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</si>
  <si>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</si>
  <si>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</si>
  <si>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</si>
  <si>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</si>
  <si>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</si>
  <si>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</si>
  <si>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</si>
  <si>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</si>
  <si>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</si>
  <si>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</si>
  <si>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082094</t>
  </si>
  <si>
    <t>Közművelődés - kulturális alapú gazdaságfejlesztés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</si>
  <si>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</si>
  <si>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</si>
  <si>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</si>
  <si>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</si>
  <si>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</si>
  <si>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</si>
  <si>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</si>
  <si>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</si>
  <si>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</si>
  <si>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</si>
  <si>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</si>
  <si>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</si>
  <si>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</si>
  <si>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104051</t>
  </si>
  <si>
    <t>Gyermekvédelmi pénzbeli és természetbeni ellátások</t>
  </si>
  <si>
    <t>106010</t>
  </si>
  <si>
    <t>Lakóingatlan szociális célú bérbeadása, üzemeltetése</t>
  </si>
  <si>
    <t>106020</t>
  </si>
  <si>
    <t>Lakásfenntartással, lakhatással összefüggő ellátások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</si>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</sst>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9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9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18" fillId="0" borderId="28" xfId="1" applyNumberFormat="1" applyFont="1" applyBorder="1"/>
    <xf numFmtId="3" fontId="19" fillId="0" borderId="26" xfId="1" applyNumberFormat="1" applyFont="1" applyBorder="1"/>
    <xf numFmtId="3" fontId="20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9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3" fontId="19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1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1" fillId="0" borderId="0" xfId="1" applyNumberFormat="1" applyFont="1" applyBorder="1"/>
    <xf numFmtId="3" fontId="19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0" fontId="17" fillId="0" borderId="18" xfId="1" quotePrefix="1" applyFont="1" applyBorder="1" applyAlignment="1">
      <alignment horizontal="left"/>
    </xf>
    <xf numFmtId="0" fontId="17" fillId="0" borderId="19" xfId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right"/>
    </xf>
    <xf numFmtId="3" fontId="17" fillId="0" borderId="3" xfId="1" applyNumberFormat="1" applyFont="1" applyBorder="1" applyAlignment="1">
      <alignment horizontal="right"/>
    </xf>
    <xf numFmtId="3" fontId="22" fillId="0" borderId="3" xfId="1" applyNumberFormat="1" applyFont="1" applyBorder="1" applyAlignment="1">
      <alignment horizontal="right"/>
    </xf>
    <xf numFmtId="0" fontId="23" fillId="0" borderId="5" xfId="1" applyFont="1" applyBorder="1" applyAlignment="1">
      <alignment horizontal="center"/>
    </xf>
    <xf numFmtId="0" fontId="0" fillId="0" borderId="46" xfId="0" quotePrefix="1" applyBorder="1"/>
    <xf numFmtId="0" fontId="0" fillId="0" borderId="47" xfId="0" applyBorder="1" applyAlignment="1">
      <alignment wrapText="1"/>
    </xf>
    <xf numFmtId="3" fontId="18" fillId="0" borderId="21" xfId="1" applyNumberFormat="1" applyFont="1" applyBorder="1"/>
    <xf numFmtId="3" fontId="20" fillId="0" borderId="22" xfId="1" applyNumberFormat="1" applyFont="1" applyBorder="1"/>
    <xf numFmtId="3" fontId="9" fillId="0" borderId="0" xfId="1" applyNumberFormat="1" applyFont="1" applyBorder="1"/>
    <xf numFmtId="0" fontId="0" fillId="0" borderId="48" xfId="0" applyBorder="1" applyAlignment="1">
      <alignment wrapText="1"/>
    </xf>
    <xf numFmtId="3" fontId="20" fillId="0" borderId="28" xfId="1" applyNumberFormat="1" applyFont="1" applyBorder="1"/>
    <xf numFmtId="0" fontId="0" fillId="0" borderId="49" xfId="0" applyBorder="1" applyAlignment="1">
      <alignment wrapText="1"/>
    </xf>
    <xf numFmtId="3" fontId="20" fillId="0" borderId="34" xfId="1" applyNumberFormat="1" applyFont="1" applyBorder="1"/>
    <xf numFmtId="3" fontId="19" fillId="0" borderId="33" xfId="1" applyNumberFormat="1" applyFont="1" applyBorder="1"/>
    <xf numFmtId="3" fontId="9" fillId="0" borderId="14" xfId="1" applyNumberFormat="1" applyFont="1" applyBorder="1"/>
    <xf numFmtId="3" fontId="24" fillId="0" borderId="44" xfId="1" applyNumberFormat="1" applyFont="1" applyBorder="1"/>
    <xf numFmtId="3" fontId="14" fillId="0" borderId="13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43" xfId="1" applyNumberFormat="1" applyFont="1" applyBorder="1" applyAlignment="1">
      <alignment horizontal="center"/>
    </xf>
    <xf numFmtId="0" fontId="25" fillId="0" borderId="50" xfId="0" applyFont="1" applyBorder="1" applyAlignment="1">
      <alignment wrapText="1"/>
    </xf>
    <xf numFmtId="3" fontId="18" fillId="0" borderId="2" xfId="1" applyNumberFormat="1" applyFont="1" applyBorder="1"/>
    <xf numFmtId="3" fontId="9" fillId="0" borderId="1" xfId="1" applyNumberFormat="1" applyFont="1" applyBorder="1"/>
    <xf numFmtId="3" fontId="18" fillId="0" borderId="51" xfId="1" applyNumberFormat="1" applyFont="1" applyBorder="1"/>
    <xf numFmtId="3" fontId="9" fillId="0" borderId="6" xfId="1" applyNumberFormat="1" applyFont="1" applyBorder="1"/>
    <xf numFmtId="3" fontId="14" fillId="0" borderId="28" xfId="1" applyNumberFormat="1" applyFont="1" applyBorder="1"/>
    <xf numFmtId="3" fontId="9" fillId="0" borderId="10" xfId="1" applyNumberFormat="1" applyFont="1" applyBorder="1"/>
    <xf numFmtId="3" fontId="19" fillId="0" borderId="44" xfId="1" applyNumberFormat="1" applyFont="1" applyBorder="1"/>
    <xf numFmtId="0" fontId="26" fillId="0" borderId="42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0" borderId="52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53" xfId="1" applyNumberFormat="1" applyFont="1" applyBorder="1"/>
    <xf numFmtId="3" fontId="18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8" fillId="0" borderId="54" xfId="1" applyNumberFormat="1" applyFont="1" applyBorder="1"/>
    <xf numFmtId="3" fontId="14" fillId="0" borderId="9" xfId="1" applyNumberFormat="1" applyFont="1" applyBorder="1"/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19" fillId="0" borderId="3" xfId="1" applyNumberFormat="1" applyFont="1" applyBorder="1"/>
    <xf numFmtId="3" fontId="18" fillId="0" borderId="4" xfId="1" applyNumberFormat="1" applyFont="1" applyBorder="1"/>
    <xf numFmtId="3" fontId="27" fillId="0" borderId="6" xfId="1" applyNumberFormat="1" applyFont="1" applyBorder="1"/>
    <xf numFmtId="0" fontId="28" fillId="0" borderId="0" xfId="1" applyFont="1"/>
    <xf numFmtId="0" fontId="0" fillId="0" borderId="46" xfId="0" quotePrefix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14" fillId="0" borderId="8" xfId="1" applyNumberFormat="1" applyFont="1" applyBorder="1"/>
    <xf numFmtId="3" fontId="19" fillId="0" borderId="7" xfId="1" applyNumberFormat="1" applyFont="1" applyBorder="1"/>
    <xf numFmtId="0" fontId="0" fillId="0" borderId="18" xfId="0" quotePrefix="1" applyBorder="1" applyAlignment="1">
      <alignment vertical="center" wrapText="1"/>
    </xf>
    <xf numFmtId="0" fontId="22" fillId="0" borderId="24" xfId="0" quotePrefix="1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3" fontId="19" fillId="0" borderId="7" xfId="1" applyNumberFormat="1" applyFont="1" applyFill="1" applyBorder="1"/>
    <xf numFmtId="0" fontId="0" fillId="0" borderId="31" xfId="0" quotePrefix="1" applyFont="1" applyBorder="1" applyAlignment="1">
      <alignment vertical="center" wrapText="1"/>
    </xf>
    <xf numFmtId="0" fontId="0" fillId="0" borderId="52" xfId="0" applyFont="1" applyBorder="1" applyAlignment="1">
      <alignment vertical="center" wrapText="1"/>
    </xf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4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6" xfId="1" applyNumberFormat="1" applyFont="1" applyBorder="1"/>
    <xf numFmtId="3" fontId="14" fillId="0" borderId="56" xfId="1" applyNumberFormat="1" applyFont="1" applyBorder="1"/>
    <xf numFmtId="3" fontId="13" fillId="0" borderId="2" xfId="1" applyNumberFormat="1" applyFont="1" applyBorder="1"/>
    <xf numFmtId="3" fontId="1" fillId="0" borderId="0" xfId="1" applyNumberFormat="1" applyFont="1"/>
    <xf numFmtId="0" fontId="21" fillId="0" borderId="37" xfId="1" quotePrefix="1" applyFont="1" applyBorder="1" applyAlignment="1">
      <alignment horizontal="right"/>
    </xf>
    <xf numFmtId="0" fontId="21" fillId="0" borderId="17" xfId="1" quotePrefix="1" applyFont="1" applyBorder="1" applyAlignment="1">
      <alignment horizontal="right"/>
    </xf>
    <xf numFmtId="3" fontId="21" fillId="0" borderId="26" xfId="1" applyNumberFormat="1" applyFont="1" applyBorder="1"/>
    <xf numFmtId="3" fontId="21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7" xfId="1" applyNumberFormat="1" applyFont="1" applyBorder="1"/>
    <xf numFmtId="3" fontId="13" fillId="0" borderId="35" xfId="1" applyNumberFormat="1" applyFont="1" applyBorder="1"/>
    <xf numFmtId="0" fontId="29" fillId="0" borderId="0" xfId="1" quotePrefix="1" applyFont="1" applyBorder="1"/>
    <xf numFmtId="3" fontId="14" fillId="0" borderId="0" xfId="1" applyNumberFormat="1" applyFont="1" applyBorder="1"/>
    <xf numFmtId="3" fontId="29" fillId="0" borderId="0" xfId="1" applyNumberFormat="1" applyFont="1" applyFill="1" applyBorder="1"/>
    <xf numFmtId="3" fontId="21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%20novemb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6.sz tájékoztató t "/>
      <sheetName val="7.sz. táj. feladatos Önk. "/>
      <sheetName val="9.sz tájék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1466902602</v>
          </cell>
        </row>
        <row r="15">
          <cell r="C15">
            <v>273337100</v>
          </cell>
        </row>
        <row r="22">
          <cell r="C22">
            <v>1063805950</v>
          </cell>
        </row>
        <row r="29">
          <cell r="C29">
            <v>482500000</v>
          </cell>
        </row>
        <row r="37">
          <cell r="C37">
            <v>83065842</v>
          </cell>
        </row>
        <row r="49">
          <cell r="C49">
            <v>21932600</v>
          </cell>
        </row>
        <row r="55">
          <cell r="C55">
            <v>2582700</v>
          </cell>
        </row>
        <row r="60">
          <cell r="C60">
            <v>0</v>
          </cell>
        </row>
        <row r="66">
          <cell r="C66">
            <v>169269106</v>
          </cell>
        </row>
        <row r="75">
          <cell r="C75">
            <v>349091822</v>
          </cell>
        </row>
        <row r="93">
          <cell r="C93">
            <v>879015838</v>
          </cell>
        </row>
        <row r="111">
          <cell r="C111">
            <v>91661227</v>
          </cell>
        </row>
        <row r="114">
          <cell r="C114">
            <v>1366811187</v>
          </cell>
        </row>
        <row r="129">
          <cell r="C129">
            <v>116952500</v>
          </cell>
        </row>
        <row r="140">
          <cell r="C140">
            <v>41904332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92D050"/>
    <pageSetUpPr fitToPage="1"/>
  </sheetPr>
  <dimension ref="A1:GL66"/>
  <sheetViews>
    <sheetView tabSelected="1" view="pageLayout" zoomScale="85" zoomScaleNormal="100" zoomScaleSheetLayoutView="85" zoomScalePageLayoutView="85" workbookViewId="0">
      <selection activeCell="F13" sqref="F13"/>
    </sheetView>
  </sheetViews>
  <sheetFormatPr defaultColWidth="10.6640625" defaultRowHeight="12.75" x14ac:dyDescent="0.2"/>
  <cols>
    <col min="1" max="1" width="8.5" style="1" customWidth="1"/>
    <col min="2" max="2" width="38.6640625" style="1" customWidth="1"/>
    <col min="3" max="3" width="13.1640625" style="2" bestFit="1" customWidth="1"/>
    <col min="4" max="4" width="13" style="2" bestFit="1" customWidth="1"/>
    <col min="5" max="5" width="11.1640625" style="2" bestFit="1" customWidth="1"/>
    <col min="6" max="7" width="11.33203125" style="2" bestFit="1" customWidth="1"/>
    <col min="8" max="8" width="13.1640625" style="3" bestFit="1" customWidth="1"/>
    <col min="9" max="9" width="1.1640625" style="4" customWidth="1"/>
    <col min="10" max="10" width="11.5" style="1" bestFit="1" customWidth="1"/>
    <col min="11" max="11" width="13" style="1" bestFit="1" customWidth="1"/>
    <col min="12" max="12" width="13.1640625" style="1" bestFit="1" customWidth="1"/>
    <col min="13" max="13" width="11.1640625" style="1" bestFit="1" customWidth="1"/>
    <col min="14" max="14" width="11.33203125" style="1" bestFit="1" customWidth="1"/>
    <col min="15" max="15" width="13.1640625" style="6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94" ht="19.5" x14ac:dyDescent="0.3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</row>
    <row r="5" spans="1:194" ht="0.75" customHeight="1" thickBot="1" x14ac:dyDescent="0.35">
      <c r="B5" s="14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0" t="s">
        <v>2</v>
      </c>
      <c r="P5" s="12"/>
    </row>
    <row r="6" spans="1:194" ht="15.75" x14ac:dyDescent="0.25">
      <c r="A6" s="19" t="s">
        <v>3</v>
      </c>
      <c r="B6" s="20" t="s">
        <v>4</v>
      </c>
      <c r="C6" s="21" t="s">
        <v>5</v>
      </c>
      <c r="D6" s="22"/>
      <c r="E6" s="22"/>
      <c r="F6" s="22"/>
      <c r="G6" s="22"/>
      <c r="H6" s="23"/>
      <c r="I6" s="24"/>
      <c r="J6" s="21" t="s">
        <v>6</v>
      </c>
      <c r="K6" s="22"/>
      <c r="L6" s="22"/>
      <c r="M6" s="22"/>
      <c r="N6" s="22"/>
      <c r="O6" s="23"/>
      <c r="P6" s="12"/>
    </row>
    <row r="7" spans="1:194" x14ac:dyDescent="0.2">
      <c r="A7" s="25"/>
      <c r="B7" s="26"/>
      <c r="C7" s="27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9" t="s">
        <v>12</v>
      </c>
      <c r="I7" s="30"/>
      <c r="J7" s="27" t="s">
        <v>7</v>
      </c>
      <c r="K7" s="28" t="s">
        <v>8</v>
      </c>
      <c r="L7" s="28" t="s">
        <v>13</v>
      </c>
      <c r="M7" s="28" t="s">
        <v>14</v>
      </c>
      <c r="N7" s="28" t="s">
        <v>15</v>
      </c>
      <c r="O7" s="31" t="s">
        <v>16</v>
      </c>
      <c r="P7" s="12"/>
    </row>
    <row r="8" spans="1:194" ht="13.5" thickBot="1" x14ac:dyDescent="0.25">
      <c r="A8" s="32"/>
      <c r="B8" s="33"/>
      <c r="C8" s="34" t="s">
        <v>17</v>
      </c>
      <c r="D8" s="35" t="s">
        <v>17</v>
      </c>
      <c r="E8" s="35" t="s">
        <v>17</v>
      </c>
      <c r="F8" s="35" t="s">
        <v>18</v>
      </c>
      <c r="G8" s="35"/>
      <c r="H8" s="36" t="s">
        <v>19</v>
      </c>
      <c r="I8" s="37"/>
      <c r="J8" s="34" t="s">
        <v>20</v>
      </c>
      <c r="K8" s="35" t="s">
        <v>21</v>
      </c>
      <c r="L8" s="35" t="s">
        <v>22</v>
      </c>
      <c r="M8" s="35"/>
      <c r="N8" s="35"/>
      <c r="O8" s="38" t="s">
        <v>23</v>
      </c>
      <c r="P8" s="12"/>
    </row>
    <row r="9" spans="1:194" ht="14.25" thickBot="1" x14ac:dyDescent="0.3">
      <c r="A9" s="39" t="s">
        <v>24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</row>
    <row r="10" spans="1:194" ht="38.25" x14ac:dyDescent="0.2">
      <c r="A10" s="44" t="s">
        <v>25</v>
      </c>
      <c r="B10" s="45" t="s">
        <v>26</v>
      </c>
      <c r="C10" s="46">
        <f>25400</f>
        <v>25400</v>
      </c>
      <c r="D10" s="47"/>
      <c r="E10" s="47"/>
      <c r="F10" s="47"/>
      <c r="G10" s="47"/>
      <c r="H10" s="48">
        <f>SUM(C10:G10)</f>
        <v>25400</v>
      </c>
      <c r="I10" s="49"/>
      <c r="J10" s="50">
        <f>27952802+3199848+561576-1999024-350976+60000+2350000+100000-220839-34782</f>
        <v>31618605</v>
      </c>
      <c r="K10" s="51"/>
      <c r="L10" s="51"/>
      <c r="M10" s="51"/>
      <c r="N10" s="51"/>
      <c r="O10" s="52">
        <f>SUM(J10:N10)</f>
        <v>31618605</v>
      </c>
      <c r="P10" s="12"/>
    </row>
    <row r="11" spans="1:194" x14ac:dyDescent="0.2">
      <c r="A11" s="53" t="s">
        <v>27</v>
      </c>
      <c r="B11" s="54" t="s">
        <v>28</v>
      </c>
      <c r="C11" s="55">
        <f>9378983</f>
        <v>9378983</v>
      </c>
      <c r="D11" s="56"/>
      <c r="E11" s="56"/>
      <c r="F11" s="56"/>
      <c r="G11" s="56"/>
      <c r="H11" s="52">
        <f>SUM(C11:G11)</f>
        <v>9378983</v>
      </c>
      <c r="I11" s="49"/>
      <c r="J11" s="57">
        <f>1000000+500000</f>
        <v>1500000</v>
      </c>
      <c r="K11" s="56"/>
      <c r="L11" s="56"/>
      <c r="M11" s="56"/>
      <c r="N11" s="56"/>
      <c r="O11" s="52">
        <f t="shared" ref="O11:O15" si="0">SUM(J11:N11)</f>
        <v>1500000</v>
      </c>
      <c r="P11" s="12"/>
    </row>
    <row r="12" spans="1:194" ht="25.5" x14ac:dyDescent="0.2">
      <c r="A12" s="53" t="s">
        <v>29</v>
      </c>
      <c r="B12" s="54" t="s">
        <v>30</v>
      </c>
      <c r="C12" s="55">
        <f>34904538+2125000</f>
        <v>37029538</v>
      </c>
      <c r="D12" s="56">
        <f>5596040+21787500+82875000</f>
        <v>110258540</v>
      </c>
      <c r="E12" s="56"/>
      <c r="F12" s="56"/>
      <c r="G12" s="56"/>
      <c r="H12" s="58">
        <f t="shared" ref="H12:H15" si="1">SUM(C12:G12)</f>
        <v>147288078</v>
      </c>
      <c r="I12" s="59"/>
      <c r="J12" s="57">
        <f>34588831+400000+1778250+346750-1778250-346750+866141+708661+425198-758196-204713+23353056+352940-70000-18900-866141-708661-425198</f>
        <v>57643018</v>
      </c>
      <c r="K12" s="56">
        <f>239507251+45359984+20445905+16502091+230000+758196+204713-23353056+15748031+4251969+23622047+6377953+27812784+7128276+543400+146718+70000+18900</f>
        <v>385375162</v>
      </c>
      <c r="L12" s="56"/>
      <c r="M12" s="56"/>
      <c r="N12" s="56"/>
      <c r="O12" s="52">
        <f t="shared" si="0"/>
        <v>443018180</v>
      </c>
      <c r="P12" s="12"/>
    </row>
    <row r="13" spans="1:194" ht="25.5" x14ac:dyDescent="0.2">
      <c r="A13" s="53" t="s">
        <v>31</v>
      </c>
      <c r="B13" s="54" t="s">
        <v>32</v>
      </c>
      <c r="C13" s="55">
        <f>1000000+66929+752700+18071</f>
        <v>1837700</v>
      </c>
      <c r="D13" s="60"/>
      <c r="E13" s="56"/>
      <c r="F13" s="56"/>
      <c r="G13" s="56"/>
      <c r="H13" s="58">
        <f t="shared" si="1"/>
        <v>1837700</v>
      </c>
      <c r="I13" s="61" t="e">
        <f>SUM(#REF!)</f>
        <v>#REF!</v>
      </c>
      <c r="J13" s="62">
        <f>8389838-31496-35433-5228+47565+10692+13900-99961+16949-44188+62358-281048-75882-82130-63177+169291+45709</f>
        <v>8037759</v>
      </c>
      <c r="K13" s="56">
        <f>300000</f>
        <v>300000</v>
      </c>
      <c r="L13" s="56"/>
      <c r="M13" s="56"/>
      <c r="N13" s="56"/>
      <c r="O13" s="52">
        <f t="shared" si="0"/>
        <v>8337759</v>
      </c>
      <c r="P13" s="12"/>
    </row>
    <row r="14" spans="1:194" ht="25.5" x14ac:dyDescent="0.2">
      <c r="A14" s="53" t="s">
        <v>33</v>
      </c>
      <c r="B14" s="54" t="s">
        <v>34</v>
      </c>
      <c r="C14" s="63">
        <f>1587852850-2600335-5000000+9625137+1404000+56811000-53811000+350000-4709893+4709893-686510-24250000</f>
        <v>1569695142</v>
      </c>
      <c r="D14" s="64">
        <f>310000000+30000000+29999900</f>
        <v>369999900</v>
      </c>
      <c r="E14" s="56"/>
      <c r="F14" s="64"/>
      <c r="G14" s="64"/>
      <c r="H14" s="58">
        <f t="shared" si="1"/>
        <v>1939695042</v>
      </c>
      <c r="I14" s="49"/>
      <c r="J14" s="62">
        <f>42004332+3200000+100000+6500000</f>
        <v>51804332</v>
      </c>
      <c r="K14" s="56"/>
      <c r="L14" s="64"/>
      <c r="M14" s="64"/>
      <c r="N14" s="64"/>
      <c r="O14" s="52">
        <f t="shared" si="0"/>
        <v>51804332</v>
      </c>
      <c r="P14" s="12"/>
    </row>
    <row r="15" spans="1:194" ht="26.25" thickBot="1" x14ac:dyDescent="0.25">
      <c r="A15" s="65" t="s">
        <v>35</v>
      </c>
      <c r="B15" s="66" t="s">
        <v>36</v>
      </c>
      <c r="C15" s="67">
        <f>10000</f>
        <v>10000</v>
      </c>
      <c r="D15" s="68"/>
      <c r="E15" s="69"/>
      <c r="F15" s="69"/>
      <c r="G15" s="69">
        <f>346583469+2508353</f>
        <v>349091822</v>
      </c>
      <c r="H15" s="70">
        <f t="shared" si="1"/>
        <v>349101822</v>
      </c>
      <c r="I15" s="49"/>
      <c r="J15" s="71">
        <f>10000</f>
        <v>10000</v>
      </c>
      <c r="K15" s="72"/>
      <c r="L15" s="73">
        <v>1507803865</v>
      </c>
      <c r="M15" s="72"/>
      <c r="N15" s="72"/>
      <c r="O15" s="52">
        <f t="shared" si="0"/>
        <v>1507813865</v>
      </c>
      <c r="P15" s="12"/>
    </row>
    <row r="16" spans="1:194" ht="14.25" thickBot="1" x14ac:dyDescent="0.3">
      <c r="A16" s="74" t="s">
        <v>37</v>
      </c>
      <c r="B16" s="75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12"/>
    </row>
    <row r="17" spans="1:16" s="12" customFormat="1" ht="26.25" thickBot="1" x14ac:dyDescent="0.25">
      <c r="A17" s="76" t="s">
        <v>38</v>
      </c>
      <c r="B17" s="77" t="s">
        <v>39</v>
      </c>
      <c r="C17" s="78"/>
      <c r="D17" s="79"/>
      <c r="E17" s="79"/>
      <c r="F17" s="79"/>
      <c r="G17" s="79"/>
      <c r="H17" s="80">
        <f>SUM(C17:G17)</f>
        <v>0</v>
      </c>
      <c r="I17" s="81"/>
      <c r="J17" s="82">
        <v>103817</v>
      </c>
      <c r="K17" s="79"/>
      <c r="L17" s="79"/>
      <c r="M17" s="79"/>
      <c r="N17" s="79"/>
      <c r="O17" s="52">
        <f>SUM(J17:N17)</f>
        <v>103817</v>
      </c>
    </row>
    <row r="18" spans="1:16" s="12" customFormat="1" ht="14.25" thickBot="1" x14ac:dyDescent="0.3">
      <c r="A18" s="83" t="s">
        <v>40</v>
      </c>
      <c r="B18" s="84" t="s">
        <v>40</v>
      </c>
      <c r="C18" s="40" t="s">
        <v>40</v>
      </c>
      <c r="D18" s="40" t="s">
        <v>40</v>
      </c>
      <c r="E18" s="40" t="s">
        <v>40</v>
      </c>
      <c r="F18" s="40" t="s">
        <v>40</v>
      </c>
      <c r="G18" s="40" t="s">
        <v>40</v>
      </c>
      <c r="H18" s="40" t="s">
        <v>40</v>
      </c>
      <c r="I18" s="41" t="s">
        <v>40</v>
      </c>
      <c r="J18" s="40" t="s">
        <v>40</v>
      </c>
      <c r="K18" s="40" t="s">
        <v>40</v>
      </c>
      <c r="L18" s="40" t="s">
        <v>40</v>
      </c>
      <c r="M18" s="40" t="s">
        <v>40</v>
      </c>
      <c r="N18" s="40" t="s">
        <v>40</v>
      </c>
      <c r="O18" s="85" t="s">
        <v>40</v>
      </c>
    </row>
    <row r="19" spans="1:16" s="12" customFormat="1" x14ac:dyDescent="0.2">
      <c r="A19" s="86" t="s">
        <v>41</v>
      </c>
      <c r="B19" s="87" t="s">
        <v>42</v>
      </c>
      <c r="C19" s="46">
        <v>889000</v>
      </c>
      <c r="D19" s="47"/>
      <c r="E19" s="47"/>
      <c r="F19" s="47"/>
      <c r="G19" s="47"/>
      <c r="H19" s="48">
        <f t="shared" ref="H19:H24" si="2">SUM(C19:G19)</f>
        <v>889000</v>
      </c>
      <c r="I19" s="88"/>
      <c r="J19" s="89">
        <f>50165820+91201+2000000</f>
        <v>52257021</v>
      </c>
      <c r="K19" s="47"/>
      <c r="L19" s="47"/>
      <c r="M19" s="47"/>
      <c r="N19" s="47"/>
      <c r="O19" s="48">
        <f t="shared" ref="O19:O24" si="3">SUM(J19:N19)</f>
        <v>52257021</v>
      </c>
    </row>
    <row r="20" spans="1:16" s="12" customFormat="1" ht="25.5" x14ac:dyDescent="0.2">
      <c r="A20" s="90" t="s">
        <v>43</v>
      </c>
      <c r="B20" s="91" t="s">
        <v>44</v>
      </c>
      <c r="C20" s="55">
        <v>17152394</v>
      </c>
      <c r="D20" s="56"/>
      <c r="E20" s="56"/>
      <c r="F20" s="56"/>
      <c r="G20" s="56"/>
      <c r="H20" s="58">
        <f t="shared" si="2"/>
        <v>17152394</v>
      </c>
      <c r="I20" s="88"/>
      <c r="J20" s="62">
        <v>13277327</v>
      </c>
      <c r="K20" s="56"/>
      <c r="L20" s="56"/>
      <c r="M20" s="56"/>
      <c r="N20" s="56"/>
      <c r="O20" s="58">
        <f t="shared" si="3"/>
        <v>13277327</v>
      </c>
    </row>
    <row r="21" spans="1:16" s="12" customFormat="1" x14ac:dyDescent="0.2">
      <c r="A21" s="90" t="s">
        <v>45</v>
      </c>
      <c r="B21" s="91" t="s">
        <v>46</v>
      </c>
      <c r="C21" s="55"/>
      <c r="D21" s="56"/>
      <c r="E21" s="56"/>
      <c r="F21" s="56"/>
      <c r="G21" s="56"/>
      <c r="H21" s="58">
        <f t="shared" si="2"/>
        <v>0</v>
      </c>
      <c r="I21" s="88"/>
      <c r="J21" s="62"/>
      <c r="K21" s="56">
        <v>13809000</v>
      </c>
      <c r="L21" s="56"/>
      <c r="M21" s="56"/>
      <c r="N21" s="56"/>
      <c r="O21" s="58">
        <f t="shared" si="3"/>
        <v>13809000</v>
      </c>
    </row>
    <row r="22" spans="1:16" s="12" customFormat="1" ht="25.5" x14ac:dyDescent="0.2">
      <c r="A22" s="90" t="s">
        <v>47</v>
      </c>
      <c r="B22" s="91" t="s">
        <v>48</v>
      </c>
      <c r="C22" s="55"/>
      <c r="D22" s="56">
        <f>25377271-25377271</f>
        <v>0</v>
      </c>
      <c r="E22" s="56"/>
      <c r="F22" s="56"/>
      <c r="G22" s="56"/>
      <c r="H22" s="58">
        <f t="shared" si="2"/>
        <v>0</v>
      </c>
      <c r="I22" s="88"/>
      <c r="J22" s="57">
        <f>6918729+18000+4860</f>
        <v>6941589</v>
      </c>
      <c r="K22" s="56">
        <f>52310187-22602726-6011851+204724409+55275591</f>
        <v>283695610</v>
      </c>
      <c r="L22" s="56"/>
      <c r="M22" s="56"/>
      <c r="N22" s="56"/>
      <c r="O22" s="58">
        <f t="shared" si="3"/>
        <v>290637199</v>
      </c>
    </row>
    <row r="23" spans="1:16" s="12" customFormat="1" ht="25.5" x14ac:dyDescent="0.2">
      <c r="A23" s="90" t="s">
        <v>49</v>
      </c>
      <c r="B23" s="91" t="s">
        <v>50</v>
      </c>
      <c r="C23" s="55"/>
      <c r="D23" s="56"/>
      <c r="E23" s="56"/>
      <c r="F23" s="56"/>
      <c r="G23" s="56"/>
      <c r="H23" s="58">
        <f t="shared" si="2"/>
        <v>0</v>
      </c>
      <c r="I23" s="88"/>
      <c r="J23" s="62">
        <f>3082677+140102</f>
        <v>3222779</v>
      </c>
      <c r="K23" s="56">
        <f>12076323-140102</f>
        <v>11936221</v>
      </c>
      <c r="L23" s="56"/>
      <c r="M23" s="56"/>
      <c r="N23" s="56"/>
      <c r="O23" s="58">
        <f t="shared" si="3"/>
        <v>15159000</v>
      </c>
    </row>
    <row r="24" spans="1:16" s="12" customFormat="1" ht="26.25" thickBot="1" x14ac:dyDescent="0.25">
      <c r="A24" s="92" t="s">
        <v>51</v>
      </c>
      <c r="B24" s="93" t="s">
        <v>52</v>
      </c>
      <c r="C24" s="67"/>
      <c r="D24" s="69">
        <f>3487179</f>
        <v>3487179</v>
      </c>
      <c r="E24" s="69"/>
      <c r="F24" s="69"/>
      <c r="G24" s="69"/>
      <c r="H24" s="70">
        <f t="shared" si="2"/>
        <v>3487179</v>
      </c>
      <c r="I24" s="88"/>
      <c r="J24" s="94">
        <f>698500</f>
        <v>698500</v>
      </c>
      <c r="K24" s="69">
        <f>1270000</f>
        <v>1270000</v>
      </c>
      <c r="L24" s="69"/>
      <c r="M24" s="69"/>
      <c r="N24" s="69"/>
      <c r="O24" s="70">
        <f t="shared" si="3"/>
        <v>1968500</v>
      </c>
    </row>
    <row r="25" spans="1:16" ht="14.25" thickBot="1" x14ac:dyDescent="0.3">
      <c r="A25" s="83" t="s">
        <v>53</v>
      </c>
      <c r="B25" s="84"/>
      <c r="C25" s="84"/>
      <c r="D25" s="84"/>
      <c r="E25" s="84"/>
      <c r="F25" s="84"/>
      <c r="G25" s="84"/>
      <c r="H25" s="84"/>
      <c r="I25" s="40"/>
      <c r="J25" s="84"/>
      <c r="K25" s="84"/>
      <c r="L25" s="84"/>
      <c r="M25" s="84"/>
      <c r="N25" s="84"/>
      <c r="O25" s="95"/>
      <c r="P25" s="12"/>
    </row>
    <row r="26" spans="1:16" ht="25.5" x14ac:dyDescent="0.25">
      <c r="A26" s="96" t="s">
        <v>54</v>
      </c>
      <c r="B26" s="97" t="s">
        <v>55</v>
      </c>
      <c r="C26" s="98">
        <v>16392698</v>
      </c>
      <c r="D26" s="99">
        <v>2634996</v>
      </c>
      <c r="E26" s="100"/>
      <c r="F26" s="100"/>
      <c r="G26" s="100"/>
      <c r="H26" s="48">
        <f t="shared" ref="H26:H29" si="4">SUM(C26:G26)</f>
        <v>19027694</v>
      </c>
      <c r="I26" s="101"/>
      <c r="J26" s="98">
        <f>406220+63980+12537400+3385098</f>
        <v>16392698</v>
      </c>
      <c r="K26" s="99">
        <f>2074800+560196</f>
        <v>2634996</v>
      </c>
      <c r="L26" s="99"/>
      <c r="M26" s="99"/>
      <c r="N26" s="99"/>
      <c r="O26" s="48">
        <f t="shared" ref="O26:O29" si="5">SUM(J26:N26)</f>
        <v>19027694</v>
      </c>
      <c r="P26" s="12"/>
    </row>
    <row r="27" spans="1:16" ht="38.25" x14ac:dyDescent="0.2">
      <c r="A27" s="102" t="s">
        <v>56</v>
      </c>
      <c r="B27" s="103" t="s">
        <v>57</v>
      </c>
      <c r="C27" s="104">
        <f>507601+2984246</f>
        <v>3491847</v>
      </c>
      <c r="D27" s="105"/>
      <c r="E27" s="105"/>
      <c r="F27" s="105"/>
      <c r="G27" s="105"/>
      <c r="H27" s="52">
        <f t="shared" si="4"/>
        <v>3491847</v>
      </c>
      <c r="I27" s="106"/>
      <c r="J27" s="104">
        <f>16688593+2349800+634446</f>
        <v>19672839</v>
      </c>
      <c r="K27" s="105"/>
      <c r="L27" s="105"/>
      <c r="M27" s="105"/>
      <c r="N27" s="105"/>
      <c r="O27" s="52">
        <f t="shared" si="5"/>
        <v>19672839</v>
      </c>
      <c r="P27" s="12"/>
    </row>
    <row r="28" spans="1:16" ht="25.5" x14ac:dyDescent="0.2">
      <c r="A28" s="90" t="s">
        <v>58</v>
      </c>
      <c r="B28" s="107" t="s">
        <v>59</v>
      </c>
      <c r="C28" s="62"/>
      <c r="D28" s="56"/>
      <c r="E28" s="56"/>
      <c r="F28" s="56"/>
      <c r="G28" s="56"/>
      <c r="H28" s="58">
        <f t="shared" si="4"/>
        <v>0</v>
      </c>
      <c r="I28" s="106"/>
      <c r="J28" s="108">
        <v>835000</v>
      </c>
      <c r="K28" s="64"/>
      <c r="L28" s="64"/>
      <c r="M28" s="64"/>
      <c r="N28" s="64"/>
      <c r="O28" s="52">
        <f t="shared" si="5"/>
        <v>835000</v>
      </c>
      <c r="P28" s="12"/>
    </row>
    <row r="29" spans="1:16" ht="26.25" thickBot="1" x14ac:dyDescent="0.25">
      <c r="A29" s="92" t="s">
        <v>60</v>
      </c>
      <c r="B29" s="109" t="s">
        <v>61</v>
      </c>
      <c r="C29" s="94">
        <f>950000</f>
        <v>950000</v>
      </c>
      <c r="D29" s="110"/>
      <c r="E29" s="111"/>
      <c r="F29" s="110"/>
      <c r="G29" s="110"/>
      <c r="H29" s="70">
        <f t="shared" si="4"/>
        <v>950000</v>
      </c>
      <c r="I29" s="112"/>
      <c r="J29" s="113"/>
      <c r="K29" s="69">
        <v>359410</v>
      </c>
      <c r="L29" s="110"/>
      <c r="M29" s="110"/>
      <c r="N29" s="110"/>
      <c r="O29" s="114">
        <f t="shared" si="5"/>
        <v>359410</v>
      </c>
      <c r="P29" s="12"/>
    </row>
    <row r="30" spans="1:16" ht="14.25" thickBot="1" x14ac:dyDescent="0.3">
      <c r="A30" s="115" t="s">
        <v>62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7"/>
      <c r="P30" s="12"/>
    </row>
    <row r="31" spans="1:16" ht="25.5" x14ac:dyDescent="0.2">
      <c r="A31" s="86" t="s">
        <v>63</v>
      </c>
      <c r="B31" s="118" t="s">
        <v>64</v>
      </c>
      <c r="C31" s="119">
        <f>14717864+35012760+15905400</f>
        <v>65636024</v>
      </c>
      <c r="D31" s="47">
        <f>25377271+355250792+12274550+159691150</f>
        <v>552593763</v>
      </c>
      <c r="E31" s="46"/>
      <c r="F31" s="47"/>
      <c r="G31" s="47"/>
      <c r="H31" s="48">
        <f t="shared" ref="H31" si="6">SUM(C31:G31)</f>
        <v>618229787</v>
      </c>
      <c r="I31" s="120"/>
      <c r="J31" s="119">
        <f>6623900+1043264+5551732+1498968+5162073+813027+22864299+6173361+4020000+1085400+10800000-6623900-1043264+6037137+1630027</f>
        <v>65636024</v>
      </c>
      <c r="K31" s="47">
        <f>22602726+6011851+14620000+195843428+1181102+57144024+63080502+17031736+4860000+1060000+3745000+2609550+128745000+23961150</f>
        <v>542496069</v>
      </c>
      <c r="L31" s="47"/>
      <c r="M31" s="47"/>
      <c r="N31" s="47"/>
      <c r="O31" s="48">
        <f t="shared" ref="O31" si="7">SUM(J31:N31)</f>
        <v>608132093</v>
      </c>
      <c r="P31" s="12"/>
    </row>
    <row r="32" spans="1:16" x14ac:dyDescent="0.2">
      <c r="A32" s="102" t="s">
        <v>65</v>
      </c>
      <c r="B32" s="103" t="s">
        <v>66</v>
      </c>
      <c r="C32" s="104"/>
      <c r="D32" s="51"/>
      <c r="E32" s="121"/>
      <c r="F32" s="51"/>
      <c r="G32" s="51"/>
      <c r="H32" s="52">
        <f t="shared" ref="H32:H34" si="8">SUM(C32:G32)</f>
        <v>0</v>
      </c>
      <c r="I32" s="122"/>
      <c r="J32" s="50">
        <f>27068590+78740+21260</f>
        <v>27168590</v>
      </c>
      <c r="K32" s="51">
        <f>4508500</f>
        <v>4508500</v>
      </c>
      <c r="L32" s="51"/>
      <c r="M32" s="51"/>
      <c r="N32" s="51"/>
      <c r="O32" s="52">
        <f t="shared" ref="O32:O34" si="9">SUM(J32:N32)</f>
        <v>31677090</v>
      </c>
      <c r="P32" s="12"/>
    </row>
    <row r="33" spans="1:16" x14ac:dyDescent="0.2">
      <c r="A33" s="90" t="s">
        <v>67</v>
      </c>
      <c r="B33" s="107" t="s">
        <v>68</v>
      </c>
      <c r="C33" s="123"/>
      <c r="D33" s="56"/>
      <c r="E33" s="56"/>
      <c r="F33" s="56"/>
      <c r="G33" s="56"/>
      <c r="H33" s="58">
        <f t="shared" si="8"/>
        <v>0</v>
      </c>
      <c r="I33" s="122"/>
      <c r="J33" s="62">
        <f>16314715</f>
        <v>16314715</v>
      </c>
      <c r="K33" s="56"/>
      <c r="L33" s="56"/>
      <c r="M33" s="56"/>
      <c r="N33" s="56"/>
      <c r="O33" s="52">
        <f t="shared" si="9"/>
        <v>16314715</v>
      </c>
      <c r="P33" s="12"/>
    </row>
    <row r="34" spans="1:16" ht="26.25" thickBot="1" x14ac:dyDescent="0.25">
      <c r="A34" s="92" t="s">
        <v>69</v>
      </c>
      <c r="B34" s="109" t="s">
        <v>70</v>
      </c>
      <c r="C34" s="94">
        <f>7818450+2520375+3020044+15000000</f>
        <v>28358869</v>
      </c>
      <c r="D34" s="69">
        <v>145100</v>
      </c>
      <c r="E34" s="69">
        <v>6000000</v>
      </c>
      <c r="F34" s="69"/>
      <c r="G34" s="69"/>
      <c r="H34" s="70">
        <f t="shared" si="8"/>
        <v>34503969</v>
      </c>
      <c r="I34" s="124"/>
      <c r="J34" s="125">
        <f>109346348+580000-861300+861300-5700000-1539000+2145000+375375+2570250+449794+104000+15000000-70000+70000+3000000</f>
        <v>126331767</v>
      </c>
      <c r="K34" s="69">
        <f>3155001+1539000+5700000+23622047+6377953</f>
        <v>40394001</v>
      </c>
      <c r="L34" s="69"/>
      <c r="M34" s="69"/>
      <c r="N34" s="69"/>
      <c r="O34" s="114">
        <f t="shared" si="9"/>
        <v>166725768</v>
      </c>
      <c r="P34" s="12"/>
    </row>
    <row r="35" spans="1:16" ht="15.75" thickBot="1" x14ac:dyDescent="0.3">
      <c r="A35" s="126" t="s">
        <v>71</v>
      </c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9"/>
      <c r="P35" s="12"/>
    </row>
    <row r="36" spans="1:16" x14ac:dyDescent="0.2">
      <c r="A36" s="130" t="s">
        <v>72</v>
      </c>
      <c r="B36" s="54" t="s">
        <v>73</v>
      </c>
      <c r="C36" s="55"/>
      <c r="D36" s="55"/>
      <c r="E36" s="55"/>
      <c r="F36" s="55"/>
      <c r="G36" s="55"/>
      <c r="H36" s="58">
        <f t="shared" ref="H36:H39" si="10">SUM(C36:G36)</f>
        <v>0</v>
      </c>
      <c r="I36" s="131"/>
      <c r="J36" s="132">
        <v>45600000</v>
      </c>
      <c r="K36" s="56"/>
      <c r="L36" s="56"/>
      <c r="M36" s="56"/>
      <c r="N36" s="56"/>
      <c r="O36" s="52">
        <f t="shared" ref="O36:O39" si="11">SUM(J36:N36)</f>
        <v>45600000</v>
      </c>
      <c r="P36" s="12"/>
    </row>
    <row r="37" spans="1:16" x14ac:dyDescent="0.2">
      <c r="A37" s="130" t="s">
        <v>74</v>
      </c>
      <c r="B37" s="54" t="s">
        <v>75</v>
      </c>
      <c r="C37" s="55"/>
      <c r="D37" s="56"/>
      <c r="E37" s="56"/>
      <c r="F37" s="56"/>
      <c r="G37" s="56"/>
      <c r="H37" s="58">
        <f t="shared" si="10"/>
        <v>0</v>
      </c>
      <c r="I37" s="122"/>
      <c r="J37" s="62">
        <v>4500000</v>
      </c>
      <c r="K37" s="56"/>
      <c r="L37" s="56"/>
      <c r="M37" s="56"/>
      <c r="N37" s="56"/>
      <c r="O37" s="52">
        <f t="shared" si="11"/>
        <v>4500000</v>
      </c>
      <c r="P37" s="12"/>
    </row>
    <row r="38" spans="1:16" ht="25.5" x14ac:dyDescent="0.2">
      <c r="A38" s="130" t="s">
        <v>76</v>
      </c>
      <c r="B38" s="54" t="s">
        <v>77</v>
      </c>
      <c r="C38" s="55">
        <f>1109692+340000</f>
        <v>1449692</v>
      </c>
      <c r="D38" s="56"/>
      <c r="E38" s="56"/>
      <c r="F38" s="56"/>
      <c r="G38" s="56"/>
      <c r="H38" s="58">
        <f t="shared" si="10"/>
        <v>1449692</v>
      </c>
      <c r="I38" s="49"/>
      <c r="J38" s="62">
        <f>20525292-100000-200000-81000+34884+4400000+340000</f>
        <v>24919176</v>
      </c>
      <c r="K38" s="56">
        <f>300000+46116</f>
        <v>346116</v>
      </c>
      <c r="L38" s="56"/>
      <c r="M38" s="56"/>
      <c r="N38" s="56"/>
      <c r="O38" s="52">
        <f t="shared" si="11"/>
        <v>25265292</v>
      </c>
      <c r="P38" s="12"/>
    </row>
    <row r="39" spans="1:16" ht="26.25" thickBot="1" x14ac:dyDescent="0.25">
      <c r="A39" s="133" t="s">
        <v>78</v>
      </c>
      <c r="B39" s="66" t="s">
        <v>79</v>
      </c>
      <c r="C39" s="134">
        <v>400000</v>
      </c>
      <c r="D39" s="72"/>
      <c r="E39" s="72"/>
      <c r="F39" s="72"/>
      <c r="G39" s="72"/>
      <c r="H39" s="135">
        <f t="shared" si="10"/>
        <v>400000</v>
      </c>
      <c r="I39" s="122"/>
      <c r="J39" s="71">
        <f>345000+54851-54851+85039+65429+31866+78740+38926</f>
        <v>645000</v>
      </c>
      <c r="K39" s="72">
        <f>5000+78740+21260</f>
        <v>105000</v>
      </c>
      <c r="L39" s="72"/>
      <c r="M39" s="72"/>
      <c r="N39" s="72"/>
      <c r="O39" s="52">
        <f t="shared" si="11"/>
        <v>750000</v>
      </c>
      <c r="P39" s="12"/>
    </row>
    <row r="40" spans="1:16" ht="14.25" thickBot="1" x14ac:dyDescent="0.3">
      <c r="A40" s="83" t="s">
        <v>80</v>
      </c>
      <c r="B40" s="84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  <c r="P40" s="12"/>
    </row>
    <row r="41" spans="1:16" s="141" customFormat="1" ht="25.5" x14ac:dyDescent="0.2">
      <c r="A41" s="136" t="s">
        <v>81</v>
      </c>
      <c r="B41" s="137" t="s">
        <v>82</v>
      </c>
      <c r="C41" s="119">
        <v>939800</v>
      </c>
      <c r="D41" s="138"/>
      <c r="E41" s="138"/>
      <c r="F41" s="138"/>
      <c r="G41" s="138"/>
      <c r="H41" s="139">
        <f t="shared" ref="H41:H43" si="12">SUM(C41:G41)</f>
        <v>939800</v>
      </c>
      <c r="I41" s="140"/>
      <c r="J41" s="119">
        <f>100000+610000+191700+38100</f>
        <v>939800</v>
      </c>
      <c r="K41" s="138"/>
      <c r="L41" s="138"/>
      <c r="M41" s="138"/>
      <c r="N41" s="138"/>
      <c r="O41" s="139">
        <f t="shared" ref="O41:O44" si="13">SUM(J41:N41)</f>
        <v>939800</v>
      </c>
    </row>
    <row r="42" spans="1:16" x14ac:dyDescent="0.2">
      <c r="A42" s="142" t="s">
        <v>83</v>
      </c>
      <c r="B42" s="143" t="s">
        <v>84</v>
      </c>
      <c r="C42" s="78">
        <f>635000</f>
        <v>635000</v>
      </c>
      <c r="D42" s="79"/>
      <c r="E42" s="79"/>
      <c r="F42" s="79"/>
      <c r="G42" s="79"/>
      <c r="H42" s="52">
        <f t="shared" ref="H42" si="14">SUM(C42:G42)</f>
        <v>635000</v>
      </c>
      <c r="I42" s="122"/>
      <c r="J42" s="82">
        <f>6732663</f>
        <v>6732663</v>
      </c>
      <c r="K42" s="79"/>
      <c r="L42" s="79"/>
      <c r="M42" s="79"/>
      <c r="N42" s="79"/>
      <c r="O42" s="52">
        <f t="shared" ref="O42" si="15">SUM(J42:N42)</f>
        <v>6732663</v>
      </c>
      <c r="P42" s="12"/>
    </row>
    <row r="43" spans="1:16" s="141" customFormat="1" x14ac:dyDescent="0.2">
      <c r="A43" s="130" t="s">
        <v>85</v>
      </c>
      <c r="B43" s="54" t="s">
        <v>86</v>
      </c>
      <c r="C43" s="134">
        <f>2935064+400000</f>
        <v>3335064</v>
      </c>
      <c r="D43" s="144"/>
      <c r="E43" s="144"/>
      <c r="F43" s="144"/>
      <c r="G43" s="144"/>
      <c r="H43" s="58">
        <f t="shared" si="12"/>
        <v>3335064</v>
      </c>
      <c r="I43" s="140"/>
      <c r="J43" s="145">
        <f>23326783+437750+1236244+101823+9625137+400000+255621</f>
        <v>35383358</v>
      </c>
      <c r="K43" s="72">
        <f>26269106</f>
        <v>26269106</v>
      </c>
      <c r="L43" s="72"/>
      <c r="M43" s="72"/>
      <c r="N43" s="72"/>
      <c r="O43" s="52">
        <f t="shared" si="13"/>
        <v>61652464</v>
      </c>
    </row>
    <row r="44" spans="1:16" s="141" customFormat="1" ht="39" thickBot="1" x14ac:dyDescent="0.25">
      <c r="A44" s="133" t="s">
        <v>87</v>
      </c>
      <c r="B44" s="66" t="s">
        <v>88</v>
      </c>
      <c r="C44" s="134">
        <f>67037993</f>
        <v>67037993</v>
      </c>
      <c r="D44" s="72">
        <f>47949076-2021904</f>
        <v>45927172</v>
      </c>
      <c r="E44" s="144"/>
      <c r="F44" s="144"/>
      <c r="G44" s="144"/>
      <c r="H44" s="135">
        <f>SUM(C44:G44)</f>
        <v>112965165</v>
      </c>
      <c r="I44" s="140"/>
      <c r="J44" s="71">
        <f>84625796</f>
        <v>84625796</v>
      </c>
      <c r="K44" s="72">
        <f>49155576</f>
        <v>49155576</v>
      </c>
      <c r="L44" s="72"/>
      <c r="M44" s="72"/>
      <c r="N44" s="72"/>
      <c r="O44" s="52">
        <f t="shared" si="13"/>
        <v>133781372</v>
      </c>
    </row>
    <row r="45" spans="1:16" ht="14.25" thickBot="1" x14ac:dyDescent="0.3">
      <c r="A45" s="83" t="s">
        <v>89</v>
      </c>
      <c r="B45" s="84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  <c r="P45" s="12"/>
    </row>
    <row r="46" spans="1:16" x14ac:dyDescent="0.2">
      <c r="A46" s="146" t="s">
        <v>90</v>
      </c>
      <c r="B46" s="45" t="s">
        <v>91</v>
      </c>
      <c r="C46" s="78"/>
      <c r="D46" s="79"/>
      <c r="E46" s="79"/>
      <c r="F46" s="79"/>
      <c r="G46" s="79"/>
      <c r="H46" s="52">
        <f t="shared" ref="H46:H53" si="16">SUM(C46:G46)</f>
        <v>0</v>
      </c>
      <c r="I46" s="122"/>
      <c r="J46" s="82">
        <f>300000</f>
        <v>300000</v>
      </c>
      <c r="K46" s="79"/>
      <c r="L46" s="79"/>
      <c r="M46" s="79"/>
      <c r="N46" s="79"/>
      <c r="O46" s="52">
        <f t="shared" ref="O46:O53" si="17">SUM(J46:N46)</f>
        <v>300000</v>
      </c>
      <c r="P46" s="12"/>
    </row>
    <row r="47" spans="1:16" x14ac:dyDescent="0.2">
      <c r="A47" s="130" t="s">
        <v>92</v>
      </c>
      <c r="B47" s="54" t="s">
        <v>93</v>
      </c>
      <c r="C47" s="134"/>
      <c r="D47" s="72"/>
      <c r="E47" s="72"/>
      <c r="F47" s="72"/>
      <c r="G47" s="72"/>
      <c r="H47" s="58">
        <f t="shared" si="16"/>
        <v>0</v>
      </c>
      <c r="I47" s="122"/>
      <c r="J47" s="71">
        <f>49047304</f>
        <v>49047304</v>
      </c>
      <c r="K47" s="72"/>
      <c r="L47" s="72"/>
      <c r="M47" s="72"/>
      <c r="N47" s="72"/>
      <c r="O47" s="52">
        <f t="shared" si="17"/>
        <v>49047304</v>
      </c>
      <c r="P47" s="12"/>
    </row>
    <row r="48" spans="1:16" x14ac:dyDescent="0.2">
      <c r="A48" s="147" t="s">
        <v>94</v>
      </c>
      <c r="B48" s="148" t="s">
        <v>95</v>
      </c>
      <c r="C48" s="134"/>
      <c r="D48" s="72"/>
      <c r="E48" s="72"/>
      <c r="F48" s="72"/>
      <c r="G48" s="72"/>
      <c r="H48" s="58">
        <f t="shared" si="16"/>
        <v>0</v>
      </c>
      <c r="I48" s="122"/>
      <c r="J48" s="145">
        <f>393701+1044827+351952</f>
        <v>1790480</v>
      </c>
      <c r="K48" s="73">
        <f>440567+118953</f>
        <v>559520</v>
      </c>
      <c r="L48" s="72"/>
      <c r="M48" s="72"/>
      <c r="N48" s="72"/>
      <c r="O48" s="52">
        <f t="shared" si="17"/>
        <v>2350000</v>
      </c>
      <c r="P48" s="12"/>
    </row>
    <row r="49" spans="1:16" ht="25.5" x14ac:dyDescent="0.2">
      <c r="A49" s="130" t="s">
        <v>96</v>
      </c>
      <c r="B49" s="54" t="s">
        <v>97</v>
      </c>
      <c r="C49" s="134"/>
      <c r="D49" s="72"/>
      <c r="E49" s="72"/>
      <c r="F49" s="72"/>
      <c r="G49" s="72"/>
      <c r="H49" s="58">
        <f t="shared" si="16"/>
        <v>0</v>
      </c>
      <c r="I49" s="122"/>
      <c r="J49" s="149">
        <f>24250000+67500-24250000</f>
        <v>67500</v>
      </c>
      <c r="K49" s="72"/>
      <c r="L49" s="72"/>
      <c r="M49" s="72"/>
      <c r="N49" s="72"/>
      <c r="O49" s="52">
        <f t="shared" si="17"/>
        <v>67500</v>
      </c>
      <c r="P49" s="12"/>
    </row>
    <row r="50" spans="1:16" ht="25.5" x14ac:dyDescent="0.2">
      <c r="A50" s="130" t="s">
        <v>98</v>
      </c>
      <c r="B50" s="54" t="s">
        <v>99</v>
      </c>
      <c r="C50" s="134">
        <f>300000</f>
        <v>300000</v>
      </c>
      <c r="D50" s="72"/>
      <c r="E50" s="72"/>
      <c r="F50" s="72"/>
      <c r="G50" s="72"/>
      <c r="H50" s="58">
        <f t="shared" si="16"/>
        <v>300000</v>
      </c>
      <c r="I50" s="122"/>
      <c r="J50" s="71">
        <f>2354100</f>
        <v>2354100</v>
      </c>
      <c r="K50" s="72">
        <f>1905000+787402+212598</f>
        <v>2905000</v>
      </c>
      <c r="L50" s="72"/>
      <c r="M50" s="72"/>
      <c r="N50" s="72"/>
      <c r="O50" s="52">
        <f t="shared" si="17"/>
        <v>5259100</v>
      </c>
      <c r="P50" s="12"/>
    </row>
    <row r="51" spans="1:16" ht="25.5" x14ac:dyDescent="0.2">
      <c r="A51" s="130" t="s">
        <v>100</v>
      </c>
      <c r="B51" s="54" t="s">
        <v>101</v>
      </c>
      <c r="C51" s="134"/>
      <c r="D51" s="72"/>
      <c r="E51" s="72"/>
      <c r="F51" s="72"/>
      <c r="G51" s="72"/>
      <c r="H51" s="58">
        <f t="shared" ref="H51" si="18">SUM(C51:G51)</f>
        <v>0</v>
      </c>
      <c r="I51" s="122"/>
      <c r="J51" s="71">
        <f>5773228+1558772</f>
        <v>7332000</v>
      </c>
      <c r="K51" s="72"/>
      <c r="L51" s="72"/>
      <c r="M51" s="72"/>
      <c r="N51" s="72"/>
      <c r="O51" s="52">
        <f t="shared" ref="O51" si="19">SUM(J51:N51)</f>
        <v>7332000</v>
      </c>
      <c r="P51" s="12"/>
    </row>
    <row r="52" spans="1:16" ht="26.25" thickBot="1" x14ac:dyDescent="0.25">
      <c r="A52" s="133" t="s">
        <v>102</v>
      </c>
      <c r="B52" s="54" t="s">
        <v>103</v>
      </c>
      <c r="C52" s="134">
        <f>700000</f>
        <v>700000</v>
      </c>
      <c r="D52" s="72"/>
      <c r="E52" s="72"/>
      <c r="F52" s="72"/>
      <c r="G52" s="72"/>
      <c r="H52" s="135">
        <f t="shared" ref="H52" si="20">SUM(C52:G52)</f>
        <v>700000</v>
      </c>
      <c r="I52" s="122"/>
      <c r="J52" s="71">
        <f>59455000-7332000</f>
        <v>52123000</v>
      </c>
      <c r="K52" s="72"/>
      <c r="L52" s="72"/>
      <c r="M52" s="72"/>
      <c r="N52" s="72"/>
      <c r="O52" s="52">
        <f t="shared" ref="O52" si="21">SUM(J52:N52)</f>
        <v>52123000</v>
      </c>
      <c r="P52" s="12"/>
    </row>
    <row r="53" spans="1:16" s="141" customFormat="1" ht="26.25" thickBot="1" x14ac:dyDescent="0.25">
      <c r="A53" s="150" t="s">
        <v>104</v>
      </c>
      <c r="B53" s="151" t="s">
        <v>105</v>
      </c>
      <c r="C53" s="134">
        <v>243100</v>
      </c>
      <c r="D53" s="72">
        <f>691900</f>
        <v>691900</v>
      </c>
      <c r="E53" s="73"/>
      <c r="F53" s="73"/>
      <c r="G53" s="73"/>
      <c r="H53" s="135">
        <f t="shared" si="16"/>
        <v>935000</v>
      </c>
      <c r="I53" s="140"/>
      <c r="J53" s="71">
        <f>44173+11927+161555+25445</f>
        <v>243100</v>
      </c>
      <c r="K53" s="72">
        <f>544803+147097</f>
        <v>691900</v>
      </c>
      <c r="L53" s="72"/>
      <c r="M53" s="72"/>
      <c r="N53" s="72"/>
      <c r="O53" s="52">
        <f t="shared" si="17"/>
        <v>935000</v>
      </c>
    </row>
    <row r="54" spans="1:16" ht="14.25" thickBot="1" x14ac:dyDescent="0.3">
      <c r="A54" s="83" t="s">
        <v>106</v>
      </c>
      <c r="B54" s="84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/>
      <c r="P54" s="12"/>
    </row>
    <row r="55" spans="1:16" ht="38.25" x14ac:dyDescent="0.2">
      <c r="A55" s="146" t="s">
        <v>107</v>
      </c>
      <c r="B55" s="45" t="s">
        <v>108</v>
      </c>
      <c r="C55" s="152"/>
      <c r="D55" s="79"/>
      <c r="E55" s="79">
        <f>475500000+1000000</f>
        <v>476500000</v>
      </c>
      <c r="F55" s="79"/>
      <c r="G55" s="79"/>
      <c r="H55" s="52">
        <f t="shared" ref="H55:H56" si="22">SUM(C55:G55)</f>
        <v>476500000</v>
      </c>
      <c r="I55" s="122"/>
      <c r="J55" s="82">
        <f>10000</f>
        <v>10000</v>
      </c>
      <c r="K55" s="79"/>
      <c r="L55" s="153"/>
      <c r="M55" s="79"/>
      <c r="N55" s="79"/>
      <c r="O55" s="52">
        <f t="shared" ref="O55:O56" si="23">SUM(J55:N55)</f>
        <v>10000</v>
      </c>
      <c r="P55" s="12"/>
    </row>
    <row r="56" spans="1:16" ht="26.25" thickBot="1" x14ac:dyDescent="0.25">
      <c r="A56" s="133" t="s">
        <v>109</v>
      </c>
      <c r="B56" s="66" t="s">
        <v>110</v>
      </c>
      <c r="C56" s="154"/>
      <c r="D56" s="72"/>
      <c r="E56" s="72"/>
      <c r="F56" s="72">
        <v>169269106</v>
      </c>
      <c r="G56" s="72"/>
      <c r="H56" s="58">
        <f t="shared" si="22"/>
        <v>169269106</v>
      </c>
      <c r="I56" s="122"/>
      <c r="J56" s="71">
        <f>4070204+259082+8850000</f>
        <v>13179286</v>
      </c>
      <c r="K56" s="73"/>
      <c r="L56" s="72"/>
      <c r="M56" s="72">
        <f>100000000+11674500+5278000</f>
        <v>116952500</v>
      </c>
      <c r="N56" s="72">
        <f>46947321+65497460-2253677-6432757-12097120</f>
        <v>91661227</v>
      </c>
      <c r="O56" s="58">
        <f t="shared" si="23"/>
        <v>221793013</v>
      </c>
      <c r="P56" s="12"/>
    </row>
    <row r="57" spans="1:16" ht="13.5" thickBot="1" x14ac:dyDescent="0.25">
      <c r="A57" s="155" t="s">
        <v>111</v>
      </c>
      <c r="B57" s="156"/>
      <c r="C57" s="157">
        <f t="shared" ref="C57:G57" si="24">SUM(C10:C56)</f>
        <v>1825888244</v>
      </c>
      <c r="D57" s="157">
        <f t="shared" si="24"/>
        <v>1085738550</v>
      </c>
      <c r="E57" s="157">
        <f t="shared" si="24"/>
        <v>482500000</v>
      </c>
      <c r="F57" s="157">
        <f t="shared" si="24"/>
        <v>169269106</v>
      </c>
      <c r="G57" s="157">
        <f t="shared" si="24"/>
        <v>349091822</v>
      </c>
      <c r="H57" s="158">
        <f>SUM(H10:H56)</f>
        <v>3912487722</v>
      </c>
      <c r="I57" s="159" t="e">
        <f>SUM(I9:I13,I15:I28,I34:I36,I38:I47,I49:I56)</f>
        <v>#REF!</v>
      </c>
      <c r="J57" s="157">
        <f>SUM(J10:J56)</f>
        <v>829258943</v>
      </c>
      <c r="K57" s="157">
        <f t="shared" ref="K57:N57" si="25">SUM(K10:K56)</f>
        <v>1366811187</v>
      </c>
      <c r="L57" s="157">
        <f t="shared" si="25"/>
        <v>1507803865</v>
      </c>
      <c r="M57" s="157">
        <f t="shared" si="25"/>
        <v>116952500</v>
      </c>
      <c r="N57" s="157">
        <f t="shared" si="25"/>
        <v>91661227</v>
      </c>
      <c r="O57" s="157">
        <f>SUM(O10:O56)</f>
        <v>3912487722</v>
      </c>
      <c r="P57" s="160">
        <f>O57-H57</f>
        <v>0</v>
      </c>
    </row>
    <row r="58" spans="1:16" ht="13.5" thickBot="1" x14ac:dyDescent="0.25">
      <c r="A58" s="161" t="s">
        <v>112</v>
      </c>
      <c r="B58" s="162"/>
      <c r="C58" s="163"/>
      <c r="D58" s="164"/>
      <c r="E58" s="164"/>
      <c r="F58" s="164"/>
      <c r="G58" s="164"/>
      <c r="H58" s="58"/>
      <c r="I58" s="59"/>
      <c r="J58" s="165"/>
      <c r="K58" s="56"/>
      <c r="L58" s="56">
        <f>SUM(L55:L56,L46:L53,L41:L44,L36:L39,L32:L34,L27:L29,L17,L10:L15)</f>
        <v>1507803865</v>
      </c>
      <c r="M58" s="164"/>
      <c r="N58" s="164"/>
      <c r="O58" s="166">
        <f>SUM(J58:N58)</f>
        <v>1507803865</v>
      </c>
      <c r="P58" s="160"/>
    </row>
    <row r="59" spans="1:16" ht="14.25" customHeight="1" thickBot="1" x14ac:dyDescent="0.25">
      <c r="A59" s="155" t="s">
        <v>113</v>
      </c>
      <c r="B59" s="156"/>
      <c r="C59" s="167">
        <f t="shared" ref="C59:N59" si="26">C57-C58</f>
        <v>1825888244</v>
      </c>
      <c r="D59" s="168">
        <f t="shared" si="26"/>
        <v>1085738550</v>
      </c>
      <c r="E59" s="168">
        <f t="shared" si="26"/>
        <v>482500000</v>
      </c>
      <c r="F59" s="168">
        <f t="shared" si="26"/>
        <v>169269106</v>
      </c>
      <c r="G59" s="168">
        <f t="shared" si="26"/>
        <v>349091822</v>
      </c>
      <c r="H59" s="169">
        <f t="shared" si="26"/>
        <v>3912487722</v>
      </c>
      <c r="I59" s="170" t="e">
        <f t="shared" si="26"/>
        <v>#REF!</v>
      </c>
      <c r="J59" s="167">
        <f t="shared" si="26"/>
        <v>829258943</v>
      </c>
      <c r="K59" s="168">
        <f t="shared" si="26"/>
        <v>1366811187</v>
      </c>
      <c r="L59" s="168">
        <f t="shared" si="26"/>
        <v>0</v>
      </c>
      <c r="M59" s="168">
        <f t="shared" si="26"/>
        <v>116952500</v>
      </c>
      <c r="N59" s="168">
        <f t="shared" si="26"/>
        <v>91661227</v>
      </c>
      <c r="O59" s="171">
        <f>O57-O58</f>
        <v>2404683857</v>
      </c>
      <c r="P59" s="160"/>
    </row>
    <row r="60" spans="1:16" hidden="1" x14ac:dyDescent="0.2">
      <c r="B60" s="172"/>
      <c r="C60" s="88">
        <f>C59-C61</f>
        <v>0</v>
      </c>
      <c r="D60" s="88">
        <f t="shared" ref="D60:J60" si="27">D59-D61</f>
        <v>0</v>
      </c>
      <c r="E60" s="88">
        <f t="shared" si="27"/>
        <v>0</v>
      </c>
      <c r="F60" s="88">
        <f t="shared" si="27"/>
        <v>0</v>
      </c>
      <c r="G60" s="88">
        <f t="shared" si="27"/>
        <v>0</v>
      </c>
      <c r="H60" s="88">
        <f t="shared" si="27"/>
        <v>0</v>
      </c>
      <c r="I60" s="88" t="e">
        <f t="shared" si="27"/>
        <v>#REF!</v>
      </c>
      <c r="J60" s="88">
        <f t="shared" si="27"/>
        <v>0</v>
      </c>
      <c r="K60" s="88">
        <f>K59-K61</f>
        <v>0</v>
      </c>
      <c r="L60" s="88">
        <f t="shared" ref="L60:N60" si="28">L59-L61</f>
        <v>0</v>
      </c>
      <c r="M60" s="88">
        <f t="shared" si="28"/>
        <v>0</v>
      </c>
      <c r="N60" s="88">
        <f t="shared" si="28"/>
        <v>0</v>
      </c>
      <c r="O60" s="88">
        <f>O59-O61</f>
        <v>0</v>
      </c>
    </row>
    <row r="61" spans="1:16" hidden="1" x14ac:dyDescent="0.2">
      <c r="B61" s="172"/>
      <c r="C61" s="88">
        <f>'[1]9.1. sz. mell.'!C8+'[1]9.1. sz. mell.'!C15+'[1]9.1. sz. mell.'!C37+'[1]9.1. sz. mell.'!C55</f>
        <v>1825888244</v>
      </c>
      <c r="D61" s="88">
        <f>'[1]9.1. sz. mell.'!C22+'[1]9.1. sz. mell.'!C49+'[1]9.1. sz. mell.'!C60</f>
        <v>1085738550</v>
      </c>
      <c r="E61" s="88">
        <f>'[1]9.1. sz. mell.'!C29</f>
        <v>482500000</v>
      </c>
      <c r="F61" s="88">
        <f>'[1]9.1. sz. mell.'!C66</f>
        <v>169269106</v>
      </c>
      <c r="G61" s="88">
        <f>'[1]9.1. sz. mell.'!C75</f>
        <v>349091822</v>
      </c>
      <c r="H61" s="173">
        <f>SUM(C61:G61)</f>
        <v>3912487722</v>
      </c>
      <c r="I61" s="106"/>
      <c r="J61" s="88">
        <f>'[1]9.1. sz. mell.'!C93-'[1]9.1. sz. mell.'!C111+'[1]9.1. sz. mell.'!C140</f>
        <v>829258943</v>
      </c>
      <c r="K61" s="1">
        <f>'[1]9.1. sz. mell.'!C114</f>
        <v>1366811187</v>
      </c>
      <c r="L61" s="174"/>
      <c r="M61" s="175">
        <f>'[1]9.1. sz. mell.'!C129</f>
        <v>116952500</v>
      </c>
      <c r="N61" s="175">
        <f>'[1]9.1. sz. mell.'!C111</f>
        <v>91661227</v>
      </c>
      <c r="O61" s="106">
        <f>SUM(J61:N61)</f>
        <v>2404683857</v>
      </c>
    </row>
    <row r="62" spans="1:16" x14ac:dyDescent="0.2">
      <c r="B62" s="172"/>
      <c r="C62" s="88"/>
      <c r="D62" s="88"/>
      <c r="E62" s="88"/>
      <c r="F62" s="88"/>
      <c r="G62" s="88"/>
      <c r="H62" s="173"/>
      <c r="I62" s="106"/>
      <c r="J62" s="176"/>
      <c r="K62" s="88"/>
      <c r="L62" s="177"/>
      <c r="M62" s="88"/>
      <c r="N62" s="88"/>
      <c r="O62" s="106"/>
    </row>
    <row r="63" spans="1:16" x14ac:dyDescent="0.2">
      <c r="B63" s="172"/>
      <c r="C63" s="88"/>
      <c r="D63" s="88"/>
      <c r="E63" s="88"/>
      <c r="F63" s="88"/>
      <c r="G63" s="88"/>
      <c r="H63" s="173"/>
      <c r="I63" s="106"/>
      <c r="J63" s="88"/>
      <c r="K63" s="88"/>
      <c r="L63" s="177"/>
      <c r="M63" s="88"/>
      <c r="N63" s="88"/>
      <c r="O63" s="106"/>
    </row>
    <row r="64" spans="1:16" x14ac:dyDescent="0.2">
      <c r="B64" s="172"/>
      <c r="C64" s="88"/>
      <c r="D64" s="88"/>
      <c r="E64" s="88"/>
      <c r="F64" s="88"/>
      <c r="G64" s="88"/>
      <c r="H64" s="173"/>
      <c r="I64" s="106"/>
      <c r="J64" s="88"/>
      <c r="K64" s="88"/>
      <c r="L64" s="177"/>
      <c r="M64" s="88"/>
      <c r="N64" s="88"/>
      <c r="O64" s="106"/>
    </row>
    <row r="65" spans="2:15" x14ac:dyDescent="0.2">
      <c r="B65" s="172"/>
      <c r="C65" s="88"/>
      <c r="D65" s="88"/>
      <c r="E65" s="88"/>
      <c r="F65" s="88"/>
      <c r="G65" s="88"/>
      <c r="H65" s="173"/>
      <c r="I65" s="106"/>
      <c r="J65" s="88"/>
      <c r="K65" s="88"/>
      <c r="L65" s="177"/>
      <c r="M65" s="88"/>
      <c r="N65" s="88"/>
      <c r="O65" s="106"/>
    </row>
    <row r="66" spans="2:15" x14ac:dyDescent="0.2">
      <c r="B66" s="172"/>
      <c r="C66" s="88"/>
      <c r="D66" s="88"/>
      <c r="E66" s="88"/>
      <c r="F66" s="88"/>
      <c r="G66" s="88"/>
      <c r="H66" s="173"/>
      <c r="I66" s="106"/>
      <c r="J66" s="88"/>
      <c r="K66" s="88"/>
      <c r="L66" s="177"/>
      <c r="M66" s="88"/>
      <c r="N66" s="88"/>
      <c r="O66" s="106"/>
    </row>
  </sheetData>
  <mergeCells count="20">
    <mergeCell ref="A40:O40"/>
    <mergeCell ref="A45:O45"/>
    <mergeCell ref="A54:O54"/>
    <mergeCell ref="A57:B57"/>
    <mergeCell ref="A58:B58"/>
    <mergeCell ref="A59:B59"/>
    <mergeCell ref="A9:O9"/>
    <mergeCell ref="A16:O16"/>
    <mergeCell ref="A18:O18"/>
    <mergeCell ref="A25:O25"/>
    <mergeCell ref="A30:O30"/>
    <mergeCell ref="A35:O35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25" right="0.25" top="0.75" bottom="0.75" header="0.3" footer="0.3"/>
  <pageSetup paperSize="9" scale="52" orientation="portrait" r:id="rId1"/>
  <headerFooter alignWithMargins="0">
    <oddHeader>&amp;R&amp;"Times New Roman CE,Félkövér dőlt"&amp;11 25. számú melléklet a 35/2019.(XI.28.)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7.sz. táj. feladatos Önk. </vt:lpstr>
      <vt:lpstr>'7.sz.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2019-12-02T09:45:08Z</dcterms:created>
  <dcterms:modified xsi:type="dcterms:W3CDTF">2019-12-02T09:45:09Z</dcterms:modified>
</cp:coreProperties>
</file>