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olosin\Documents\előterjesztések\2019\2019 évi költségvetés I módosítása\TTT-re\"/>
    </mc:Choice>
  </mc:AlternateContent>
  <xr:revisionPtr revIDLastSave="0" documentId="8_{7373395F-946C-488D-8C0E-F96C69432E36}" xr6:coauthVersionLast="43" xr6:coauthVersionMax="43" xr10:uidLastSave="{00000000-0000-0000-0000-000000000000}"/>
  <bookViews>
    <workbookView xWindow="-109" yWindow="-109" windowWidth="26301" windowHeight="14305" tabRatio="828" firstSheet="8" activeTab="8" xr2:uid="{00000000-000D-0000-FFFF-FFFF00000000}"/>
  </bookViews>
  <sheets>
    <sheet name="Egyenlegmutató" sheetId="22" state="hidden" r:id="rId1"/>
    <sheet name="0.Mérleg" sheetId="16" state="hidden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C Önk bev kiad fel" sheetId="25" r:id="rId8"/>
    <sheet name="2D Céltartalék" sheetId="29" r:id="rId9"/>
    <sheet name="2E VÉA" sheetId="31" state="hidden" r:id="rId10"/>
    <sheet name="2F KVA" sheetId="35" state="hidden" r:id="rId11"/>
    <sheet name="3A PH" sheetId="20" r:id="rId12"/>
    <sheet name="3B PH fel" sheetId="21" r:id="rId13"/>
    <sheet name="4A Walla" sheetId="2" r:id="rId14"/>
    <sheet name="4B Nyitnikék" sheetId="5" r:id="rId15"/>
    <sheet name="4C Bóbita" sheetId="7" r:id="rId16"/>
    <sheet name="4D MMMH" sheetId="18" r:id="rId17"/>
    <sheet name="4E Könyvtár" sheetId="14" r:id="rId18"/>
    <sheet name="4F Segítő Kéz" sheetId="8" r:id="rId19"/>
    <sheet name="4G Szérüskert" sheetId="37" r:id="rId20"/>
    <sheet name="Walla" sheetId="1" state="hidden" r:id="rId21"/>
    <sheet name="4H VG bev kiad" sheetId="12" r:id="rId22"/>
    <sheet name="Könyvtár" sheetId="15" state="hidden" r:id="rId23"/>
    <sheet name="5 GSZNR fel" sheetId="3" r:id="rId24"/>
    <sheet name="6. létszámkeret" sheetId="36" state="hidden" r:id="rId25"/>
    <sheet name="Beruházás" sheetId="27" state="hidden" r:id="rId26"/>
    <sheet name="Felújítás" sheetId="28" state="hidden" r:id="rId27"/>
    <sheet name="7. projektek" sheetId="39" r:id="rId28"/>
    <sheet name="7. " sheetId="38" state="hidden" r:id="rId29"/>
    <sheet name="8. stab tv" sheetId="32" state="hidden" r:id="rId30"/>
    <sheet name="9. Uniós tám" sheetId="33" state="hidden" r:id="rId31"/>
    <sheet name="10. címrend" sheetId="34" state="hidden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  <externalReference r:id="rId42"/>
  </externalReferences>
  <definedNames>
    <definedName name="_1999._Évi_felhalmozási_és_felújítási_kiadások">"$#HIV!.$A$29:$E$29"</definedName>
    <definedName name="_xlnm._FilterDatabase" localSheetId="4" hidden="1">'1C Bev kiad fel'!$A$4:$F$93</definedName>
    <definedName name="_xlnm._FilterDatabase" localSheetId="7" hidden="1">'2C Önk bev kiad fel'!$A$5:$T$202</definedName>
    <definedName name="_xlnm._FilterDatabase" localSheetId="12" hidden="1">'3B PH fel'!$A$5:$V$34</definedName>
    <definedName name="_xlnm._FilterDatabase" localSheetId="23" hidden="1">'5 GSZNR fel'!$A$6:$T$186</definedName>
    <definedName name="_xlnm._FilterDatabase" localSheetId="28" hidden="1">'7. '!$A$3:$F$38</definedName>
    <definedName name="_xlnm._FilterDatabase" localSheetId="27" hidden="1">'7. projektek'!$A$4:$M$128</definedName>
    <definedName name="_xlnm._FilterDatabase" localSheetId="25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7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 Walla'!$A:$B,'4A Walla'!$1:$4</definedName>
    <definedName name="_xlnm.Print_Titles" localSheetId="14">'4B Nyitnikék'!$A:$B,'4B Nyitnikék'!$1:$4</definedName>
    <definedName name="_xlnm.Print_Titles" localSheetId="15">'4C Bóbita'!$A:$B,'4C Bóbita'!$1:$4</definedName>
    <definedName name="_xlnm.Print_Titles" localSheetId="16">'4D MMMH'!$A:$B,'4D MMMH'!$1:$4</definedName>
    <definedName name="_xlnm.Print_Titles" localSheetId="17">'4E Könyvtár'!$A:$B,'4E Könyvtár'!$1:$4</definedName>
    <definedName name="_xlnm.Print_Titles" localSheetId="18">'4F Segítő Kéz'!$A:$B,'4F Segítő Kéz'!$1:$4</definedName>
    <definedName name="_xlnm.Print_Titles" localSheetId="19">'4G Szérüskert'!$A:$B,'4G Szérüskert'!$1:$4</definedName>
    <definedName name="_xlnm.Print_Titles" localSheetId="21">'4H VG bev kiad'!$A:$B,'4H VG bev kiad'!$2:$4</definedName>
    <definedName name="_xlnm.Print_Titles" localSheetId="23">'5 GSZNR fel'!$A:$B,'5 GSZNR fel'!$1:$5</definedName>
    <definedName name="_xlnm.Print_Titles" localSheetId="25">Beruházás!$4:$4</definedName>
    <definedName name="_xlnm.Print_Titles" localSheetId="22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'0.Mérleg'!$A$1:$L$25</definedName>
    <definedName name="_xlnm.Print_Area" localSheetId="31">'10. címrend'!$A$1:$C$16</definedName>
    <definedName name="_xlnm.Print_Area" localSheetId="2">'1A. Fő bev'!$A$1:$Z$60</definedName>
    <definedName name="_xlnm.Print_Area" localSheetId="3">'1B. Fő kiad'!$B$1:$Z$35</definedName>
    <definedName name="_xlnm.Print_Area" localSheetId="4">'1C Bev kiad fel'!$A$1:$Z$92</definedName>
    <definedName name="_xlnm.Print_Area" localSheetId="5">'2A Önk bev'!$A$1:$Z$108</definedName>
    <definedName name="_xlnm.Print_Area" localSheetId="6">'2B Önk kiad'!$A$1:$Z$44</definedName>
    <definedName name="_xlnm.Print_Area" localSheetId="7">'2C Önk bev kiad fel'!$A$1:$T$202</definedName>
    <definedName name="_xlnm.Print_Area" localSheetId="8">'2D Céltartalék'!$A$1:$G$34</definedName>
    <definedName name="_xlnm.Print_Area" localSheetId="9">'2E VÉA'!$A$1:$F$33</definedName>
    <definedName name="_xlnm.Print_Area" localSheetId="10">'2F KVA'!$A$1:$J$35</definedName>
    <definedName name="_xlnm.Print_Area" localSheetId="11">'3A PH'!$A$1:$Z$49</definedName>
    <definedName name="_xlnm.Print_Area" localSheetId="12">'3B PH fel'!$A$1:$Z$34</definedName>
    <definedName name="_xlnm.Print_Area" localSheetId="13">'4A Walla'!$A$1:$T$46</definedName>
    <definedName name="_xlnm.Print_Area" localSheetId="14">'4B Nyitnikék'!$A$1:$T$46</definedName>
    <definedName name="_xlnm.Print_Area" localSheetId="15">'4C Bóbita'!$A$1:$T$46</definedName>
    <definedName name="_xlnm.Print_Area" localSheetId="16">'4D MMMH'!$A$1:$T$46</definedName>
    <definedName name="_xlnm.Print_Area" localSheetId="17">'4E Könyvtár'!$A$1:$T$46</definedName>
    <definedName name="_xlnm.Print_Area" localSheetId="18">'4F Segítő Kéz'!$A$1:$T$46</definedName>
    <definedName name="_xlnm.Print_Area" localSheetId="19">'4G Szérüskert'!$A$1:$T$46</definedName>
    <definedName name="_xlnm.Print_Area" localSheetId="21">'4H VG bev kiad'!$A$1:$T$46</definedName>
    <definedName name="_xlnm.Print_Area" localSheetId="23">'5 GSZNR fel'!$A$1:$T$186</definedName>
    <definedName name="_xlnm.Print_Area" localSheetId="24">'6. létszámkeret'!$A$1:$I$19</definedName>
    <definedName name="_xlnm.Print_Area" localSheetId="28">'7. '!$A$1:$E$117</definedName>
    <definedName name="_xlnm.Print_Area" localSheetId="27">'7. projektek'!$A$1:$M$128</definedName>
    <definedName name="_xlnm.Print_Area" localSheetId="29">'8. stab tv'!$A$1:$C$32</definedName>
    <definedName name="_xlnm.Print_Area" localSheetId="25">Beruházás!$A$1:$L$119</definedName>
    <definedName name="_xlnm.Print_Area" localSheetId="26">Felújítás!$A$1:$L$49</definedName>
    <definedName name="Print_Titles_1" localSheetId="31">[1]Bóbita!$A:$B,[1]Bóbita!$1:$1</definedName>
    <definedName name="Print_Titles_1" localSheetId="4">[2]Bóbita!$A:$B,[2]Bóbita!$1:$1</definedName>
    <definedName name="Print_Titles_1" localSheetId="24">[1]Bóbita!$A:$B,[1]Bóbita!$1:$1</definedName>
    <definedName name="Print_Titles_1" localSheetId="29">[1]Bóbita!$A:$B,[1]Bóbita!$1:$1</definedName>
    <definedName name="Print_Titles_1" localSheetId="30">[1]Bóbita!$A:$B,[1]Bóbita!$1:$1</definedName>
    <definedName name="Print_Titles_1">[3]Bóbita!$A:$B,[3]Bóbita!$1:$1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2" i="10" l="1"/>
  <c r="W101" i="10"/>
  <c r="Z41" i="30"/>
  <c r="T153" i="25"/>
  <c r="Z16" i="30" l="1"/>
  <c r="T155" i="25"/>
  <c r="T46" i="25"/>
  <c r="T56" i="25"/>
  <c r="T10" i="25"/>
  <c r="X16" i="23"/>
  <c r="X29" i="23"/>
  <c r="L55" i="39"/>
  <c r="K55" i="39"/>
  <c r="K69" i="39"/>
  <c r="I69" i="39"/>
  <c r="L54" i="39"/>
  <c r="K54" i="39"/>
  <c r="M39" i="39"/>
  <c r="M54" i="39"/>
  <c r="L56" i="39"/>
  <c r="K56" i="39"/>
  <c r="G4" i="29"/>
  <c r="G3" i="29"/>
  <c r="T140" i="25"/>
  <c r="G6" i="29"/>
  <c r="L126" i="39" l="1"/>
  <c r="K19" i="39"/>
  <c r="L29" i="39"/>
  <c r="K29" i="39"/>
  <c r="I54" i="39"/>
  <c r="I53" i="39"/>
  <c r="I52" i="39"/>
  <c r="I49" i="39"/>
  <c r="I48" i="39"/>
  <c r="I47" i="39"/>
  <c r="I46" i="39"/>
  <c r="I44" i="39"/>
  <c r="I43" i="39"/>
  <c r="I42" i="39"/>
  <c r="I41" i="39"/>
  <c r="I40" i="39"/>
  <c r="I39" i="39"/>
  <c r="I38" i="39"/>
  <c r="I37" i="39"/>
  <c r="I36" i="39"/>
  <c r="I35" i="39"/>
  <c r="I30" i="39"/>
  <c r="T54" i="25"/>
  <c r="M22" i="39"/>
  <c r="K89" i="39"/>
  <c r="M50" i="39"/>
  <c r="L94" i="39"/>
  <c r="M45" i="39"/>
  <c r="M75" i="39"/>
  <c r="L11" i="39"/>
  <c r="L61" i="39"/>
  <c r="L50" i="39"/>
  <c r="I50" i="39" s="1"/>
  <c r="I45" i="39" l="1"/>
  <c r="K84" i="39"/>
  <c r="M84" i="39"/>
  <c r="K86" i="39"/>
  <c r="M86" i="39"/>
  <c r="M14" i="39"/>
  <c r="I9" i="39" l="1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31" i="39"/>
  <c r="I32" i="39"/>
  <c r="I33" i="39"/>
  <c r="I34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72" i="39"/>
  <c r="I73" i="39"/>
  <c r="I74" i="39"/>
  <c r="I75" i="39"/>
  <c r="I76" i="39"/>
  <c r="I77" i="39"/>
  <c r="I78" i="39"/>
  <c r="I79" i="39"/>
  <c r="I80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8" i="39"/>
  <c r="I99" i="39"/>
  <c r="I101" i="39"/>
  <c r="I102" i="39"/>
  <c r="I103" i="39"/>
  <c r="I104" i="39"/>
  <c r="I105" i="39"/>
  <c r="I106" i="39"/>
  <c r="I107" i="39"/>
  <c r="I108" i="39"/>
  <c r="I109" i="39"/>
  <c r="I110" i="39"/>
  <c r="I111" i="39"/>
  <c r="I112" i="39"/>
  <c r="I113" i="39"/>
  <c r="I114" i="39"/>
  <c r="I115" i="39"/>
  <c r="I117" i="39"/>
  <c r="I118" i="39"/>
  <c r="I119" i="39"/>
  <c r="I120" i="39"/>
  <c r="I121" i="39"/>
  <c r="I122" i="39"/>
  <c r="I123" i="39"/>
  <c r="I125" i="39"/>
  <c r="I126" i="39"/>
  <c r="I127" i="39"/>
  <c r="I5" i="39"/>
  <c r="M19" i="39"/>
  <c r="M8" i="39"/>
  <c r="I8" i="39" s="1"/>
  <c r="L71" i="39"/>
  <c r="I71" i="39" s="1"/>
  <c r="M116" i="39"/>
  <c r="L116" i="39"/>
  <c r="K116" i="39"/>
  <c r="I116" i="39" s="1"/>
  <c r="M100" i="39"/>
  <c r="L100" i="39"/>
  <c r="K100" i="39"/>
  <c r="I100" i="39" s="1"/>
  <c r="M97" i="39"/>
  <c r="I97" i="39" s="1"/>
  <c r="L97" i="39"/>
  <c r="K97" i="39"/>
  <c r="M81" i="39"/>
  <c r="L81" i="39"/>
  <c r="K81" i="39"/>
  <c r="M70" i="39"/>
  <c r="L70" i="39"/>
  <c r="K70" i="39"/>
  <c r="M55" i="39"/>
  <c r="M51" i="39"/>
  <c r="T17" i="25"/>
  <c r="Q214" i="25"/>
  <c r="Q213" i="25"/>
  <c r="Q212" i="25"/>
  <c r="Q211" i="25"/>
  <c r="Q210" i="25"/>
  <c r="Q209" i="25"/>
  <c r="Q207" i="25"/>
  <c r="Q206" i="25"/>
  <c r="Q205" i="25"/>
  <c r="Q204" i="25"/>
  <c r="L4" i="39"/>
  <c r="I51" i="39" l="1"/>
  <c r="I29" i="39" s="1"/>
  <c r="M29" i="39"/>
  <c r="I70" i="39"/>
  <c r="I55" i="39"/>
  <c r="I81" i="39"/>
  <c r="L124" i="39"/>
  <c r="T60" i="3"/>
  <c r="G7" i="29"/>
  <c r="T55" i="25"/>
  <c r="T200" i="25"/>
  <c r="W103" i="10"/>
  <c r="T164" i="25" l="1"/>
  <c r="T163" i="25"/>
  <c r="T162" i="25"/>
  <c r="T59" i="25"/>
  <c r="T165" i="25"/>
  <c r="T67" i="25"/>
  <c r="T147" i="25"/>
  <c r="T148" i="25"/>
  <c r="T127" i="25"/>
  <c r="T128" i="25"/>
  <c r="T105" i="25"/>
  <c r="T108" i="25"/>
  <c r="T85" i="25"/>
  <c r="T86" i="25"/>
  <c r="I4" i="39"/>
  <c r="T61" i="25"/>
  <c r="T38" i="25"/>
  <c r="T37" i="25"/>
  <c r="T14" i="25"/>
  <c r="T9" i="25"/>
  <c r="T184" i="25"/>
  <c r="W11" i="10"/>
  <c r="W10" i="10"/>
  <c r="W8" i="10"/>
  <c r="T38" i="3" l="1"/>
  <c r="T37" i="3"/>
  <c r="T195" i="3"/>
  <c r="T193" i="3"/>
  <c r="T197" i="3"/>
  <c r="T194" i="3"/>
  <c r="T170" i="3"/>
  <c r="T168" i="3"/>
  <c r="T199" i="3" l="1"/>
  <c r="T121" i="3"/>
  <c r="T99" i="3"/>
  <c r="T96" i="3"/>
  <c r="T95" i="3"/>
  <c r="T80" i="3"/>
  <c r="T41" i="3"/>
  <c r="T39" i="3"/>
  <c r="T27" i="3"/>
  <c r="T8" i="3"/>
  <c r="T7" i="3" s="1"/>
  <c r="T6" i="3" s="1"/>
  <c r="T11" i="3"/>
  <c r="Z9" i="21"/>
  <c r="Z15" i="21" l="1"/>
  <c r="Z12" i="21" s="1"/>
  <c r="Z14" i="21"/>
  <c r="Z13" i="21"/>
  <c r="Z7" i="21"/>
  <c r="Z11" i="21"/>
  <c r="Z8" i="21"/>
  <c r="W53" i="11" l="1"/>
  <c r="T7" i="25"/>
  <c r="W10" i="23"/>
  <c r="T214" i="25"/>
  <c r="T213" i="25"/>
  <c r="T212" i="25"/>
  <c r="T211" i="25"/>
  <c r="T210" i="25"/>
  <c r="T209" i="25"/>
  <c r="T207" i="25"/>
  <c r="T206" i="25"/>
  <c r="T205" i="25"/>
  <c r="T204" i="25"/>
  <c r="T69" i="25" l="1"/>
  <c r="T139" i="25" l="1"/>
  <c r="T154" i="25"/>
  <c r="T182" i="25"/>
  <c r="T36" i="25"/>
  <c r="G12" i="29"/>
  <c r="T183" i="25"/>
  <c r="T97" i="3"/>
  <c r="T81" i="3"/>
  <c r="T84" i="3"/>
  <c r="T152" i="25" l="1"/>
  <c r="T25" i="3"/>
  <c r="M4" i="39"/>
  <c r="M124" i="39" s="1"/>
  <c r="K4" i="39"/>
  <c r="K124" i="39" s="1"/>
  <c r="G126" i="39"/>
  <c r="I124" i="39" l="1"/>
  <c r="M128" i="39"/>
  <c r="K128" i="39"/>
  <c r="Z59" i="11"/>
  <c r="Z58" i="11"/>
  <c r="Y57" i="11"/>
  <c r="X57" i="11"/>
  <c r="W57" i="11"/>
  <c r="Z57" i="11" s="1"/>
  <c r="Y56" i="11"/>
  <c r="X56" i="11"/>
  <c r="W56" i="11"/>
  <c r="Z56" i="11" s="1"/>
  <c r="Z55" i="11"/>
  <c r="Y54" i="11"/>
  <c r="Z53" i="11"/>
  <c r="Z52" i="11"/>
  <c r="Z51" i="11"/>
  <c r="Z50" i="11"/>
  <c r="Y49" i="11"/>
  <c r="X49" i="11"/>
  <c r="W49" i="11"/>
  <c r="Z49" i="11" s="1"/>
  <c r="Y48" i="11"/>
  <c r="X48" i="11"/>
  <c r="W48" i="11"/>
  <c r="Z48" i="11" s="1"/>
  <c r="Y47" i="11"/>
  <c r="Y46" i="11"/>
  <c r="Y43" i="11"/>
  <c r="X43" i="11"/>
  <c r="W43" i="11"/>
  <c r="Z43" i="11" s="1"/>
  <c r="Y42" i="11"/>
  <c r="X42" i="11"/>
  <c r="W42" i="11"/>
  <c r="Z42" i="11" s="1"/>
  <c r="Y41" i="11"/>
  <c r="X41" i="11"/>
  <c r="W41" i="11"/>
  <c r="Z41" i="11" s="1"/>
  <c r="Y40" i="11"/>
  <c r="X40" i="11"/>
  <c r="W40" i="11"/>
  <c r="Z40" i="11" s="1"/>
  <c r="Y39" i="11"/>
  <c r="X39" i="11"/>
  <c r="W39" i="11"/>
  <c r="Z39" i="11" s="1"/>
  <c r="Y38" i="11"/>
  <c r="X38" i="11"/>
  <c r="W38" i="11"/>
  <c r="Z38" i="11" s="1"/>
  <c r="Y37" i="11"/>
  <c r="X37" i="11"/>
  <c r="W37" i="11"/>
  <c r="Z37" i="11" s="1"/>
  <c r="Y36" i="11"/>
  <c r="X36" i="11"/>
  <c r="W36" i="11"/>
  <c r="Z36" i="11" s="1"/>
  <c r="Y35" i="11"/>
  <c r="X35" i="11"/>
  <c r="W35" i="11"/>
  <c r="Z35" i="11" s="1"/>
  <c r="Y34" i="11"/>
  <c r="X34" i="11"/>
  <c r="W34" i="11"/>
  <c r="Z34" i="11" s="1"/>
  <c r="Y33" i="11"/>
  <c r="X33" i="11"/>
  <c r="W33" i="11"/>
  <c r="Z33" i="11" s="1"/>
  <c r="Y32" i="11"/>
  <c r="X32" i="11"/>
  <c r="W32" i="11"/>
  <c r="Z32" i="11" s="1"/>
  <c r="Y31" i="11"/>
  <c r="X31" i="11"/>
  <c r="W31" i="11"/>
  <c r="Z31" i="11" s="1"/>
  <c r="Y30" i="11"/>
  <c r="X30" i="11"/>
  <c r="W30" i="11"/>
  <c r="Z30" i="11" s="1"/>
  <c r="Y29" i="11"/>
  <c r="X29" i="11"/>
  <c r="W29" i="11"/>
  <c r="Z29" i="11" s="1"/>
  <c r="Y28" i="11"/>
  <c r="X28" i="11"/>
  <c r="W28" i="11"/>
  <c r="Z28" i="11" s="1"/>
  <c r="Y27" i="11"/>
  <c r="X27" i="11"/>
  <c r="W27" i="11"/>
  <c r="Z27" i="11" s="1"/>
  <c r="Y26" i="11"/>
  <c r="X26" i="11"/>
  <c r="W26" i="11"/>
  <c r="Z26" i="11" s="1"/>
  <c r="Y25" i="11"/>
  <c r="X25" i="11"/>
  <c r="W25" i="11"/>
  <c r="Z25" i="11" s="1"/>
  <c r="Y24" i="11"/>
  <c r="X24" i="11"/>
  <c r="W24" i="11"/>
  <c r="Z24" i="11" s="1"/>
  <c r="Y23" i="11"/>
  <c r="X23" i="11"/>
  <c r="W23" i="11"/>
  <c r="Z23" i="11" s="1"/>
  <c r="Y22" i="11"/>
  <c r="X22" i="11"/>
  <c r="W22" i="11"/>
  <c r="Z22" i="11" s="1"/>
  <c r="Y21" i="11"/>
  <c r="X21" i="11"/>
  <c r="W21" i="11"/>
  <c r="Z21" i="11" s="1"/>
  <c r="Y20" i="11"/>
  <c r="X20" i="11"/>
  <c r="W20" i="11"/>
  <c r="Z20" i="11" s="1"/>
  <c r="Y19" i="11"/>
  <c r="X19" i="11"/>
  <c r="X17" i="11" s="1"/>
  <c r="W19" i="11"/>
  <c r="Z19" i="11" s="1"/>
  <c r="Y18" i="11"/>
  <c r="X18" i="11"/>
  <c r="W18" i="11"/>
  <c r="Z18" i="11" s="1"/>
  <c r="Y17" i="11"/>
  <c r="W17" i="11"/>
  <c r="Z17" i="11" s="1"/>
  <c r="Y16" i="11"/>
  <c r="X16" i="11"/>
  <c r="W16" i="11"/>
  <c r="Z16" i="11" s="1"/>
  <c r="Y15" i="11"/>
  <c r="X15" i="11"/>
  <c r="X14" i="11" s="1"/>
  <c r="W15" i="11"/>
  <c r="Z15" i="11" s="1"/>
  <c r="Y14" i="11"/>
  <c r="W14" i="11"/>
  <c r="Z14" i="11" s="1"/>
  <c r="Y13" i="11"/>
  <c r="X13" i="11"/>
  <c r="W13" i="11"/>
  <c r="Z13" i="11" s="1"/>
  <c r="Y12" i="11"/>
  <c r="X12" i="11"/>
  <c r="W12" i="11"/>
  <c r="Z12" i="11" s="1"/>
  <c r="Y11" i="11"/>
  <c r="Y10" i="11" s="1"/>
  <c r="X11" i="11"/>
  <c r="X10" i="11" s="1"/>
  <c r="W11" i="11"/>
  <c r="W10" i="11" s="1"/>
  <c r="Y9" i="11"/>
  <c r="X9" i="11"/>
  <c r="W9" i="11"/>
  <c r="Z9" i="11" s="1"/>
  <c r="Y8" i="11"/>
  <c r="X8" i="11"/>
  <c r="W8" i="11"/>
  <c r="Z8" i="11" s="1"/>
  <c r="Y7" i="11"/>
  <c r="X7" i="11"/>
  <c r="W7" i="11"/>
  <c r="Z7" i="11" s="1"/>
  <c r="Y6" i="11"/>
  <c r="Y5" i="11" s="1"/>
  <c r="Y4" i="11" s="1"/>
  <c r="Y45" i="11" s="1"/>
  <c r="X6" i="11"/>
  <c r="X5" i="11"/>
  <c r="X4" i="11" s="1"/>
  <c r="X45" i="11" s="1"/>
  <c r="Y34" i="24"/>
  <c r="X34" i="24"/>
  <c r="W34" i="24"/>
  <c r="Z34" i="24" s="1"/>
  <c r="Y33" i="24"/>
  <c r="X33" i="24"/>
  <c r="W33" i="24"/>
  <c r="Z33" i="24" s="1"/>
  <c r="Y32" i="24"/>
  <c r="X32" i="24"/>
  <c r="W32" i="24"/>
  <c r="Z32" i="24" s="1"/>
  <c r="Y31" i="24"/>
  <c r="X31" i="24"/>
  <c r="W31" i="24"/>
  <c r="Z31" i="24" s="1"/>
  <c r="X30" i="24"/>
  <c r="W30" i="24"/>
  <c r="X29" i="24"/>
  <c r="W29" i="24"/>
  <c r="Y28" i="24"/>
  <c r="X28" i="24"/>
  <c r="W28" i="24"/>
  <c r="Z28" i="24" s="1"/>
  <c r="Y27" i="24"/>
  <c r="X27" i="24"/>
  <c r="X26" i="24"/>
  <c r="X25" i="24"/>
  <c r="Z23" i="24"/>
  <c r="Z22" i="24"/>
  <c r="Z21" i="24"/>
  <c r="Z20" i="24"/>
  <c r="Z19" i="24"/>
  <c r="Y18" i="24"/>
  <c r="Y17" i="24"/>
  <c r="Y16" i="24"/>
  <c r="Y15" i="24"/>
  <c r="Z14" i="24"/>
  <c r="Z13" i="24"/>
  <c r="Z12" i="24"/>
  <c r="Z11" i="24"/>
  <c r="Z10" i="24"/>
  <c r="Y8" i="24"/>
  <c r="Y7" i="24"/>
  <c r="Y6" i="24"/>
  <c r="Y5" i="24"/>
  <c r="Z92" i="30"/>
  <c r="Z91" i="30"/>
  <c r="Z90" i="30"/>
  <c r="Z81" i="30"/>
  <c r="Z80" i="30"/>
  <c r="Z77" i="30"/>
  <c r="Z76" i="30"/>
  <c r="Z75" i="30"/>
  <c r="Z72" i="30"/>
  <c r="Z71" i="30"/>
  <c r="Z70" i="30"/>
  <c r="Z69" i="30"/>
  <c r="Z68" i="30"/>
  <c r="Z67" i="30"/>
  <c r="Z66" i="30"/>
  <c r="Z64" i="30"/>
  <c r="Z63" i="30"/>
  <c r="Z62" i="30"/>
  <c r="Z61" i="30"/>
  <c r="Z59" i="30"/>
  <c r="Z58" i="30"/>
  <c r="Z57" i="30"/>
  <c r="Z56" i="30"/>
  <c r="Z55" i="30"/>
  <c r="Z54" i="30"/>
  <c r="Z53" i="30"/>
  <c r="Z52" i="30"/>
  <c r="Z51" i="30"/>
  <c r="Z50" i="30"/>
  <c r="Z47" i="30"/>
  <c r="Z46" i="30"/>
  <c r="Z45" i="30"/>
  <c r="Z44" i="30"/>
  <c r="Z43" i="30"/>
  <c r="Z42" i="30"/>
  <c r="Z24" i="30"/>
  <c r="Z21" i="30"/>
  <c r="Z19" i="30"/>
  <c r="Z18" i="30"/>
  <c r="Z15" i="30"/>
  <c r="Z14" i="30"/>
  <c r="Z13" i="30"/>
  <c r="Z11" i="30"/>
  <c r="Z10" i="30"/>
  <c r="Z9" i="30"/>
  <c r="Z8" i="30"/>
  <c r="Z7" i="30"/>
  <c r="Z6" i="30"/>
  <c r="Z88" i="30"/>
  <c r="Z87" i="30"/>
  <c r="Z86" i="30"/>
  <c r="Z82" i="30"/>
  <c r="Z74" i="30"/>
  <c r="W41" i="30"/>
  <c r="W16" i="30"/>
  <c r="Z12" i="30"/>
  <c r="W5" i="30"/>
  <c r="W4" i="30" s="1"/>
  <c r="Z107" i="10"/>
  <c r="Z106" i="10"/>
  <c r="Y105" i="10"/>
  <c r="X105" i="10"/>
  <c r="W105" i="10"/>
  <c r="Z105" i="10" s="1"/>
  <c r="Z103" i="10"/>
  <c r="Z102" i="10"/>
  <c r="Z101" i="10"/>
  <c r="Y100" i="10"/>
  <c r="X100" i="10"/>
  <c r="W100" i="10"/>
  <c r="Z99" i="10"/>
  <c r="Z98" i="10"/>
  <c r="Z97" i="10"/>
  <c r="Z96" i="10"/>
  <c r="Z95" i="10"/>
  <c r="Z94" i="10" s="1"/>
  <c r="Y94" i="10"/>
  <c r="Y93" i="10" s="1"/>
  <c r="Y92" i="10" s="1"/>
  <c r="X94" i="10"/>
  <c r="X93" i="10" s="1"/>
  <c r="X92" i="10" s="1"/>
  <c r="W94" i="10"/>
  <c r="Z88" i="10"/>
  <c r="Z87" i="10"/>
  <c r="Z86" i="10"/>
  <c r="Z85" i="10"/>
  <c r="W85" i="10"/>
  <c r="W84" i="10"/>
  <c r="W82" i="10" s="1"/>
  <c r="Z82" i="10" s="1"/>
  <c r="Z83" i="10"/>
  <c r="Y82" i="10"/>
  <c r="X82" i="10"/>
  <c r="Z81" i="10"/>
  <c r="Z80" i="10"/>
  <c r="Z79" i="10"/>
  <c r="Y78" i="10"/>
  <c r="W78" i="10"/>
  <c r="Z78" i="10" s="1"/>
  <c r="Z77" i="10"/>
  <c r="Z76" i="10"/>
  <c r="Y75" i="10"/>
  <c r="Y62" i="10" s="1"/>
  <c r="X75" i="10"/>
  <c r="Z74" i="10"/>
  <c r="Z73" i="10"/>
  <c r="Z72" i="10"/>
  <c r="W72" i="10"/>
  <c r="Z71" i="10"/>
  <c r="Z70" i="10"/>
  <c r="Z69" i="10"/>
  <c r="Y69" i="10"/>
  <c r="X69" i="10"/>
  <c r="W69" i="10"/>
  <c r="Z68" i="10"/>
  <c r="Y67" i="10"/>
  <c r="X67" i="10"/>
  <c r="X62" i="10" s="1"/>
  <c r="W67" i="10"/>
  <c r="Z67" i="10" s="1"/>
  <c r="Z66" i="10"/>
  <c r="Z65" i="10"/>
  <c r="Z64" i="10"/>
  <c r="Z63" i="10"/>
  <c r="Y63" i="10"/>
  <c r="X63" i="10"/>
  <c r="W63" i="10"/>
  <c r="Z60" i="10"/>
  <c r="Z57" i="10" s="1"/>
  <c r="Z59" i="10"/>
  <c r="Z58" i="10"/>
  <c r="X57" i="10"/>
  <c r="X55" i="10" s="1"/>
  <c r="Z56" i="10"/>
  <c r="Y55" i="10"/>
  <c r="W55" i="10"/>
  <c r="Z54" i="10"/>
  <c r="Z53" i="10"/>
  <c r="Z52" i="10"/>
  <c r="Y51" i="10"/>
  <c r="X51" i="10"/>
  <c r="W51" i="10"/>
  <c r="Z51" i="10" s="1"/>
  <c r="Z50" i="10"/>
  <c r="Z49" i="10"/>
  <c r="Z48" i="10"/>
  <c r="Z47" i="10"/>
  <c r="Y46" i="10"/>
  <c r="X46" i="10"/>
  <c r="X41" i="10" s="1"/>
  <c r="W46" i="10"/>
  <c r="Z46" i="10" s="1"/>
  <c r="Z45" i="10"/>
  <c r="Z44" i="10"/>
  <c r="Y43" i="10"/>
  <c r="Y41" i="10" s="1"/>
  <c r="X43" i="10"/>
  <c r="W43" i="10"/>
  <c r="Z42" i="10"/>
  <c r="Z40" i="10"/>
  <c r="Z39" i="10"/>
  <c r="Z38" i="10"/>
  <c r="W37" i="10"/>
  <c r="W36" i="10" s="1"/>
  <c r="Z36" i="10" s="1"/>
  <c r="Y36" i="10"/>
  <c r="X36" i="10"/>
  <c r="X25" i="10" s="1"/>
  <c r="Z35" i="10"/>
  <c r="Z34" i="10"/>
  <c r="Z33" i="10"/>
  <c r="Z32" i="10"/>
  <c r="Y32" i="10"/>
  <c r="X32" i="10"/>
  <c r="W32" i="10"/>
  <c r="Z31" i="10"/>
  <c r="W30" i="10"/>
  <c r="Z30" i="10" s="1"/>
  <c r="Y29" i="10"/>
  <c r="Z29" i="10" s="1"/>
  <c r="X29" i="10"/>
  <c r="W29" i="10"/>
  <c r="W28" i="10"/>
  <c r="Z28" i="10" s="1"/>
  <c r="Z27" i="10"/>
  <c r="W27" i="10"/>
  <c r="Y26" i="10"/>
  <c r="Y25" i="10" s="1"/>
  <c r="X26" i="10"/>
  <c r="Z24" i="10"/>
  <c r="Z23" i="10"/>
  <c r="Z22" i="10"/>
  <c r="Z21" i="10"/>
  <c r="Y20" i="10"/>
  <c r="Z20" i="10" s="1"/>
  <c r="Z19" i="10"/>
  <c r="X18" i="10"/>
  <c r="W18" i="10"/>
  <c r="Z17" i="10"/>
  <c r="Z16" i="10"/>
  <c r="Z14" i="10"/>
  <c r="Z13" i="10"/>
  <c r="Z12" i="10"/>
  <c r="Z11" i="10"/>
  <c r="Z10" i="10"/>
  <c r="W9" i="10"/>
  <c r="W7" i="10" s="1"/>
  <c r="W6" i="11" s="1"/>
  <c r="Z8" i="10"/>
  <c r="Y7" i="10"/>
  <c r="X7" i="10"/>
  <c r="X6" i="10" s="1"/>
  <c r="X5" i="10" s="1"/>
  <c r="X91" i="10" s="1"/>
  <c r="Y37" i="23"/>
  <c r="Y29" i="24" s="1"/>
  <c r="W34" i="23"/>
  <c r="Z34" i="23" s="1"/>
  <c r="W29" i="23"/>
  <c r="Z29" i="23" s="1"/>
  <c r="X23" i="23"/>
  <c r="X17" i="24" s="1"/>
  <c r="W23" i="23"/>
  <c r="X22" i="23"/>
  <c r="W22" i="23"/>
  <c r="W20" i="23"/>
  <c r="Z20" i="23" s="1"/>
  <c r="W18" i="23"/>
  <c r="Z18" i="23" s="1"/>
  <c r="Z16" i="23"/>
  <c r="X15" i="23"/>
  <c r="Z15" i="23" s="1"/>
  <c r="W13" i="23"/>
  <c r="X11" i="23"/>
  <c r="W11" i="23"/>
  <c r="W8" i="24" s="1"/>
  <c r="X10" i="23"/>
  <c r="W9" i="23"/>
  <c r="X9" i="23"/>
  <c r="X8" i="23"/>
  <c r="W8" i="23"/>
  <c r="Z43" i="23"/>
  <c r="Z42" i="23"/>
  <c r="Y41" i="23"/>
  <c r="Z41" i="23" s="1"/>
  <c r="X41" i="23"/>
  <c r="W41" i="23"/>
  <c r="Z40" i="23"/>
  <c r="Y39" i="23"/>
  <c r="Z39" i="23" s="1"/>
  <c r="Z36" i="23"/>
  <c r="Z35" i="23"/>
  <c r="X32" i="23"/>
  <c r="X31" i="23"/>
  <c r="Z28" i="23"/>
  <c r="Z27" i="23"/>
  <c r="Z26" i="23"/>
  <c r="Z25" i="23"/>
  <c r="Y24" i="23"/>
  <c r="Y21" i="23" s="1"/>
  <c r="X24" i="23"/>
  <c r="Y20" i="23"/>
  <c r="X20" i="23"/>
  <c r="X17" i="23" s="1"/>
  <c r="Y19" i="23"/>
  <c r="Y17" i="23" s="1"/>
  <c r="Z14" i="23"/>
  <c r="Z6" i="23"/>
  <c r="Z5" i="23"/>
  <c r="Y12" i="23" l="1"/>
  <c r="Y9" i="24" s="1"/>
  <c r="Y4" i="24" s="1"/>
  <c r="Y24" i="24" s="1"/>
  <c r="Z100" i="10"/>
  <c r="W54" i="11"/>
  <c r="W47" i="11" s="1"/>
  <c r="L128" i="39"/>
  <c r="I128" i="39" s="1"/>
  <c r="Z6" i="11"/>
  <c r="W5" i="11"/>
  <c r="Z5" i="11" s="1"/>
  <c r="Z37" i="23"/>
  <c r="Y30" i="24"/>
  <c r="Z30" i="24" s="1"/>
  <c r="Y26" i="24"/>
  <c r="Y25" i="24" s="1"/>
  <c r="Y35" i="24" s="1"/>
  <c r="Z89" i="30"/>
  <c r="Z11" i="23"/>
  <c r="X8" i="24"/>
  <c r="Z8" i="24" s="1"/>
  <c r="Z29" i="24"/>
  <c r="Y60" i="11"/>
  <c r="Z10" i="11"/>
  <c r="Z11" i="11"/>
  <c r="W6" i="10"/>
  <c r="Z7" i="10"/>
  <c r="Z18" i="10"/>
  <c r="Y6" i="10"/>
  <c r="Y5" i="10" s="1"/>
  <c r="Y91" i="10" s="1"/>
  <c r="X108" i="10"/>
  <c r="Z55" i="10"/>
  <c r="Y18" i="10"/>
  <c r="Z37" i="10"/>
  <c r="W26" i="10"/>
  <c r="Z9" i="10"/>
  <c r="W41" i="10"/>
  <c r="Z41" i="10" s="1"/>
  <c r="Z43" i="10"/>
  <c r="Z84" i="10"/>
  <c r="W75" i="10"/>
  <c r="Z75" i="10" s="1"/>
  <c r="W93" i="10"/>
  <c r="X12" i="23"/>
  <c r="Z13" i="23"/>
  <c r="Z10" i="23"/>
  <c r="W24" i="23"/>
  <c r="X21" i="23"/>
  <c r="Z23" i="23"/>
  <c r="W33" i="23"/>
  <c r="Z9" i="23"/>
  <c r="Z8" i="23"/>
  <c r="Z22" i="23"/>
  <c r="Z46" i="23"/>
  <c r="T159" i="25"/>
  <c r="T138" i="25"/>
  <c r="T136" i="25" s="1"/>
  <c r="Z65" i="30" s="1"/>
  <c r="T123" i="25"/>
  <c r="Z60" i="30" s="1"/>
  <c r="T91" i="25"/>
  <c r="Z49" i="30" s="1"/>
  <c r="T90" i="25"/>
  <c r="T89" i="25" s="1"/>
  <c r="Z48" i="30" s="1"/>
  <c r="T66" i="25"/>
  <c r="Z25" i="30" s="1"/>
  <c r="T51" i="25"/>
  <c r="Z17" i="30" s="1"/>
  <c r="G26" i="29"/>
  <c r="W19" i="23"/>
  <c r="Z19" i="23" s="1"/>
  <c r="Y48" i="20"/>
  <c r="X48" i="20"/>
  <c r="W48" i="20"/>
  <c r="Z48" i="20" s="1"/>
  <c r="Y47" i="20"/>
  <c r="X47" i="20"/>
  <c r="W47" i="20"/>
  <c r="Z47" i="20" s="1"/>
  <c r="Y46" i="20"/>
  <c r="X46" i="20"/>
  <c r="W46" i="20"/>
  <c r="Y45" i="20"/>
  <c r="X45" i="20"/>
  <c r="Y44" i="20"/>
  <c r="X44" i="20"/>
  <c r="W44" i="20"/>
  <c r="Z44" i="20" s="1"/>
  <c r="Y43" i="20"/>
  <c r="X43" i="20"/>
  <c r="W43" i="20"/>
  <c r="Z43" i="20" s="1"/>
  <c r="Y42" i="20"/>
  <c r="X42" i="20"/>
  <c r="W42" i="20"/>
  <c r="Y41" i="20"/>
  <c r="X41" i="20"/>
  <c r="W41" i="20"/>
  <c r="Y40" i="20"/>
  <c r="X40" i="20"/>
  <c r="W40" i="20"/>
  <c r="Y39" i="20"/>
  <c r="Y49" i="20" s="1"/>
  <c r="X39" i="20"/>
  <c r="X49" i="20" s="1"/>
  <c r="Z36" i="20"/>
  <c r="Z32" i="20"/>
  <c r="Y31" i="20"/>
  <c r="Y25" i="20" s="1"/>
  <c r="X31" i="20"/>
  <c r="W31" i="20"/>
  <c r="Z30" i="20"/>
  <c r="Z29" i="20"/>
  <c r="Y28" i="20"/>
  <c r="X28" i="20"/>
  <c r="W28" i="20"/>
  <c r="Z28" i="20" s="1"/>
  <c r="Z27" i="20"/>
  <c r="Y26" i="20"/>
  <c r="X26" i="20"/>
  <c r="Z26" i="20" s="1"/>
  <c r="W26" i="20"/>
  <c r="Z24" i="20"/>
  <c r="Y23" i="20"/>
  <c r="Z23" i="20" s="1"/>
  <c r="X23" i="20"/>
  <c r="W23" i="20"/>
  <c r="Y22" i="20"/>
  <c r="Z22" i="20" s="1"/>
  <c r="X22" i="20"/>
  <c r="W22" i="20"/>
  <c r="Y21" i="20"/>
  <c r="Z21" i="20" s="1"/>
  <c r="X21" i="20"/>
  <c r="W21" i="20"/>
  <c r="Y20" i="20"/>
  <c r="Y14" i="20" s="1"/>
  <c r="X20" i="20"/>
  <c r="W20" i="20"/>
  <c r="Z19" i="20"/>
  <c r="Z18" i="20"/>
  <c r="Y18" i="20"/>
  <c r="X18" i="20"/>
  <c r="W18" i="20"/>
  <c r="Z17" i="20"/>
  <c r="Y17" i="20"/>
  <c r="X17" i="20"/>
  <c r="W17" i="20"/>
  <c r="Z16" i="20"/>
  <c r="Y15" i="20"/>
  <c r="X15" i="20"/>
  <c r="X14" i="20" s="1"/>
  <c r="X8" i="20" s="1"/>
  <c r="W15" i="20"/>
  <c r="Z15" i="20" s="1"/>
  <c r="Z13" i="20"/>
  <c r="Z12" i="20"/>
  <c r="Y11" i="20"/>
  <c r="Y8" i="20" s="1"/>
  <c r="X11" i="20"/>
  <c r="W11" i="20"/>
  <c r="Z10" i="20"/>
  <c r="Y9" i="20"/>
  <c r="X9" i="20"/>
  <c r="W9" i="20"/>
  <c r="Z9" i="20" s="1"/>
  <c r="Z7" i="20"/>
  <c r="Z6" i="20"/>
  <c r="Z5" i="20"/>
  <c r="Z6" i="21"/>
  <c r="T45" i="2"/>
  <c r="T44" i="2"/>
  <c r="S43" i="2"/>
  <c r="S42" i="2" s="1"/>
  <c r="R43" i="2"/>
  <c r="T43" i="2" s="1"/>
  <c r="S41" i="2"/>
  <c r="R41" i="2"/>
  <c r="T41" i="2" s="1"/>
  <c r="T40" i="2"/>
  <c r="S39" i="2"/>
  <c r="R39" i="2"/>
  <c r="S38" i="2"/>
  <c r="R38" i="2"/>
  <c r="S37" i="2"/>
  <c r="X5" i="24" s="1"/>
  <c r="R37" i="2"/>
  <c r="T33" i="2"/>
  <c r="T29" i="2"/>
  <c r="S28" i="2"/>
  <c r="T28" i="2" s="1"/>
  <c r="R28" i="2"/>
  <c r="T27" i="2"/>
  <c r="T26" i="2"/>
  <c r="S25" i="2"/>
  <c r="R25" i="2"/>
  <c r="T25" i="2" s="1"/>
  <c r="T24" i="2"/>
  <c r="S23" i="2"/>
  <c r="R23" i="2"/>
  <c r="T23" i="2" s="1"/>
  <c r="S22" i="2"/>
  <c r="T21" i="2"/>
  <c r="S20" i="2"/>
  <c r="T20" i="2" s="1"/>
  <c r="R20" i="2"/>
  <c r="T19" i="2"/>
  <c r="T18" i="2"/>
  <c r="T17" i="2"/>
  <c r="T16" i="2"/>
  <c r="T15" i="2"/>
  <c r="T14" i="2"/>
  <c r="T13" i="2"/>
  <c r="T12" i="2"/>
  <c r="T11" i="2"/>
  <c r="S11" i="2"/>
  <c r="R11" i="2"/>
  <c r="T10" i="2"/>
  <c r="T9" i="2"/>
  <c r="S9" i="2"/>
  <c r="R9" i="2"/>
  <c r="S8" i="2"/>
  <c r="S30" i="2" s="1"/>
  <c r="R8" i="2"/>
  <c r="T7" i="2"/>
  <c r="T6" i="2"/>
  <c r="T45" i="5"/>
  <c r="T44" i="5"/>
  <c r="S43" i="5"/>
  <c r="S42" i="5" s="1"/>
  <c r="R43" i="5"/>
  <c r="S41" i="5"/>
  <c r="R41" i="5"/>
  <c r="T41" i="5" s="1"/>
  <c r="T40" i="5"/>
  <c r="S39" i="5"/>
  <c r="R39" i="5"/>
  <c r="S38" i="5"/>
  <c r="R38" i="5"/>
  <c r="S37" i="5"/>
  <c r="R37" i="5"/>
  <c r="T33" i="5"/>
  <c r="T29" i="5"/>
  <c r="S28" i="5"/>
  <c r="R28" i="5"/>
  <c r="T28" i="5" s="1"/>
  <c r="T27" i="5"/>
  <c r="T26" i="5"/>
  <c r="S25" i="5"/>
  <c r="R25" i="5"/>
  <c r="T25" i="5" s="1"/>
  <c r="T24" i="5"/>
  <c r="S23" i="5"/>
  <c r="S22" i="5" s="1"/>
  <c r="S30" i="5" s="1"/>
  <c r="R23" i="5"/>
  <c r="T23" i="5" s="1"/>
  <c r="T21" i="5"/>
  <c r="S20" i="5"/>
  <c r="R20" i="5"/>
  <c r="T20" i="5" s="1"/>
  <c r="T19" i="5"/>
  <c r="T18" i="5"/>
  <c r="T17" i="5"/>
  <c r="T16" i="5"/>
  <c r="T15" i="5"/>
  <c r="T14" i="5"/>
  <c r="T13" i="5"/>
  <c r="T12" i="5"/>
  <c r="T11" i="5"/>
  <c r="S11" i="5"/>
  <c r="R11" i="5"/>
  <c r="T10" i="5"/>
  <c r="T9" i="5"/>
  <c r="S9" i="5"/>
  <c r="R9" i="5"/>
  <c r="S8" i="5"/>
  <c r="R8" i="5"/>
  <c r="T8" i="5" s="1"/>
  <c r="T7" i="5"/>
  <c r="T6" i="5"/>
  <c r="T45" i="7"/>
  <c r="T44" i="7"/>
  <c r="S43" i="7"/>
  <c r="S42" i="7" s="1"/>
  <c r="R43" i="7"/>
  <c r="T43" i="7" s="1"/>
  <c r="S41" i="7"/>
  <c r="R41" i="7"/>
  <c r="T41" i="7" s="1"/>
  <c r="T40" i="7"/>
  <c r="S39" i="7"/>
  <c r="R39" i="7"/>
  <c r="S38" i="7"/>
  <c r="R38" i="7"/>
  <c r="S37" i="7"/>
  <c r="R37" i="7"/>
  <c r="T33" i="7"/>
  <c r="T29" i="7"/>
  <c r="S28" i="7"/>
  <c r="R28" i="7"/>
  <c r="T28" i="7" s="1"/>
  <c r="T27" i="7"/>
  <c r="T26" i="7"/>
  <c r="S25" i="7"/>
  <c r="R25" i="7"/>
  <c r="T25" i="7" s="1"/>
  <c r="T24" i="7"/>
  <c r="S23" i="7"/>
  <c r="R23" i="7"/>
  <c r="T23" i="7" s="1"/>
  <c r="S22" i="7"/>
  <c r="S30" i="7" s="1"/>
  <c r="T21" i="7"/>
  <c r="S20" i="7"/>
  <c r="R20" i="7"/>
  <c r="T20" i="7" s="1"/>
  <c r="T19" i="7"/>
  <c r="T18" i="7"/>
  <c r="T17" i="7"/>
  <c r="T16" i="7"/>
  <c r="T15" i="7"/>
  <c r="T14" i="7"/>
  <c r="T13" i="7"/>
  <c r="T12" i="7"/>
  <c r="T11" i="7"/>
  <c r="S11" i="7"/>
  <c r="R11" i="7"/>
  <c r="T10" i="7"/>
  <c r="T9" i="7"/>
  <c r="S9" i="7"/>
  <c r="R9" i="7"/>
  <c r="R8" i="7" s="1"/>
  <c r="T8" i="7" s="1"/>
  <c r="S8" i="7"/>
  <c r="T7" i="7"/>
  <c r="T6" i="7"/>
  <c r="T45" i="18"/>
  <c r="R44" i="18"/>
  <c r="T44" i="18" s="1"/>
  <c r="S43" i="18"/>
  <c r="S42" i="18" s="1"/>
  <c r="R43" i="18"/>
  <c r="R41" i="18"/>
  <c r="T41" i="18" s="1"/>
  <c r="T40" i="18"/>
  <c r="S39" i="18"/>
  <c r="R39" i="18"/>
  <c r="S38" i="18"/>
  <c r="S36" i="18" s="1"/>
  <c r="R38" i="18"/>
  <c r="S37" i="18"/>
  <c r="R37" i="18"/>
  <c r="T37" i="18" s="1"/>
  <c r="T33" i="18"/>
  <c r="T29" i="18"/>
  <c r="T28" i="18"/>
  <c r="S28" i="18"/>
  <c r="R28" i="18"/>
  <c r="T27" i="18"/>
  <c r="T26" i="18"/>
  <c r="S25" i="18"/>
  <c r="R25" i="18"/>
  <c r="T25" i="18" s="1"/>
  <c r="T24" i="18"/>
  <c r="S23" i="18"/>
  <c r="S22" i="18" s="1"/>
  <c r="S30" i="18" s="1"/>
  <c r="R23" i="18"/>
  <c r="T23" i="18" s="1"/>
  <c r="T21" i="18"/>
  <c r="T20" i="18"/>
  <c r="S20" i="18"/>
  <c r="R20" i="18"/>
  <c r="T19" i="18"/>
  <c r="T18" i="18"/>
  <c r="T17" i="18"/>
  <c r="T16" i="18"/>
  <c r="T15" i="18"/>
  <c r="T14" i="18"/>
  <c r="R13" i="18"/>
  <c r="T13" i="18" s="1"/>
  <c r="T12" i="18"/>
  <c r="T11" i="18"/>
  <c r="S11" i="18"/>
  <c r="R11" i="18"/>
  <c r="T10" i="18"/>
  <c r="T9" i="18"/>
  <c r="S9" i="18"/>
  <c r="R9" i="18"/>
  <c r="T8" i="18"/>
  <c r="S8" i="18"/>
  <c r="R8" i="18"/>
  <c r="T7" i="18"/>
  <c r="T6" i="18"/>
  <c r="R6" i="18"/>
  <c r="T45" i="14"/>
  <c r="T44" i="14"/>
  <c r="S43" i="14"/>
  <c r="S42" i="14" s="1"/>
  <c r="R43" i="14"/>
  <c r="T43" i="14" s="1"/>
  <c r="T41" i="14"/>
  <c r="R41" i="14"/>
  <c r="T40" i="14"/>
  <c r="S39" i="14"/>
  <c r="R39" i="14"/>
  <c r="S38" i="14"/>
  <c r="R38" i="14"/>
  <c r="T38" i="14" s="1"/>
  <c r="S37" i="14"/>
  <c r="S36" i="14" s="1"/>
  <c r="S46" i="14" s="1"/>
  <c r="R37" i="14"/>
  <c r="T33" i="14"/>
  <c r="T29" i="14"/>
  <c r="T28" i="14"/>
  <c r="S28" i="14"/>
  <c r="R28" i="14"/>
  <c r="T27" i="14"/>
  <c r="T26" i="14"/>
  <c r="S25" i="14"/>
  <c r="R25" i="14"/>
  <c r="T25" i="14" s="1"/>
  <c r="T24" i="14"/>
  <c r="S23" i="14"/>
  <c r="S22" i="14" s="1"/>
  <c r="R23" i="14"/>
  <c r="T23" i="14" s="1"/>
  <c r="R22" i="14"/>
  <c r="R30" i="14" s="1"/>
  <c r="T21" i="14"/>
  <c r="T20" i="14"/>
  <c r="S20" i="14"/>
  <c r="R20" i="14"/>
  <c r="T19" i="14"/>
  <c r="T18" i="14"/>
  <c r="T17" i="14"/>
  <c r="T16" i="14"/>
  <c r="T15" i="14"/>
  <c r="T14" i="14"/>
  <c r="T13" i="14"/>
  <c r="T12" i="14"/>
  <c r="S11" i="14"/>
  <c r="R11" i="14"/>
  <c r="T11" i="14" s="1"/>
  <c r="T10" i="14"/>
  <c r="S9" i="14"/>
  <c r="S8" i="14" s="1"/>
  <c r="R9" i="14"/>
  <c r="T9" i="14" s="1"/>
  <c r="R8" i="14"/>
  <c r="T8" i="14" s="1"/>
  <c r="T7" i="14"/>
  <c r="T6" i="14"/>
  <c r="T45" i="8"/>
  <c r="T44" i="8"/>
  <c r="S43" i="8"/>
  <c r="S42" i="8" s="1"/>
  <c r="R43" i="8"/>
  <c r="R41" i="8"/>
  <c r="T41" i="8" s="1"/>
  <c r="T40" i="8"/>
  <c r="S39" i="8"/>
  <c r="R39" i="8"/>
  <c r="S38" i="8"/>
  <c r="R38" i="8"/>
  <c r="S37" i="8"/>
  <c r="R37" i="8"/>
  <c r="T33" i="8"/>
  <c r="T29" i="8"/>
  <c r="T28" i="8"/>
  <c r="S28" i="8"/>
  <c r="R28" i="8"/>
  <c r="T27" i="8"/>
  <c r="T26" i="8"/>
  <c r="S25" i="8"/>
  <c r="R25" i="8"/>
  <c r="T25" i="8" s="1"/>
  <c r="T24" i="8"/>
  <c r="S23" i="8"/>
  <c r="S22" i="8" s="1"/>
  <c r="R23" i="8"/>
  <c r="T23" i="8" s="1"/>
  <c r="T21" i="8"/>
  <c r="T20" i="8"/>
  <c r="S20" i="8"/>
  <c r="R20" i="8"/>
  <c r="T19" i="8"/>
  <c r="T18" i="8"/>
  <c r="T17" i="8"/>
  <c r="T16" i="8"/>
  <c r="T15" i="8"/>
  <c r="T14" i="8"/>
  <c r="T13" i="8"/>
  <c r="T12" i="8"/>
  <c r="S11" i="8"/>
  <c r="T11" i="8" s="1"/>
  <c r="R11" i="8"/>
  <c r="T10" i="8"/>
  <c r="S9" i="8"/>
  <c r="T9" i="8" s="1"/>
  <c r="R9" i="8"/>
  <c r="R8" i="8"/>
  <c r="T7" i="8"/>
  <c r="T6" i="8"/>
  <c r="R45" i="37"/>
  <c r="T45" i="37" s="1"/>
  <c r="X18" i="24" s="1"/>
  <c r="T44" i="37"/>
  <c r="S43" i="37"/>
  <c r="R43" i="37"/>
  <c r="R41" i="37"/>
  <c r="T41" i="37" s="1"/>
  <c r="T40" i="37"/>
  <c r="S39" i="37"/>
  <c r="R39" i="37"/>
  <c r="S38" i="37"/>
  <c r="R38" i="37"/>
  <c r="S37" i="37"/>
  <c r="S36" i="37" s="1"/>
  <c r="R37" i="37"/>
  <c r="T33" i="37"/>
  <c r="T29" i="37"/>
  <c r="S28" i="37"/>
  <c r="R28" i="37"/>
  <c r="T28" i="37" s="1"/>
  <c r="T27" i="37"/>
  <c r="T26" i="37"/>
  <c r="S25" i="37"/>
  <c r="R25" i="37"/>
  <c r="T25" i="37" s="1"/>
  <c r="T24" i="37"/>
  <c r="S23" i="37"/>
  <c r="S22" i="37" s="1"/>
  <c r="S30" i="37" s="1"/>
  <c r="R23" i="37"/>
  <c r="T23" i="37" s="1"/>
  <c r="T21" i="37"/>
  <c r="S20" i="37"/>
  <c r="R20" i="37"/>
  <c r="T20" i="37" s="1"/>
  <c r="T19" i="37"/>
  <c r="T18" i="37"/>
  <c r="T17" i="37"/>
  <c r="T16" i="37"/>
  <c r="T15" i="37"/>
  <c r="T14" i="37"/>
  <c r="T13" i="37"/>
  <c r="T12" i="37"/>
  <c r="T11" i="37"/>
  <c r="S11" i="37"/>
  <c r="R11" i="37"/>
  <c r="T10" i="37"/>
  <c r="T9" i="37"/>
  <c r="S9" i="37"/>
  <c r="R9" i="37"/>
  <c r="R8" i="37" s="1"/>
  <c r="T8" i="37" s="1"/>
  <c r="S8" i="37"/>
  <c r="T7" i="37"/>
  <c r="T6" i="37"/>
  <c r="T45" i="12"/>
  <c r="T44" i="12"/>
  <c r="R43" i="12"/>
  <c r="T43" i="12" s="1"/>
  <c r="S42" i="12"/>
  <c r="R41" i="12"/>
  <c r="T41" i="12" s="1"/>
  <c r="T40" i="12"/>
  <c r="R39" i="12"/>
  <c r="R38" i="12"/>
  <c r="T38" i="12" s="1"/>
  <c r="R37" i="12"/>
  <c r="T37" i="12" s="1"/>
  <c r="S36" i="12"/>
  <c r="S46" i="12" s="1"/>
  <c r="T33" i="12"/>
  <c r="T29" i="12"/>
  <c r="T28" i="12"/>
  <c r="S28" i="12"/>
  <c r="R28" i="12"/>
  <c r="T27" i="12"/>
  <c r="T26" i="12"/>
  <c r="S25" i="12"/>
  <c r="R25" i="12"/>
  <c r="T25" i="12" s="1"/>
  <c r="T24" i="12"/>
  <c r="S23" i="12"/>
  <c r="S22" i="12" s="1"/>
  <c r="R23" i="12"/>
  <c r="T21" i="12"/>
  <c r="T20" i="12"/>
  <c r="S20" i="12"/>
  <c r="R20" i="12"/>
  <c r="T19" i="12"/>
  <c r="T18" i="12"/>
  <c r="T17" i="12"/>
  <c r="T16" i="12"/>
  <c r="T15" i="12"/>
  <c r="T14" i="12"/>
  <c r="T13" i="12"/>
  <c r="T12" i="12"/>
  <c r="S11" i="12"/>
  <c r="R11" i="12"/>
  <c r="T11" i="12" s="1"/>
  <c r="T10" i="12"/>
  <c r="S9" i="12"/>
  <c r="R9" i="12"/>
  <c r="T9" i="12" s="1"/>
  <c r="T7" i="12"/>
  <c r="R6" i="12"/>
  <c r="T6" i="12" s="1"/>
  <c r="T176" i="3"/>
  <c r="Z29" i="30" s="1"/>
  <c r="T171" i="3"/>
  <c r="T165" i="3"/>
  <c r="T156" i="3"/>
  <c r="Z28" i="30" s="1"/>
  <c r="T151" i="3"/>
  <c r="Z27" i="30" s="1"/>
  <c r="T148" i="3"/>
  <c r="Z26" i="30" s="1"/>
  <c r="T137" i="3"/>
  <c r="Z23" i="30" s="1"/>
  <c r="T132" i="3"/>
  <c r="T124" i="3"/>
  <c r="Z40" i="30" s="1"/>
  <c r="T118" i="3"/>
  <c r="Z39" i="30" s="1"/>
  <c r="T105" i="3"/>
  <c r="Z38" i="30" s="1"/>
  <c r="T100" i="3"/>
  <c r="Z37" i="30" s="1"/>
  <c r="T94" i="3"/>
  <c r="Z36" i="30" s="1"/>
  <c r="T87" i="3"/>
  <c r="Z78" i="30" s="1"/>
  <c r="Z35" i="30"/>
  <c r="T75" i="3"/>
  <c r="T68" i="3"/>
  <c r="T57" i="3"/>
  <c r="Z33" i="30" s="1"/>
  <c r="T50" i="3"/>
  <c r="Z32" i="30" s="1"/>
  <c r="T42" i="3"/>
  <c r="Z31" i="30" s="1"/>
  <c r="T36" i="3"/>
  <c r="T35" i="3" s="1"/>
  <c r="T34" i="3" s="1"/>
  <c r="T22" i="3"/>
  <c r="R5" i="3"/>
  <c r="Y7" i="23" l="1"/>
  <c r="Y30" i="23" s="1"/>
  <c r="S36" i="8"/>
  <c r="S46" i="8" s="1"/>
  <c r="R42" i="18"/>
  <c r="T42" i="18" s="1"/>
  <c r="S36" i="5"/>
  <c r="S34" i="5" s="1"/>
  <c r="S32" i="5" s="1"/>
  <c r="S31" i="5" s="1"/>
  <c r="S35" i="5" s="1"/>
  <c r="X7" i="24"/>
  <c r="X6" i="24"/>
  <c r="T117" i="3"/>
  <c r="T116" i="3" s="1"/>
  <c r="T37" i="37"/>
  <c r="T39" i="37"/>
  <c r="T37" i="8"/>
  <c r="T43" i="8"/>
  <c r="T37" i="7"/>
  <c r="T39" i="7"/>
  <c r="T43" i="5"/>
  <c r="T38" i="2"/>
  <c r="T39" i="12"/>
  <c r="W7" i="24"/>
  <c r="S36" i="7"/>
  <c r="S46" i="7" s="1"/>
  <c r="S34" i="7" s="1"/>
  <c r="S32" i="7" s="1"/>
  <c r="S31" i="7" s="1"/>
  <c r="S35" i="7" s="1"/>
  <c r="T43" i="37"/>
  <c r="T39" i="8"/>
  <c r="T38" i="5"/>
  <c r="S36" i="2"/>
  <c r="S46" i="2" s="1"/>
  <c r="T67" i="3"/>
  <c r="Z79" i="30"/>
  <c r="X16" i="24"/>
  <c r="X15" i="24" s="1"/>
  <c r="T86" i="3"/>
  <c r="T38" i="37"/>
  <c r="T38" i="8"/>
  <c r="T37" i="14"/>
  <c r="T39" i="14"/>
  <c r="T38" i="18"/>
  <c r="T43" i="18"/>
  <c r="T37" i="5"/>
  <c r="T39" i="5"/>
  <c r="T37" i="2"/>
  <c r="T39" i="2"/>
  <c r="X9" i="24"/>
  <c r="W17" i="24"/>
  <c r="Z17" i="24" s="1"/>
  <c r="T39" i="18"/>
  <c r="Z73" i="30"/>
  <c r="T70" i="25"/>
  <c r="X7" i="23"/>
  <c r="X30" i="23" s="1"/>
  <c r="W4" i="11"/>
  <c r="R42" i="37"/>
  <c r="T42" i="37" s="1"/>
  <c r="T131" i="3"/>
  <c r="T130" i="3" s="1"/>
  <c r="T74" i="3"/>
  <c r="T73" i="3" s="1"/>
  <c r="Z34" i="30"/>
  <c r="T49" i="3"/>
  <c r="T48" i="3" s="1"/>
  <c r="T38" i="7"/>
  <c r="Z30" i="30"/>
  <c r="X47" i="11"/>
  <c r="X46" i="11" s="1"/>
  <c r="X60" i="11" s="1"/>
  <c r="W46" i="11"/>
  <c r="W60" i="11" s="1"/>
  <c r="Z33" i="23"/>
  <c r="W27" i="24"/>
  <c r="W21" i="23"/>
  <c r="Z21" i="23" s="1"/>
  <c r="W18" i="24"/>
  <c r="Z18" i="24" s="1"/>
  <c r="G34" i="29"/>
  <c r="T48" i="25" s="1"/>
  <c r="T208" i="25" s="1"/>
  <c r="W17" i="23"/>
  <c r="W12" i="23" s="1"/>
  <c r="Z12" i="23" s="1"/>
  <c r="T93" i="3"/>
  <c r="T92" i="3" s="1"/>
  <c r="T21" i="3"/>
  <c r="T20" i="3" s="1"/>
  <c r="Z41" i="20"/>
  <c r="W6" i="24"/>
  <c r="Z6" i="24" s="1"/>
  <c r="Z40" i="20"/>
  <c r="W5" i="24"/>
  <c r="Z46" i="20"/>
  <c r="W16" i="24"/>
  <c r="Z5" i="21"/>
  <c r="Z4" i="21" s="1"/>
  <c r="Z20" i="30"/>
  <c r="Z42" i="20"/>
  <c r="W45" i="11"/>
  <c r="Z45" i="11" s="1"/>
  <c r="Z4" i="11"/>
  <c r="W25" i="10"/>
  <c r="Z25" i="10" s="1"/>
  <c r="Z26" i="10"/>
  <c r="Y108" i="10"/>
  <c r="W92" i="10"/>
  <c r="Z93" i="10"/>
  <c r="W62" i="10"/>
  <c r="Z62" i="10" s="1"/>
  <c r="W5" i="10"/>
  <c r="Z6" i="10"/>
  <c r="W32" i="23"/>
  <c r="W31" i="23" s="1"/>
  <c r="Z24" i="23"/>
  <c r="Y33" i="20"/>
  <c r="Y37" i="20" s="1"/>
  <c r="Y35" i="20" s="1"/>
  <c r="Y34" i="20" s="1"/>
  <c r="Y38" i="20" s="1"/>
  <c r="Z20" i="20"/>
  <c r="Z31" i="20"/>
  <c r="X25" i="20"/>
  <c r="X33" i="20" s="1"/>
  <c r="X37" i="20" s="1"/>
  <c r="X35" i="20" s="1"/>
  <c r="X34" i="20" s="1"/>
  <c r="X38" i="20" s="1"/>
  <c r="W39" i="20"/>
  <c r="Z11" i="20"/>
  <c r="W14" i="20"/>
  <c r="Z14" i="20" s="1"/>
  <c r="W45" i="20"/>
  <c r="Z45" i="20" s="1"/>
  <c r="W25" i="20"/>
  <c r="S34" i="2"/>
  <c r="S32" i="2" s="1"/>
  <c r="S31" i="2" s="1"/>
  <c r="S35" i="2" s="1"/>
  <c r="T8" i="2"/>
  <c r="R22" i="2"/>
  <c r="T22" i="2" s="1"/>
  <c r="R36" i="2"/>
  <c r="R42" i="2"/>
  <c r="T42" i="2" s="1"/>
  <c r="S46" i="5"/>
  <c r="R22" i="5"/>
  <c r="R36" i="5"/>
  <c r="R42" i="5"/>
  <c r="T42" i="5" s="1"/>
  <c r="R22" i="7"/>
  <c r="R36" i="7"/>
  <c r="R42" i="7"/>
  <c r="T42" i="7" s="1"/>
  <c r="S46" i="18"/>
  <c r="S34" i="18"/>
  <c r="S32" i="18" s="1"/>
  <c r="S31" i="18" s="1"/>
  <c r="S35" i="18" s="1"/>
  <c r="R22" i="18"/>
  <c r="R36" i="18"/>
  <c r="S30" i="14"/>
  <c r="T22" i="14"/>
  <c r="S34" i="14"/>
  <c r="S32" i="14" s="1"/>
  <c r="S31" i="14" s="1"/>
  <c r="S35" i="14" s="1"/>
  <c r="T30" i="14"/>
  <c r="R42" i="14"/>
  <c r="T42" i="14" s="1"/>
  <c r="R36" i="14"/>
  <c r="S8" i="8"/>
  <c r="S30" i="8" s="1"/>
  <c r="S34" i="8" s="1"/>
  <c r="S32" i="8" s="1"/>
  <c r="S31" i="8" s="1"/>
  <c r="S35" i="8" s="1"/>
  <c r="R42" i="8"/>
  <c r="T42" i="8" s="1"/>
  <c r="R22" i="8"/>
  <c r="R36" i="8"/>
  <c r="R22" i="37"/>
  <c r="R36" i="37"/>
  <c r="S42" i="37"/>
  <c r="S46" i="37" s="1"/>
  <c r="R36" i="12"/>
  <c r="R42" i="12"/>
  <c r="T42" i="12" s="1"/>
  <c r="R8" i="12"/>
  <c r="S8" i="12"/>
  <c r="S30" i="12" s="1"/>
  <c r="S34" i="12" s="1"/>
  <c r="S32" i="12" s="1"/>
  <c r="S31" i="12" s="1"/>
  <c r="S35" i="12" s="1"/>
  <c r="T23" i="12"/>
  <c r="T8" i="12"/>
  <c r="R22" i="12"/>
  <c r="S16" i="30"/>
  <c r="X4" i="24" l="1"/>
  <c r="Z5" i="24"/>
  <c r="X24" i="24"/>
  <c r="X35" i="24" s="1"/>
  <c r="T5" i="3"/>
  <c r="Z46" i="11"/>
  <c r="Z47" i="11"/>
  <c r="Z60" i="11"/>
  <c r="Z54" i="11"/>
  <c r="T43" i="25"/>
  <c r="X44" i="23"/>
  <c r="Z27" i="24"/>
  <c r="W26" i="24"/>
  <c r="Z17" i="23"/>
  <c r="W9" i="24"/>
  <c r="Z9" i="24" s="1"/>
  <c r="W15" i="24"/>
  <c r="Z15" i="24" s="1"/>
  <c r="Z16" i="24"/>
  <c r="Z7" i="24"/>
  <c r="W108" i="10"/>
  <c r="Z108" i="10" s="1"/>
  <c r="Z111" i="10" s="1"/>
  <c r="Z113" i="10" s="1"/>
  <c r="Z92" i="10"/>
  <c r="W91" i="10"/>
  <c r="Z91" i="10" s="1"/>
  <c r="Z5" i="10"/>
  <c r="W7" i="23"/>
  <c r="Z7" i="23" s="1"/>
  <c r="Z25" i="20"/>
  <c r="Z39" i="20"/>
  <c r="W49" i="20"/>
  <c r="Z49" i="20" s="1"/>
  <c r="W8" i="20"/>
  <c r="Z8" i="20" s="1"/>
  <c r="T36" i="2"/>
  <c r="R46" i="2"/>
  <c r="R30" i="2"/>
  <c r="T22" i="5"/>
  <c r="R30" i="5"/>
  <c r="T30" i="5" s="1"/>
  <c r="T36" i="5"/>
  <c r="R34" i="5"/>
  <c r="R46" i="5"/>
  <c r="T46" i="5" s="1"/>
  <c r="T36" i="7"/>
  <c r="R46" i="7"/>
  <c r="T22" i="7"/>
  <c r="R30" i="7"/>
  <c r="T30" i="7" s="1"/>
  <c r="T22" i="18"/>
  <c r="R30" i="18"/>
  <c r="T30" i="18" s="1"/>
  <c r="T36" i="18"/>
  <c r="R34" i="18"/>
  <c r="R46" i="18"/>
  <c r="T46" i="18" s="1"/>
  <c r="T36" i="14"/>
  <c r="R46" i="14"/>
  <c r="R30" i="8"/>
  <c r="T30" i="8" s="1"/>
  <c r="T22" i="8"/>
  <c r="T8" i="8"/>
  <c r="R46" i="8"/>
  <c r="T46" i="8" s="1"/>
  <c r="T36" i="8"/>
  <c r="T22" i="37"/>
  <c r="R30" i="37"/>
  <c r="T30" i="37" s="1"/>
  <c r="S34" i="37"/>
  <c r="S32" i="37" s="1"/>
  <c r="S31" i="37" s="1"/>
  <c r="S35" i="37" s="1"/>
  <c r="T36" i="37"/>
  <c r="R46" i="37"/>
  <c r="T46" i="37" s="1"/>
  <c r="T36" i="12"/>
  <c r="R46" i="12"/>
  <c r="T46" i="12" s="1"/>
  <c r="T22" i="12"/>
  <c r="R30" i="12"/>
  <c r="T30" i="12" s="1"/>
  <c r="Q46" i="25"/>
  <c r="Q138" i="25"/>
  <c r="Q136" i="25"/>
  <c r="Q90" i="25"/>
  <c r="Q89" i="25" s="1"/>
  <c r="F3" i="29"/>
  <c r="T6" i="25" l="1"/>
  <c r="Z26" i="24"/>
  <c r="W25" i="24"/>
  <c r="Z25" i="24" s="1"/>
  <c r="W4" i="24"/>
  <c r="W30" i="23"/>
  <c r="Z30" i="23" s="1"/>
  <c r="W33" i="20"/>
  <c r="T30" i="2"/>
  <c r="T46" i="2"/>
  <c r="R34" i="2"/>
  <c r="R32" i="5"/>
  <c r="T34" i="5"/>
  <c r="T46" i="7"/>
  <c r="R34" i="7"/>
  <c r="R32" i="18"/>
  <c r="T34" i="18"/>
  <c r="T46" i="14"/>
  <c r="R34" i="14"/>
  <c r="R34" i="8"/>
  <c r="R34" i="37"/>
  <c r="R34" i="12"/>
  <c r="H126" i="39"/>
  <c r="D126" i="39"/>
  <c r="D122" i="39"/>
  <c r="D121" i="39"/>
  <c r="D120" i="39"/>
  <c r="D119" i="39"/>
  <c r="D118" i="39"/>
  <c r="D117" i="39"/>
  <c r="H116" i="39"/>
  <c r="G116" i="39"/>
  <c r="F116" i="39"/>
  <c r="D112" i="39"/>
  <c r="D104" i="39"/>
  <c r="D100" i="39" s="1"/>
  <c r="D101" i="39"/>
  <c r="H100" i="39"/>
  <c r="G100" i="39"/>
  <c r="F100" i="39"/>
  <c r="D98" i="39"/>
  <c r="D97" i="39" s="1"/>
  <c r="H97" i="39"/>
  <c r="G97" i="39"/>
  <c r="F97" i="39"/>
  <c r="D89" i="39"/>
  <c r="D84" i="39"/>
  <c r="D82" i="39"/>
  <c r="H81" i="39"/>
  <c r="G81" i="39"/>
  <c r="F81" i="39"/>
  <c r="D75" i="39"/>
  <c r="D70" i="39" s="1"/>
  <c r="D73" i="39"/>
  <c r="D71" i="39"/>
  <c r="H70" i="39"/>
  <c r="G70" i="39"/>
  <c r="F70" i="39"/>
  <c r="D64" i="39"/>
  <c r="D61" i="39"/>
  <c r="D56" i="39"/>
  <c r="H55" i="39"/>
  <c r="G55" i="39"/>
  <c r="F55" i="39"/>
  <c r="G54" i="39"/>
  <c r="G29" i="39" s="1"/>
  <c r="D54" i="39"/>
  <c r="H51" i="39"/>
  <c r="D51" i="39"/>
  <c r="D47" i="39"/>
  <c r="D45" i="39"/>
  <c r="D43" i="39"/>
  <c r="D41" i="39"/>
  <c r="D39" i="39"/>
  <c r="D37" i="39"/>
  <c r="D35" i="39"/>
  <c r="D30" i="39"/>
  <c r="H29" i="39"/>
  <c r="F29" i="39"/>
  <c r="D22" i="39"/>
  <c r="D21" i="39"/>
  <c r="D19" i="39"/>
  <c r="D18" i="39"/>
  <c r="D16" i="39"/>
  <c r="D14" i="39"/>
  <c r="D11" i="39"/>
  <c r="D8" i="39"/>
  <c r="D5" i="39"/>
  <c r="H4" i="39"/>
  <c r="G4" i="39"/>
  <c r="F4" i="39"/>
  <c r="Z4" i="24" l="1"/>
  <c r="W24" i="24"/>
  <c r="Z24" i="24" s="1"/>
  <c r="D116" i="39"/>
  <c r="D81" i="39"/>
  <c r="G124" i="39"/>
  <c r="G128" i="39" s="1"/>
  <c r="D29" i="39"/>
  <c r="D4" i="39"/>
  <c r="H124" i="39"/>
  <c r="H128" i="39" s="1"/>
  <c r="F124" i="39"/>
  <c r="F128" i="39" s="1"/>
  <c r="D55" i="39"/>
  <c r="W44" i="23"/>
  <c r="Z33" i="20"/>
  <c r="W37" i="20"/>
  <c r="R32" i="2"/>
  <c r="T34" i="2"/>
  <c r="T32" i="5"/>
  <c r="R31" i="5"/>
  <c r="R32" i="7"/>
  <c r="T34" i="7"/>
  <c r="T32" i="18"/>
  <c r="R31" i="18"/>
  <c r="T34" i="14"/>
  <c r="R32" i="14"/>
  <c r="T34" i="8"/>
  <c r="R32" i="8"/>
  <c r="R32" i="37"/>
  <c r="T34" i="37"/>
  <c r="R32" i="12"/>
  <c r="T34" i="12"/>
  <c r="D124" i="39" l="1"/>
  <c r="D128" i="39" s="1"/>
  <c r="W35" i="24"/>
  <c r="Z35" i="24" s="1"/>
  <c r="Z37" i="20"/>
  <c r="T199" i="25" s="1"/>
  <c r="W35" i="20"/>
  <c r="T32" i="2"/>
  <c r="R31" i="2"/>
  <c r="R35" i="5"/>
  <c r="T35" i="5" s="1"/>
  <c r="T31" i="5"/>
  <c r="T32" i="7"/>
  <c r="R31" i="7"/>
  <c r="R35" i="18"/>
  <c r="T35" i="18" s="1"/>
  <c r="T31" i="18"/>
  <c r="T32" i="14"/>
  <c r="R31" i="14"/>
  <c r="T32" i="8"/>
  <c r="R31" i="8"/>
  <c r="T32" i="37"/>
  <c r="R31" i="37"/>
  <c r="T32" i="12"/>
  <c r="R31" i="12"/>
  <c r="R35" i="12" s="1"/>
  <c r="T35" i="12" s="1"/>
  <c r="T198" i="25" l="1"/>
  <c r="T5" i="25" s="1"/>
  <c r="Y38" i="23"/>
  <c r="W34" i="20"/>
  <c r="Z35" i="20"/>
  <c r="T31" i="2"/>
  <c r="R35" i="2"/>
  <c r="T35" i="2" s="1"/>
  <c r="R35" i="7"/>
  <c r="T35" i="7" s="1"/>
  <c r="T31" i="7"/>
  <c r="R35" i="14"/>
  <c r="T35" i="14" s="1"/>
  <c r="T31" i="14"/>
  <c r="R35" i="8"/>
  <c r="T35" i="8" s="1"/>
  <c r="T31" i="8"/>
  <c r="R35" i="37"/>
  <c r="T35" i="37" s="1"/>
  <c r="T31" i="37"/>
  <c r="T31" i="12"/>
  <c r="Q148" i="3"/>
  <c r="Q137" i="3"/>
  <c r="Q132" i="3"/>
  <c r="Z22" i="30" s="1"/>
  <c r="Z5" i="30" s="1"/>
  <c r="Z4" i="30" s="1"/>
  <c r="Q176" i="3"/>
  <c r="Q171" i="3"/>
  <c r="Q165" i="3"/>
  <c r="Q156" i="3"/>
  <c r="Q151" i="3"/>
  <c r="S10" i="23"/>
  <c r="T10" i="23"/>
  <c r="Q159" i="25"/>
  <c r="Q91" i="25"/>
  <c r="Q105" i="3"/>
  <c r="Q100" i="3"/>
  <c r="Q94" i="3"/>
  <c r="Q87" i="3"/>
  <c r="Q86" i="3" s="1"/>
  <c r="Q81" i="3"/>
  <c r="Q75" i="3"/>
  <c r="Q68" i="3"/>
  <c r="Q67" i="3" s="1"/>
  <c r="Q57" i="3"/>
  <c r="Q50" i="3"/>
  <c r="Q36" i="3"/>
  <c r="Q42" i="3"/>
  <c r="Q22" i="3"/>
  <c r="Q21" i="3" s="1"/>
  <c r="Q20" i="3" s="1"/>
  <c r="Q35" i="3" l="1"/>
  <c r="Q34" i="3" s="1"/>
  <c r="T215" i="25"/>
  <c r="T216" i="25" s="1"/>
  <c r="Z38" i="23"/>
  <c r="Y32" i="23"/>
  <c r="W38" i="20"/>
  <c r="Z38" i="20" s="1"/>
  <c r="Z34" i="20"/>
  <c r="Q131" i="3"/>
  <c r="Q130" i="3" s="1"/>
  <c r="Q93" i="3"/>
  <c r="Q92" i="3" s="1"/>
  <c r="Q74" i="3"/>
  <c r="Q73" i="3" s="1"/>
  <c r="Q49" i="3"/>
  <c r="Q48" i="3" s="1"/>
  <c r="Q123" i="25"/>
  <c r="Q70" i="25"/>
  <c r="Y31" i="23" l="1"/>
  <c r="Z32" i="23"/>
  <c r="O54" i="11"/>
  <c r="R50" i="11"/>
  <c r="R104" i="10"/>
  <c r="R15" i="10"/>
  <c r="Y44" i="23" l="1"/>
  <c r="Z31" i="23"/>
  <c r="V90" i="30"/>
  <c r="V6" i="21"/>
  <c r="V5" i="21" s="1"/>
  <c r="V4" i="21" s="1"/>
  <c r="Z44" i="23" l="1"/>
  <c r="Z47" i="23" s="1"/>
  <c r="Q69" i="25"/>
  <c r="Q66" i="25" s="1"/>
  <c r="Q51" i="25"/>
  <c r="V17" i="30" s="1"/>
  <c r="D22" i="38" l="1"/>
  <c r="D19" i="38"/>
  <c r="D18" i="38"/>
  <c r="D16" i="38"/>
  <c r="D8" i="38"/>
  <c r="O5" i="3"/>
  <c r="Q118" i="3"/>
  <c r="Q124" i="3"/>
  <c r="S28" i="10"/>
  <c r="S27" i="10"/>
  <c r="Q117" i="3" l="1"/>
  <c r="Q116" i="3" s="1"/>
  <c r="Q5" i="3" s="1"/>
  <c r="S30" i="10" l="1"/>
  <c r="S85" i="10"/>
  <c r="S84" i="10"/>
  <c r="S37" i="10"/>
  <c r="S102" i="10"/>
  <c r="S72" i="10" l="1"/>
  <c r="R88" i="10" l="1"/>
  <c r="D93" i="38"/>
  <c r="D92" i="38" s="1"/>
  <c r="O75" i="10"/>
  <c r="R89" i="10"/>
  <c r="O89" i="10"/>
  <c r="O57" i="10"/>
  <c r="O45" i="10"/>
  <c r="E6" i="31" l="1"/>
  <c r="E7" i="31"/>
  <c r="E9" i="31" l="1"/>
  <c r="E8" i="31"/>
  <c r="O6" i="18" l="1"/>
  <c r="O13" i="18" l="1"/>
  <c r="S34" i="23" l="1"/>
  <c r="S33" i="23" s="1"/>
  <c r="S11" i="23"/>
  <c r="S23" i="23" l="1"/>
  <c r="S10" i="10" l="1"/>
  <c r="S11" i="10"/>
  <c r="S9" i="10"/>
  <c r="O44" i="18" l="1"/>
  <c r="G18" i="36" l="1"/>
  <c r="F18" i="36"/>
  <c r="D117" i="38" l="1"/>
  <c r="D116" i="38"/>
  <c r="D115" i="38"/>
  <c r="D114" i="38"/>
  <c r="D111" i="38" s="1"/>
  <c r="D113" i="38"/>
  <c r="D112" i="38"/>
  <c r="D107" i="38"/>
  <c r="D99" i="38"/>
  <c r="D96" i="38"/>
  <c r="D84" i="38"/>
  <c r="D79" i="38"/>
  <c r="D77" i="38"/>
  <c r="D76" i="38" s="1"/>
  <c r="D70" i="38"/>
  <c r="D68" i="38"/>
  <c r="D66" i="38"/>
  <c r="D60" i="38"/>
  <c r="D57" i="38"/>
  <c r="D52" i="38"/>
  <c r="D43" i="38"/>
  <c r="D41" i="38"/>
  <c r="D39" i="38"/>
  <c r="D37" i="38"/>
  <c r="D35" i="38"/>
  <c r="D33" i="38"/>
  <c r="D31" i="38"/>
  <c r="D26" i="38"/>
  <c r="D21" i="38"/>
  <c r="D14" i="38"/>
  <c r="D11" i="38"/>
  <c r="D5" i="38"/>
  <c r="D51" i="38" l="1"/>
  <c r="H31" i="38"/>
  <c r="D4" i="38"/>
  <c r="D25" i="38"/>
  <c r="D95" i="38"/>
  <c r="D65" i="38"/>
  <c r="D2" i="38" l="1"/>
  <c r="U28" i="11"/>
  <c r="Q28" i="11"/>
  <c r="H44" i="11"/>
  <c r="E28" i="11"/>
  <c r="J74" i="30"/>
  <c r="V12" i="30"/>
  <c r="R12" i="30"/>
  <c r="J12" i="30"/>
  <c r="F74" i="30"/>
  <c r="V29" i="30"/>
  <c r="R29" i="30"/>
  <c r="V28" i="30"/>
  <c r="R28" i="30"/>
  <c r="V27" i="30"/>
  <c r="R27" i="30"/>
  <c r="V26" i="30"/>
  <c r="R26" i="30"/>
  <c r="V24" i="30"/>
  <c r="R24" i="30"/>
  <c r="R23" i="30"/>
  <c r="V23" i="30"/>
  <c r="J90" i="10"/>
  <c r="J89" i="10"/>
  <c r="G44" i="11" s="1"/>
  <c r="J44" i="11" s="1"/>
  <c r="G89" i="10"/>
  <c r="H72" i="10"/>
  <c r="J61" i="10"/>
  <c r="J60" i="10"/>
  <c r="J59" i="10"/>
  <c r="J58" i="10"/>
  <c r="I57" i="10"/>
  <c r="I28" i="11" s="1"/>
  <c r="G57" i="10"/>
  <c r="H57" i="10"/>
  <c r="G49" i="10"/>
  <c r="J44" i="10"/>
  <c r="J45" i="10"/>
  <c r="I7" i="10"/>
  <c r="H7" i="10"/>
  <c r="G7" i="10"/>
  <c r="J15" i="10"/>
  <c r="C49" i="10"/>
  <c r="O43" i="10"/>
  <c r="T16" i="23"/>
  <c r="P16" i="23"/>
  <c r="P10" i="23"/>
  <c r="L16" i="23"/>
  <c r="L10" i="23"/>
  <c r="J9" i="30"/>
  <c r="H28" i="23"/>
  <c r="H10" i="23"/>
  <c r="G16" i="23"/>
  <c r="H16" i="23"/>
  <c r="G10" i="23"/>
  <c r="H8" i="23"/>
  <c r="D16" i="23"/>
  <c r="C10" i="23"/>
  <c r="C9" i="23"/>
  <c r="C8" i="23"/>
  <c r="D10" i="23"/>
  <c r="J85" i="30"/>
  <c r="J84" i="30"/>
  <c r="R76" i="30"/>
  <c r="J76" i="30"/>
  <c r="D48" i="27"/>
  <c r="E48" i="27"/>
  <c r="R13" i="30"/>
  <c r="J57" i="10" l="1"/>
  <c r="D23" i="23"/>
  <c r="C13" i="23"/>
  <c r="B4" i="29"/>
  <c r="B23" i="29"/>
  <c r="B21" i="29"/>
  <c r="B19" i="29"/>
  <c r="B18" i="29"/>
  <c r="B5" i="29"/>
  <c r="E42" i="28"/>
  <c r="D42" i="28"/>
  <c r="E41" i="28"/>
  <c r="D41" i="28"/>
  <c r="E40" i="28"/>
  <c r="D40" i="28"/>
  <c r="E39" i="28"/>
  <c r="D39" i="28"/>
  <c r="E22" i="28"/>
  <c r="D22" i="28"/>
  <c r="E21" i="28"/>
  <c r="D21" i="28"/>
  <c r="E19" i="28"/>
  <c r="D19" i="28"/>
  <c r="E18" i="28"/>
  <c r="E8" i="28" s="1"/>
  <c r="D18" i="28"/>
  <c r="D8" i="28" s="1"/>
  <c r="D7" i="28"/>
  <c r="E7" i="28" s="1"/>
  <c r="D6" i="28"/>
  <c r="E6" i="28" s="1"/>
  <c r="C41" i="28"/>
  <c r="C40" i="28"/>
  <c r="C39" i="28"/>
  <c r="C22" i="28"/>
  <c r="C21" i="28" s="1"/>
  <c r="C8" i="28"/>
  <c r="K5" i="27"/>
  <c r="J5" i="27"/>
  <c r="I5" i="27"/>
  <c r="F5" i="27"/>
  <c r="E118" i="27"/>
  <c r="D118" i="27"/>
  <c r="E115" i="27"/>
  <c r="D115" i="27"/>
  <c r="E113" i="27"/>
  <c r="D113" i="27"/>
  <c r="E112" i="27"/>
  <c r="D112" i="27"/>
  <c r="E110" i="27"/>
  <c r="D110" i="27"/>
  <c r="E106" i="27"/>
  <c r="D106" i="27"/>
  <c r="D101" i="27"/>
  <c r="E101" i="27"/>
  <c r="E98" i="27"/>
  <c r="D98" i="27"/>
  <c r="E97" i="27"/>
  <c r="D97" i="27"/>
  <c r="E96" i="27"/>
  <c r="D96" i="27"/>
  <c r="E95" i="27"/>
  <c r="D95" i="27"/>
  <c r="G42" i="27" l="1"/>
  <c r="E92" i="27"/>
  <c r="D92" i="27"/>
  <c r="E90" i="27"/>
  <c r="D90" i="27"/>
  <c r="D80" i="27" s="1"/>
  <c r="D89" i="27"/>
  <c r="E89" i="27" s="1"/>
  <c r="E80" i="27" s="1"/>
  <c r="E79" i="27"/>
  <c r="D79" i="27"/>
  <c r="E78" i="27"/>
  <c r="D78" i="27"/>
  <c r="D77" i="27"/>
  <c r="E77" i="27" s="1"/>
  <c r="E75" i="27"/>
  <c r="D75" i="27"/>
  <c r="D74" i="27"/>
  <c r="E74" i="27" s="1"/>
  <c r="D73" i="27"/>
  <c r="E73" i="27" s="1"/>
  <c r="D72" i="27"/>
  <c r="E72" i="27" s="1"/>
  <c r="D71" i="27"/>
  <c r="E71" i="27" s="1"/>
  <c r="D70" i="27"/>
  <c r="E70" i="27" s="1"/>
  <c r="D69" i="27"/>
  <c r="E69" i="27" s="1"/>
  <c r="D68" i="27"/>
  <c r="E68" i="27" s="1"/>
  <c r="D67" i="27"/>
  <c r="E67" i="27" s="1"/>
  <c r="D66" i="27"/>
  <c r="E66" i="27" s="1"/>
  <c r="D65" i="27"/>
  <c r="E65" i="27" s="1"/>
  <c r="E62" i="27"/>
  <c r="D62" i="27"/>
  <c r="E61" i="27"/>
  <c r="D61" i="27"/>
  <c r="D60" i="27" s="1"/>
  <c r="E60" i="27"/>
  <c r="E51" i="27"/>
  <c r="D51" i="27"/>
  <c r="D50" i="27"/>
  <c r="E50" i="27" s="1"/>
  <c r="D49" i="27"/>
  <c r="E49" i="27" s="1"/>
  <c r="D47" i="27"/>
  <c r="E47" i="27" s="1"/>
  <c r="D46" i="27"/>
  <c r="E46" i="27" s="1"/>
  <c r="D45" i="27"/>
  <c r="E45" i="27" s="1"/>
  <c r="E44" i="27"/>
  <c r="D44" i="27"/>
  <c r="E43" i="27"/>
  <c r="D43" i="27"/>
  <c r="E41" i="27"/>
  <c r="D41" i="27"/>
  <c r="E40" i="27"/>
  <c r="E38" i="27" s="1"/>
  <c r="D40" i="27"/>
  <c r="D38" i="27"/>
  <c r="E30" i="27"/>
  <c r="D30" i="27"/>
  <c r="E29" i="27"/>
  <c r="D29" i="27"/>
  <c r="D28" i="27"/>
  <c r="E28" i="27" s="1"/>
  <c r="E27" i="27"/>
  <c r="D27" i="27"/>
  <c r="D26" i="27"/>
  <c r="E25" i="27"/>
  <c r="D25" i="27"/>
  <c r="E18" i="27"/>
  <c r="D18" i="27"/>
  <c r="E17" i="27"/>
  <c r="D17" i="27"/>
  <c r="D16" i="27"/>
  <c r="E16" i="27" s="1"/>
  <c r="E6" i="27" s="1"/>
  <c r="E14" i="27"/>
  <c r="D14" i="27"/>
  <c r="E11" i="27"/>
  <c r="D11" i="27"/>
  <c r="E9" i="27"/>
  <c r="D9" i="27"/>
  <c r="E7" i="27"/>
  <c r="D7" i="27"/>
  <c r="D6" i="27"/>
  <c r="G113" i="27"/>
  <c r="C92" i="27"/>
  <c r="C89" i="27"/>
  <c r="C81" i="27"/>
  <c r="C78" i="27"/>
  <c r="C64" i="27"/>
  <c r="C63" i="27" s="1"/>
  <c r="C61" i="27"/>
  <c r="C60" i="27" s="1"/>
  <c r="C50" i="27"/>
  <c r="C48" i="27"/>
  <c r="C43" i="27"/>
  <c r="C42" i="27" s="1"/>
  <c r="C38" i="27"/>
  <c r="C33" i="27"/>
  <c r="D33" i="27" s="1"/>
  <c r="E33" i="27" s="1"/>
  <c r="C27" i="27"/>
  <c r="C23" i="27" s="1"/>
  <c r="C25" i="27"/>
  <c r="C14" i="27"/>
  <c r="C12" i="27"/>
  <c r="C6" i="27" s="1"/>
  <c r="C7" i="27"/>
  <c r="F21" i="30"/>
  <c r="F9" i="30"/>
  <c r="C9" i="31"/>
  <c r="C7" i="31"/>
  <c r="D33" i="29"/>
  <c r="C33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6" i="29"/>
  <c r="C16" i="29"/>
  <c r="D15" i="29"/>
  <c r="C15" i="29"/>
  <c r="D12" i="29"/>
  <c r="C12" i="29"/>
  <c r="D11" i="29"/>
  <c r="C11" i="29"/>
  <c r="D10" i="29"/>
  <c r="C10" i="29"/>
  <c r="D9" i="29"/>
  <c r="C9" i="29"/>
  <c r="D7" i="29"/>
  <c r="C7" i="29"/>
  <c r="D6" i="29"/>
  <c r="C6" i="29"/>
  <c r="D5" i="29"/>
  <c r="C5" i="29"/>
  <c r="D3" i="29"/>
  <c r="C3" i="29"/>
  <c r="T42" i="20"/>
  <c r="T41" i="20"/>
  <c r="T40" i="20"/>
  <c r="P42" i="20"/>
  <c r="P41" i="20"/>
  <c r="P40" i="20"/>
  <c r="L42" i="20"/>
  <c r="L41" i="20"/>
  <c r="L40" i="20"/>
  <c r="H42" i="20"/>
  <c r="H41" i="20"/>
  <c r="H40" i="20"/>
  <c r="T46" i="20"/>
  <c r="P46" i="20"/>
  <c r="L46" i="20"/>
  <c r="H46" i="20"/>
  <c r="D46" i="20"/>
  <c r="D42" i="20"/>
  <c r="D41" i="20"/>
  <c r="D40" i="20"/>
  <c r="S42" i="20"/>
  <c r="S41" i="20"/>
  <c r="S40" i="20"/>
  <c r="O42" i="20"/>
  <c r="O41" i="20"/>
  <c r="O40" i="20"/>
  <c r="K42" i="20"/>
  <c r="K41" i="20"/>
  <c r="K40" i="20"/>
  <c r="G42" i="20"/>
  <c r="G41" i="20"/>
  <c r="G40" i="20"/>
  <c r="C42" i="20"/>
  <c r="C41" i="20"/>
  <c r="C40" i="20"/>
  <c r="C43" i="2"/>
  <c r="C39" i="2"/>
  <c r="C38" i="2"/>
  <c r="C37" i="2"/>
  <c r="C43" i="5"/>
  <c r="C39" i="5"/>
  <c r="C38" i="5"/>
  <c r="C37" i="5"/>
  <c r="C43" i="7"/>
  <c r="C39" i="7"/>
  <c r="C38" i="7"/>
  <c r="C37" i="7"/>
  <c r="C43" i="18"/>
  <c r="D43" i="18"/>
  <c r="D39" i="18"/>
  <c r="D38" i="18"/>
  <c r="D37" i="18"/>
  <c r="J43" i="8"/>
  <c r="J39" i="8"/>
  <c r="J38" i="8"/>
  <c r="J37" i="8"/>
  <c r="G43" i="8"/>
  <c r="G39" i="8"/>
  <c r="G38" i="8"/>
  <c r="G37" i="8"/>
  <c r="M37" i="8"/>
  <c r="C39" i="8"/>
  <c r="C38" i="8"/>
  <c r="C37" i="8"/>
  <c r="D20" i="8"/>
  <c r="C20" i="8"/>
  <c r="D20" i="37"/>
  <c r="C20" i="37"/>
  <c r="D11" i="37"/>
  <c r="C11" i="37"/>
  <c r="D9" i="37"/>
  <c r="C9" i="37"/>
  <c r="E7" i="37"/>
  <c r="E6" i="37"/>
  <c r="O41" i="12"/>
  <c r="L41" i="12"/>
  <c r="C41" i="12"/>
  <c r="J44" i="12"/>
  <c r="I44" i="12"/>
  <c r="J43" i="12"/>
  <c r="J20" i="12"/>
  <c r="I20" i="12"/>
  <c r="J11" i="12"/>
  <c r="I11" i="12"/>
  <c r="J9" i="12"/>
  <c r="I9" i="12"/>
  <c r="G20" i="12"/>
  <c r="F20" i="12"/>
  <c r="G11" i="12"/>
  <c r="F11" i="12"/>
  <c r="G9" i="12"/>
  <c r="F9" i="12"/>
  <c r="D20" i="12"/>
  <c r="C20" i="12"/>
  <c r="D11" i="12"/>
  <c r="C11" i="12"/>
  <c r="D9" i="12"/>
  <c r="C9" i="12"/>
  <c r="C6" i="12"/>
  <c r="O43" i="12"/>
  <c r="L43" i="12"/>
  <c r="C43" i="12"/>
  <c r="O39" i="12"/>
  <c r="L39" i="12"/>
  <c r="O38" i="12"/>
  <c r="C38" i="12"/>
  <c r="C37" i="12"/>
  <c r="I43" i="12"/>
  <c r="I39" i="12"/>
  <c r="I38" i="12"/>
  <c r="F41" i="12"/>
  <c r="J13" i="30"/>
  <c r="J28" i="30"/>
  <c r="J27" i="30"/>
  <c r="J26" i="30"/>
  <c r="J25" i="30"/>
  <c r="J24" i="30"/>
  <c r="F43" i="12"/>
  <c r="F39" i="12"/>
  <c r="F38" i="12"/>
  <c r="F37" i="12"/>
  <c r="F28" i="30"/>
  <c r="F27" i="30"/>
  <c r="F26" i="30"/>
  <c r="F25" i="30"/>
  <c r="F24" i="30"/>
  <c r="F23" i="30"/>
  <c r="F22" i="30"/>
  <c r="V22" i="30"/>
  <c r="C4" i="29" l="1"/>
  <c r="J29" i="30"/>
  <c r="F13" i="30"/>
  <c r="L38" i="12"/>
  <c r="F29" i="30"/>
  <c r="J83" i="30"/>
  <c r="R22" i="30"/>
  <c r="C80" i="27"/>
  <c r="C5" i="27" s="1"/>
  <c r="D64" i="27"/>
  <c r="D42" i="27"/>
  <c r="D23" i="27"/>
  <c r="E42" i="27"/>
  <c r="E26" i="27"/>
  <c r="E23" i="27" s="1"/>
  <c r="C39" i="12"/>
  <c r="I37" i="12"/>
  <c r="O37" i="12"/>
  <c r="L37" i="12"/>
  <c r="J23" i="30"/>
  <c r="J22" i="30"/>
  <c r="E64" i="27" l="1"/>
  <c r="E63" i="27" s="1"/>
  <c r="D63" i="27"/>
  <c r="E5" i="27" l="1"/>
  <c r="D5" i="27"/>
  <c r="K22" i="23" l="1"/>
  <c r="K117" i="27" l="1"/>
  <c r="L8" i="28" l="1"/>
  <c r="L21" i="28"/>
  <c r="L39" i="28"/>
  <c r="K114" i="27"/>
  <c r="K111" i="27"/>
  <c r="K109" i="27"/>
  <c r="K105" i="27"/>
  <c r="K99" i="27"/>
  <c r="K79" i="27"/>
  <c r="K78" i="27"/>
  <c r="K60" i="27"/>
  <c r="K38" i="27"/>
  <c r="K21" i="28" l="1"/>
  <c r="K39" i="28"/>
  <c r="K8" i="28"/>
  <c r="L5" i="28"/>
  <c r="L49" i="28" s="1"/>
  <c r="E18" i="36" l="1"/>
  <c r="E8" i="36"/>
  <c r="E19" i="36" l="1"/>
  <c r="J109" i="27" l="1"/>
  <c r="J21" i="28" l="1"/>
  <c r="J8" i="28" l="1"/>
  <c r="J105" i="27"/>
  <c r="O22" i="28" l="1"/>
  <c r="L33" i="27" l="1"/>
  <c r="L117" i="27"/>
  <c r="L103" i="27"/>
  <c r="L105" i="27"/>
  <c r="L107" i="27"/>
  <c r="L109" i="27"/>
  <c r="L94" i="27"/>
  <c r="J99" i="27"/>
  <c r="J79" i="27"/>
  <c r="J78" i="27" s="1"/>
  <c r="J38" i="27"/>
  <c r="L99" i="27"/>
  <c r="L79" i="27"/>
  <c r="L78" i="27" s="1"/>
  <c r="L60" i="27"/>
  <c r="L38" i="27"/>
  <c r="J29" i="35" l="1"/>
  <c r="J28" i="35" s="1"/>
  <c r="J31" i="35"/>
  <c r="J30" i="35" s="1"/>
  <c r="J24" i="35"/>
  <c r="I20" i="35"/>
  <c r="I19" i="35" s="1"/>
  <c r="I13" i="35"/>
  <c r="I10" i="35"/>
  <c r="I6" i="35"/>
  <c r="I5" i="35" l="1"/>
  <c r="I18" i="35" s="1"/>
  <c r="I3" i="35" s="1"/>
  <c r="J23" i="35"/>
  <c r="J34" i="35" s="1"/>
  <c r="J3" i="35" s="1"/>
  <c r="I38" i="27" l="1"/>
  <c r="XEK89" i="10" l="1"/>
  <c r="I79" i="27" l="1"/>
  <c r="I21" i="28"/>
  <c r="I78" i="27" l="1"/>
  <c r="I99" i="27"/>
  <c r="L22" i="16" l="1"/>
  <c r="H15" i="27" l="1"/>
  <c r="H13" i="27"/>
  <c r="H11" i="27"/>
  <c r="H10" i="27"/>
  <c r="H9" i="27"/>
  <c r="H8" i="27"/>
  <c r="H66" i="27"/>
  <c r="I66" i="27" s="1"/>
  <c r="H65" i="27"/>
  <c r="I65" i="27" s="1"/>
  <c r="H77" i="27"/>
  <c r="I77" i="27" s="1"/>
  <c r="K23" i="27" l="1"/>
  <c r="J23" i="27"/>
  <c r="L65" i="27"/>
  <c r="J65" i="27"/>
  <c r="K65" i="27" s="1"/>
  <c r="L6" i="27"/>
  <c r="L66" i="27"/>
  <c r="J66" i="27"/>
  <c r="K66" i="27" s="1"/>
  <c r="L77" i="27"/>
  <c r="J77" i="27"/>
  <c r="K77" i="27" s="1"/>
  <c r="L23" i="27"/>
  <c r="I23" i="27"/>
  <c r="J6" i="27" l="1"/>
  <c r="K6" i="27"/>
  <c r="K5" i="28" l="1"/>
  <c r="K49" i="28" s="1"/>
  <c r="H14" i="27" l="1"/>
  <c r="H99" i="27" l="1"/>
  <c r="F30" i="31" l="1"/>
  <c r="F27" i="31"/>
  <c r="F20" i="31"/>
  <c r="F17" i="31"/>
  <c r="F16" i="31" s="1"/>
  <c r="E13" i="31"/>
  <c r="E12" i="31" s="1"/>
  <c r="E5" i="31" l="1"/>
  <c r="E11" i="31" s="1"/>
  <c r="E3" i="31" s="1"/>
  <c r="F19" i="31"/>
  <c r="F32" i="31" s="1"/>
  <c r="F3" i="31" s="1"/>
  <c r="H28" i="35" l="1"/>
  <c r="H31" i="35"/>
  <c r="H30" i="35" s="1"/>
  <c r="H26" i="35"/>
  <c r="H24" i="35"/>
  <c r="G20" i="35"/>
  <c r="G19" i="35" s="1"/>
  <c r="G13" i="35"/>
  <c r="G10" i="35"/>
  <c r="G6" i="35"/>
  <c r="G5" i="35" l="1"/>
  <c r="G18" i="35" s="1"/>
  <c r="G3" i="35" s="1"/>
  <c r="H23" i="35"/>
  <c r="H34" i="35" s="1"/>
  <c r="H3" i="35" s="1"/>
  <c r="I60" i="27" l="1"/>
  <c r="J60" i="27"/>
  <c r="N15" i="8" l="1"/>
  <c r="G8" i="28" l="1"/>
  <c r="H8" i="28" s="1"/>
  <c r="I8" i="28" l="1"/>
  <c r="H12" i="27"/>
  <c r="J80" i="27" l="1"/>
  <c r="K80" i="27"/>
  <c r="I80" i="27"/>
  <c r="L80" i="27"/>
  <c r="L42" i="27"/>
  <c r="I42" i="27"/>
  <c r="H23" i="27"/>
  <c r="H7" i="27"/>
  <c r="J42" i="27" l="1"/>
  <c r="K42" i="27"/>
  <c r="I6" i="27"/>
  <c r="H6" i="27"/>
  <c r="Q83" i="27" l="1"/>
  <c r="Q81" i="27"/>
  <c r="Q80" i="27"/>
  <c r="Q87" i="27" l="1"/>
  <c r="O15" i="23" l="1"/>
  <c r="G23" i="27" l="1"/>
  <c r="G39" i="28" l="1"/>
  <c r="G63" i="27"/>
  <c r="H63" i="27" s="1"/>
  <c r="H39" i="28" l="1"/>
  <c r="J39" i="28" l="1"/>
  <c r="J5" i="28" s="1"/>
  <c r="J49" i="28" s="1"/>
  <c r="L63" i="27"/>
  <c r="L5" i="27" s="1"/>
  <c r="I39" i="28"/>
  <c r="I5" i="28" s="1"/>
  <c r="I49" i="28" s="1"/>
  <c r="I63" i="27"/>
  <c r="K63" i="27" l="1"/>
  <c r="J63" i="27"/>
  <c r="G81" i="27"/>
  <c r="V50" i="11" l="1"/>
  <c r="V96" i="10"/>
  <c r="V95" i="10"/>
  <c r="V59" i="10"/>
  <c r="V58" i="10"/>
  <c r="G118" i="27" l="1"/>
  <c r="H118" i="27" s="1"/>
  <c r="I118" i="27" s="1"/>
  <c r="J118" i="27" s="1"/>
  <c r="G115" i="27"/>
  <c r="H115" i="27" s="1"/>
  <c r="J114" i="27" s="1"/>
  <c r="H113" i="27"/>
  <c r="G112" i="27"/>
  <c r="H112" i="27" s="1"/>
  <c r="J111" i="27" s="1"/>
  <c r="G110" i="27"/>
  <c r="H110" i="27" s="1"/>
  <c r="I110" i="27" s="1"/>
  <c r="G108" i="27"/>
  <c r="H108" i="27" s="1"/>
  <c r="I108" i="27" s="1"/>
  <c r="J108" i="27" s="1"/>
  <c r="K108" i="27" s="1"/>
  <c r="G106" i="27"/>
  <c r="H106" i="27" s="1"/>
  <c r="I106" i="27" s="1"/>
  <c r="G104" i="27"/>
  <c r="H104" i="27" s="1"/>
  <c r="I104" i="27" s="1"/>
  <c r="J104" i="27" s="1"/>
  <c r="K104" i="27" s="1"/>
  <c r="I111" i="27" l="1"/>
  <c r="L111" i="27"/>
  <c r="I114" i="27"/>
  <c r="L114" i="27"/>
  <c r="G117" i="27"/>
  <c r="H117" i="27" s="1"/>
  <c r="I117" i="27" s="1"/>
  <c r="J117" i="27" s="1"/>
  <c r="G114" i="27"/>
  <c r="H114" i="27" s="1"/>
  <c r="G111" i="27"/>
  <c r="H111" i="27" s="1"/>
  <c r="G109" i="27"/>
  <c r="H109" i="27" s="1"/>
  <c r="I109" i="27" s="1"/>
  <c r="G107" i="27"/>
  <c r="H107" i="27" s="1"/>
  <c r="I107" i="27" s="1"/>
  <c r="J107" i="27" s="1"/>
  <c r="K107" i="27" s="1"/>
  <c r="G105" i="27"/>
  <c r="H105" i="27" s="1"/>
  <c r="I105" i="27" s="1"/>
  <c r="G103" i="27"/>
  <c r="H103" i="27" s="1"/>
  <c r="I103" i="27" s="1"/>
  <c r="J103" i="27" s="1"/>
  <c r="K103" i="27" s="1"/>
  <c r="G99" i="27"/>
  <c r="G94" i="27"/>
  <c r="H94" i="27" s="1"/>
  <c r="G80" i="27"/>
  <c r="G5" i="27" s="1"/>
  <c r="G78" i="27"/>
  <c r="H78" i="27" s="1"/>
  <c r="G60" i="27"/>
  <c r="H60" i="27" s="1"/>
  <c r="H42" i="27"/>
  <c r="G38" i="27"/>
  <c r="H38" i="27" s="1"/>
  <c r="G33" i="27"/>
  <c r="H33" i="27" s="1"/>
  <c r="I33" i="27" s="1"/>
  <c r="J33" i="27" s="1"/>
  <c r="G6" i="27"/>
  <c r="O6" i="12"/>
  <c r="I18" i="36"/>
  <c r="H15" i="36"/>
  <c r="H14" i="36"/>
  <c r="H13" i="36"/>
  <c r="H12" i="36"/>
  <c r="H11" i="36"/>
  <c r="H10" i="36"/>
  <c r="G8" i="36"/>
  <c r="F8" i="36"/>
  <c r="G21" i="28"/>
  <c r="K33" i="27" l="1"/>
  <c r="H93" i="27"/>
  <c r="I94" i="27"/>
  <c r="J94" i="27" s="1"/>
  <c r="H18" i="36"/>
  <c r="H80" i="27"/>
  <c r="H5" i="27" s="1"/>
  <c r="G5" i="28"/>
  <c r="H21" i="28"/>
  <c r="H5" i="28" s="1"/>
  <c r="H49" i="28" s="1"/>
  <c r="F19" i="36"/>
  <c r="G93" i="27"/>
  <c r="G19" i="36"/>
  <c r="Q33" i="5"/>
  <c r="J93" i="27" l="1"/>
  <c r="J119" i="27" s="1"/>
  <c r="K94" i="27"/>
  <c r="K93" i="27" s="1"/>
  <c r="K119" i="27" s="1"/>
  <c r="I93" i="27"/>
  <c r="L93" i="27"/>
  <c r="L119" i="27" s="1"/>
  <c r="H119" i="27"/>
  <c r="G49" i="28"/>
  <c r="T15" i="23"/>
  <c r="G119" i="27"/>
  <c r="R58" i="10"/>
  <c r="R59" i="10"/>
  <c r="F111" i="27"/>
  <c r="F114" i="27"/>
  <c r="F99" i="27"/>
  <c r="F117" i="27"/>
  <c r="F109" i="27"/>
  <c r="F107" i="27"/>
  <c r="F105" i="27"/>
  <c r="F103" i="27"/>
  <c r="F80" i="27"/>
  <c r="R25" i="30"/>
  <c r="I119" i="27" l="1"/>
  <c r="F94" i="27"/>
  <c r="F93" i="27" s="1"/>
  <c r="F8" i="28" l="1"/>
  <c r="F21" i="28"/>
  <c r="F39" i="28"/>
  <c r="F42" i="27"/>
  <c r="F63" i="27"/>
  <c r="F6" i="27"/>
  <c r="F78" i="27"/>
  <c r="F60" i="27"/>
  <c r="F38" i="27"/>
  <c r="F33" i="27"/>
  <c r="R21" i="30"/>
  <c r="O22" i="23" l="1"/>
  <c r="P15" i="23"/>
  <c r="F23" i="27"/>
  <c r="F5" i="28"/>
  <c r="F49" i="28" s="1"/>
  <c r="F119" i="27" l="1"/>
  <c r="R9" i="30"/>
  <c r="S49" i="11" l="1"/>
  <c r="S48" i="11" s="1"/>
  <c r="S56" i="11"/>
  <c r="S57" i="11"/>
  <c r="S31" i="11"/>
  <c r="S32" i="11"/>
  <c r="S33" i="11"/>
  <c r="S35" i="11"/>
  <c r="S37" i="11"/>
  <c r="S38" i="11"/>
  <c r="S40" i="11"/>
  <c r="S41" i="11"/>
  <c r="S7" i="11"/>
  <c r="S8" i="11"/>
  <c r="S15" i="11"/>
  <c r="S16" i="11"/>
  <c r="S27" i="11"/>
  <c r="S28" i="11"/>
  <c r="T49" i="11"/>
  <c r="T48" i="11" s="1"/>
  <c r="T56" i="11"/>
  <c r="T57" i="11"/>
  <c r="T31" i="11"/>
  <c r="T32" i="11"/>
  <c r="T33" i="11"/>
  <c r="T35" i="11"/>
  <c r="T37" i="11"/>
  <c r="T38" i="11"/>
  <c r="T40" i="11"/>
  <c r="T41" i="11"/>
  <c r="T7" i="11"/>
  <c r="T8" i="11"/>
  <c r="T15" i="11"/>
  <c r="T16" i="11"/>
  <c r="T27" i="11"/>
  <c r="U49" i="11"/>
  <c r="U48" i="11" s="1"/>
  <c r="U56" i="11"/>
  <c r="U57" i="11"/>
  <c r="U31" i="11"/>
  <c r="U32" i="11"/>
  <c r="U33" i="11"/>
  <c r="U35" i="11"/>
  <c r="U37" i="11"/>
  <c r="U38" i="11"/>
  <c r="U40" i="11"/>
  <c r="U41" i="11"/>
  <c r="U7" i="11"/>
  <c r="U8" i="11"/>
  <c r="U15" i="11"/>
  <c r="U16" i="11"/>
  <c r="U27" i="11"/>
  <c r="V59" i="11"/>
  <c r="V58" i="11"/>
  <c r="V55" i="11"/>
  <c r="V53" i="11"/>
  <c r="F21" i="16" s="1"/>
  <c r="V52" i="11"/>
  <c r="V51" i="11"/>
  <c r="O49" i="11"/>
  <c r="O48" i="11" s="1"/>
  <c r="O56" i="11"/>
  <c r="O57" i="11"/>
  <c r="O31" i="11"/>
  <c r="O32" i="11"/>
  <c r="O33" i="11"/>
  <c r="O35" i="11"/>
  <c r="O37" i="11"/>
  <c r="O38" i="11"/>
  <c r="O40" i="11"/>
  <c r="O41" i="11"/>
  <c r="O7" i="11"/>
  <c r="O8" i="11"/>
  <c r="O15" i="11"/>
  <c r="O16" i="11"/>
  <c r="O25" i="11"/>
  <c r="O27" i="11"/>
  <c r="O28" i="11"/>
  <c r="P49" i="11"/>
  <c r="P48" i="11" s="1"/>
  <c r="P56" i="11"/>
  <c r="P57" i="11"/>
  <c r="P31" i="11"/>
  <c r="P32" i="11"/>
  <c r="P33" i="11"/>
  <c r="P35" i="11"/>
  <c r="P37" i="11"/>
  <c r="P38" i="11"/>
  <c r="P40" i="11"/>
  <c r="P41" i="11"/>
  <c r="P7" i="11"/>
  <c r="P8" i="11"/>
  <c r="P15" i="11"/>
  <c r="P16" i="11"/>
  <c r="P27" i="11"/>
  <c r="Q49" i="11"/>
  <c r="Q48" i="11" s="1"/>
  <c r="Q56" i="11"/>
  <c r="Q57" i="11"/>
  <c r="R57" i="11" s="1"/>
  <c r="E24" i="16" s="1"/>
  <c r="Q31" i="11"/>
  <c r="Q32" i="11"/>
  <c r="Q33" i="11"/>
  <c r="Q35" i="11"/>
  <c r="Q37" i="11"/>
  <c r="Q38" i="11"/>
  <c r="Q40" i="11"/>
  <c r="Q41" i="11"/>
  <c r="Q7" i="11"/>
  <c r="Q8" i="11"/>
  <c r="Q15" i="11"/>
  <c r="Q16" i="11"/>
  <c r="Q27" i="11"/>
  <c r="R59" i="11"/>
  <c r="R58" i="11"/>
  <c r="R55" i="11"/>
  <c r="R53" i="11"/>
  <c r="E21" i="16" s="1"/>
  <c r="R52" i="11"/>
  <c r="R51" i="11"/>
  <c r="O43" i="2"/>
  <c r="O42" i="2" s="1"/>
  <c r="O41" i="2"/>
  <c r="O39" i="2"/>
  <c r="O38" i="2"/>
  <c r="O37" i="2"/>
  <c r="L41" i="2"/>
  <c r="L38" i="2"/>
  <c r="L37" i="2"/>
  <c r="O43" i="5"/>
  <c r="O42" i="5" s="1"/>
  <c r="O41" i="5"/>
  <c r="O39" i="5"/>
  <c r="O38" i="5"/>
  <c r="O37" i="5"/>
  <c r="L43" i="5"/>
  <c r="L41" i="5"/>
  <c r="L39" i="5"/>
  <c r="L38" i="5"/>
  <c r="L37" i="5"/>
  <c r="O43" i="7"/>
  <c r="O42" i="7" s="1"/>
  <c r="O41" i="7"/>
  <c r="O39" i="7"/>
  <c r="O38" i="7"/>
  <c r="O37" i="7"/>
  <c r="L43" i="7"/>
  <c r="L42" i="7" s="1"/>
  <c r="L41" i="7"/>
  <c r="L39" i="7"/>
  <c r="L38" i="7"/>
  <c r="L37" i="7"/>
  <c r="O41" i="18"/>
  <c r="Q41" i="18" s="1"/>
  <c r="O43" i="18"/>
  <c r="O39" i="18"/>
  <c r="O38" i="18"/>
  <c r="P43" i="18"/>
  <c r="P42" i="18" s="1"/>
  <c r="P39" i="18"/>
  <c r="P38" i="18"/>
  <c r="P37" i="18"/>
  <c r="O37" i="18"/>
  <c r="L43" i="18"/>
  <c r="L39" i="18"/>
  <c r="L38" i="18"/>
  <c r="L41" i="18"/>
  <c r="N41" i="18" s="1"/>
  <c r="L37" i="18"/>
  <c r="O41" i="14"/>
  <c r="Q41" i="14" s="1"/>
  <c r="O39" i="14"/>
  <c r="O38" i="14"/>
  <c r="O43" i="14"/>
  <c r="O42" i="14" s="1"/>
  <c r="P43" i="14"/>
  <c r="P39" i="14"/>
  <c r="P38" i="14"/>
  <c r="P37" i="14"/>
  <c r="O37" i="14"/>
  <c r="M43" i="14"/>
  <c r="M42" i="14" s="1"/>
  <c r="L43" i="14"/>
  <c r="L42" i="14" s="1"/>
  <c r="L38" i="14"/>
  <c r="L39" i="14"/>
  <c r="L41" i="14"/>
  <c r="N41" i="14" s="1"/>
  <c r="M39" i="14"/>
  <c r="M38" i="14"/>
  <c r="M37" i="14"/>
  <c r="L37" i="14"/>
  <c r="O43" i="8"/>
  <c r="O42" i="8" s="1"/>
  <c r="O41" i="8"/>
  <c r="Q41" i="8" s="1"/>
  <c r="O39" i="8"/>
  <c r="O38" i="8"/>
  <c r="O37" i="8"/>
  <c r="L43" i="8"/>
  <c r="L42" i="8" s="1"/>
  <c r="L41" i="8"/>
  <c r="N41" i="8" s="1"/>
  <c r="L39" i="8"/>
  <c r="L38" i="8"/>
  <c r="L37" i="8"/>
  <c r="N37" i="8" s="1"/>
  <c r="O43" i="37"/>
  <c r="O41" i="37"/>
  <c r="Q41" i="37" s="1"/>
  <c r="O39" i="37"/>
  <c r="O38" i="37"/>
  <c r="O37" i="37"/>
  <c r="L41" i="37"/>
  <c r="N41" i="37" s="1"/>
  <c r="L38" i="37"/>
  <c r="L37" i="37"/>
  <c r="S27" i="24"/>
  <c r="S28" i="24"/>
  <c r="S29" i="24"/>
  <c r="S30" i="24"/>
  <c r="S31" i="24"/>
  <c r="S33" i="24"/>
  <c r="S34" i="24"/>
  <c r="T27" i="24"/>
  <c r="T28" i="24"/>
  <c r="T29" i="24"/>
  <c r="T30" i="24"/>
  <c r="T31" i="24"/>
  <c r="T33" i="24"/>
  <c r="T34" i="24"/>
  <c r="U27" i="24"/>
  <c r="U28" i="24"/>
  <c r="U31" i="24"/>
  <c r="U33" i="24"/>
  <c r="U34" i="24"/>
  <c r="U32" i="24" s="1"/>
  <c r="V23" i="24"/>
  <c r="V22" i="24"/>
  <c r="V21" i="24"/>
  <c r="V20" i="24"/>
  <c r="V19" i="24"/>
  <c r="V14" i="24"/>
  <c r="V13" i="24"/>
  <c r="V12" i="24"/>
  <c r="V11" i="24"/>
  <c r="V10" i="24"/>
  <c r="O27" i="24"/>
  <c r="O28" i="24"/>
  <c r="O29" i="24"/>
  <c r="O30" i="24"/>
  <c r="O31" i="24"/>
  <c r="O33" i="24"/>
  <c r="O32" i="24" s="1"/>
  <c r="O34" i="24"/>
  <c r="P27" i="24"/>
  <c r="P28" i="24"/>
  <c r="P29" i="24"/>
  <c r="P30" i="24"/>
  <c r="P31" i="24"/>
  <c r="P33" i="24"/>
  <c r="P34" i="24"/>
  <c r="Q27" i="24"/>
  <c r="Q28" i="24"/>
  <c r="Q31" i="24"/>
  <c r="Q33" i="24"/>
  <c r="Q34" i="24"/>
  <c r="R23" i="24"/>
  <c r="R22" i="24"/>
  <c r="R21" i="24"/>
  <c r="R20" i="24"/>
  <c r="R19" i="24"/>
  <c r="R14" i="24"/>
  <c r="R13" i="24"/>
  <c r="R12" i="24"/>
  <c r="R11" i="24"/>
  <c r="R10" i="24"/>
  <c r="V91" i="30"/>
  <c r="R91" i="30"/>
  <c r="R78" i="30"/>
  <c r="R36" i="30"/>
  <c r="R35" i="30"/>
  <c r="R34" i="30"/>
  <c r="S41" i="30"/>
  <c r="R90" i="30"/>
  <c r="O41" i="30"/>
  <c r="S94" i="10"/>
  <c r="S100" i="10"/>
  <c r="S54" i="11" s="1"/>
  <c r="S105" i="10"/>
  <c r="S63" i="10"/>
  <c r="S69" i="10"/>
  <c r="S36" i="11" s="1"/>
  <c r="S78" i="10"/>
  <c r="S82" i="10"/>
  <c r="S7" i="10"/>
  <c r="S6" i="11" s="1"/>
  <c r="S18" i="10"/>
  <c r="S9" i="11" s="1"/>
  <c r="S26" i="10"/>
  <c r="S11" i="11" s="1"/>
  <c r="S29" i="10"/>
  <c r="S12" i="11" s="1"/>
  <c r="S32" i="10"/>
  <c r="S13" i="11" s="1"/>
  <c r="S36" i="10"/>
  <c r="S43" i="10"/>
  <c r="S19" i="11" s="1"/>
  <c r="S46" i="10"/>
  <c r="S51" i="10"/>
  <c r="S22" i="11" s="1"/>
  <c r="S55" i="10"/>
  <c r="T94" i="10"/>
  <c r="T100" i="10"/>
  <c r="T54" i="11" s="1"/>
  <c r="T105" i="10"/>
  <c r="T63" i="10"/>
  <c r="T69" i="10"/>
  <c r="T42" i="11"/>
  <c r="T82" i="10"/>
  <c r="T43" i="11" s="1"/>
  <c r="T7" i="10"/>
  <c r="T6" i="11" s="1"/>
  <c r="T18" i="10"/>
  <c r="T26" i="10"/>
  <c r="T11" i="11" s="1"/>
  <c r="T29" i="10"/>
  <c r="T12" i="11" s="1"/>
  <c r="T32" i="10"/>
  <c r="T13" i="11" s="1"/>
  <c r="T36" i="10"/>
  <c r="T43" i="10"/>
  <c r="T19" i="11" s="1"/>
  <c r="T46" i="10"/>
  <c r="T51" i="10"/>
  <c r="T57" i="10"/>
  <c r="T28" i="11" s="1"/>
  <c r="U94" i="10"/>
  <c r="U100" i="10"/>
  <c r="U54" i="11" s="1"/>
  <c r="U105" i="10"/>
  <c r="U63" i="10"/>
  <c r="U69" i="10"/>
  <c r="U67" i="10" s="1"/>
  <c r="U78" i="10"/>
  <c r="U42" i="11" s="1"/>
  <c r="U82" i="10"/>
  <c r="U7" i="10"/>
  <c r="U20" i="10"/>
  <c r="U18" i="10" s="1"/>
  <c r="U26" i="10"/>
  <c r="U11" i="11" s="1"/>
  <c r="U29" i="10"/>
  <c r="U32" i="10"/>
  <c r="U13" i="11" s="1"/>
  <c r="U36" i="10"/>
  <c r="U43" i="10"/>
  <c r="U19" i="11" s="1"/>
  <c r="U46" i="10"/>
  <c r="U51" i="10"/>
  <c r="U22" i="11" s="1"/>
  <c r="U55" i="10"/>
  <c r="V107" i="10"/>
  <c r="V106" i="10"/>
  <c r="V103" i="10"/>
  <c r="V102" i="10"/>
  <c r="V101" i="10"/>
  <c r="V99" i="10"/>
  <c r="V98" i="10"/>
  <c r="V97" i="10"/>
  <c r="V88" i="10"/>
  <c r="V87" i="10"/>
  <c r="V86" i="10"/>
  <c r="V85" i="10"/>
  <c r="V84" i="10"/>
  <c r="V83" i="10"/>
  <c r="V81" i="10"/>
  <c r="V80" i="10"/>
  <c r="V79" i="10"/>
  <c r="V77" i="10"/>
  <c r="V76" i="10"/>
  <c r="V74" i="10"/>
  <c r="V73" i="10"/>
  <c r="V72" i="10"/>
  <c r="V71" i="10"/>
  <c r="V70" i="10"/>
  <c r="V68" i="10"/>
  <c r="V66" i="10"/>
  <c r="V65" i="10"/>
  <c r="V64" i="10"/>
  <c r="V60" i="10"/>
  <c r="V57" i="10" s="1"/>
  <c r="V56" i="10"/>
  <c r="V54" i="10"/>
  <c r="V53" i="10"/>
  <c r="V52" i="10"/>
  <c r="V50" i="10"/>
  <c r="V49" i="10"/>
  <c r="V48" i="10"/>
  <c r="V47" i="10"/>
  <c r="V45" i="10"/>
  <c r="V44" i="10"/>
  <c r="V42" i="10"/>
  <c r="V40" i="10"/>
  <c r="V39" i="10"/>
  <c r="V38" i="10"/>
  <c r="V37" i="10"/>
  <c r="V35" i="10"/>
  <c r="V34" i="10"/>
  <c r="V33" i="10"/>
  <c r="V31" i="10"/>
  <c r="V30" i="10"/>
  <c r="V28" i="10"/>
  <c r="V27" i="10"/>
  <c r="V24" i="10"/>
  <c r="V23" i="10"/>
  <c r="V22" i="10"/>
  <c r="V21" i="10"/>
  <c r="V20" i="10"/>
  <c r="V19" i="10"/>
  <c r="V17" i="10"/>
  <c r="V16" i="10"/>
  <c r="V14" i="10"/>
  <c r="V13" i="10"/>
  <c r="V12" i="10"/>
  <c r="V11" i="10"/>
  <c r="V10" i="10"/>
  <c r="V9" i="10"/>
  <c r="V8" i="10"/>
  <c r="O94" i="10"/>
  <c r="O100" i="10"/>
  <c r="O105" i="10"/>
  <c r="O63" i="10"/>
  <c r="O69" i="10"/>
  <c r="O67" i="10" s="1"/>
  <c r="O42" i="11"/>
  <c r="O43" i="11"/>
  <c r="O7" i="10"/>
  <c r="O6" i="11" s="1"/>
  <c r="O9" i="11"/>
  <c r="O26" i="10"/>
  <c r="O11" i="11" s="1"/>
  <c r="O29" i="10"/>
  <c r="O12" i="11" s="1"/>
  <c r="O32" i="10"/>
  <c r="O36" i="10"/>
  <c r="O46" i="10"/>
  <c r="O22" i="11"/>
  <c r="O55" i="10"/>
  <c r="P94" i="10"/>
  <c r="P100" i="10"/>
  <c r="P54" i="11" s="1"/>
  <c r="P105" i="10"/>
  <c r="P63" i="10"/>
  <c r="P69" i="10"/>
  <c r="P36" i="11" s="1"/>
  <c r="P78" i="10"/>
  <c r="P82" i="10"/>
  <c r="P43" i="11" s="1"/>
  <c r="P7" i="10"/>
  <c r="P6" i="11" s="1"/>
  <c r="P18" i="10"/>
  <c r="P26" i="10"/>
  <c r="P11" i="11" s="1"/>
  <c r="P29" i="10"/>
  <c r="P12" i="11" s="1"/>
  <c r="P32" i="10"/>
  <c r="P13" i="11" s="1"/>
  <c r="P36" i="10"/>
  <c r="P43" i="10"/>
  <c r="P19" i="11" s="1"/>
  <c r="P46" i="10"/>
  <c r="P51" i="10"/>
  <c r="P57" i="10"/>
  <c r="P55" i="10" s="1"/>
  <c r="Q94" i="10"/>
  <c r="Q100" i="10"/>
  <c r="Q54" i="11" s="1"/>
  <c r="Q105" i="10"/>
  <c r="Q63" i="10"/>
  <c r="Q69" i="10"/>
  <c r="Q36" i="11" s="1"/>
  <c r="Q78" i="10"/>
  <c r="Q82" i="10"/>
  <c r="Q43" i="11" s="1"/>
  <c r="Q7" i="10"/>
  <c r="Q6" i="11" s="1"/>
  <c r="Q20" i="10"/>
  <c r="Q18" i="10" s="1"/>
  <c r="Q9" i="11" s="1"/>
  <c r="Q26" i="10"/>
  <c r="Q11" i="11" s="1"/>
  <c r="Q29" i="10"/>
  <c r="Q12" i="11" s="1"/>
  <c r="Q32" i="10"/>
  <c r="Q13" i="11" s="1"/>
  <c r="Q36" i="10"/>
  <c r="Q43" i="10"/>
  <c r="Q19" i="11" s="1"/>
  <c r="Q46" i="10"/>
  <c r="Q51" i="10"/>
  <c r="Q22" i="11" s="1"/>
  <c r="Q55" i="10"/>
  <c r="R107" i="10"/>
  <c r="R106" i="10"/>
  <c r="R103" i="10"/>
  <c r="R102" i="10"/>
  <c r="R101" i="10"/>
  <c r="R99" i="10"/>
  <c r="R98" i="10"/>
  <c r="R97" i="10"/>
  <c r="R87" i="10"/>
  <c r="R86" i="10"/>
  <c r="R85" i="10"/>
  <c r="R84" i="10"/>
  <c r="R83" i="10"/>
  <c r="R81" i="10"/>
  <c r="R80" i="10"/>
  <c r="R79" i="10"/>
  <c r="R77" i="10"/>
  <c r="R76" i="10"/>
  <c r="R74" i="10"/>
  <c r="R73" i="10"/>
  <c r="R72" i="10"/>
  <c r="R71" i="10"/>
  <c r="R70" i="10"/>
  <c r="R68" i="10"/>
  <c r="R66" i="10"/>
  <c r="R65" i="10"/>
  <c r="R64" i="10"/>
  <c r="R60" i="10"/>
  <c r="R57" i="10" s="1"/>
  <c r="R56" i="10"/>
  <c r="R54" i="10"/>
  <c r="R53" i="10"/>
  <c r="R52" i="10"/>
  <c r="R50" i="10"/>
  <c r="R49" i="10"/>
  <c r="R48" i="10"/>
  <c r="R47" i="10"/>
  <c r="R45" i="10"/>
  <c r="R44" i="10"/>
  <c r="R42" i="10"/>
  <c r="R40" i="10"/>
  <c r="R39" i="10"/>
  <c r="R38" i="10"/>
  <c r="R37" i="10"/>
  <c r="R35" i="10"/>
  <c r="R34" i="10"/>
  <c r="R33" i="10"/>
  <c r="R31" i="10"/>
  <c r="R30" i="10"/>
  <c r="R28" i="10"/>
  <c r="R27" i="10"/>
  <c r="R24" i="10"/>
  <c r="R23" i="10"/>
  <c r="R22" i="10"/>
  <c r="R21" i="10"/>
  <c r="R19" i="10"/>
  <c r="R17" i="10"/>
  <c r="R16" i="10"/>
  <c r="R14" i="10"/>
  <c r="R13" i="10"/>
  <c r="R12" i="10"/>
  <c r="R11" i="10"/>
  <c r="R10" i="10"/>
  <c r="R9" i="10"/>
  <c r="R8" i="10"/>
  <c r="U39" i="23"/>
  <c r="U30" i="24" s="1"/>
  <c r="Q39" i="23"/>
  <c r="Q30" i="24" s="1"/>
  <c r="P38" i="23"/>
  <c r="P32" i="23" s="1"/>
  <c r="S18" i="23"/>
  <c r="V18" i="23" s="1"/>
  <c r="P23" i="23"/>
  <c r="P11" i="23"/>
  <c r="F4" i="29"/>
  <c r="F26" i="29"/>
  <c r="S20" i="23" s="1"/>
  <c r="E26" i="29"/>
  <c r="O20" i="23" s="1"/>
  <c r="O18" i="23"/>
  <c r="R18" i="23" s="1"/>
  <c r="P9" i="23"/>
  <c r="O29" i="23"/>
  <c r="R29" i="23" s="1"/>
  <c r="O23" i="23"/>
  <c r="O10" i="23"/>
  <c r="O9" i="23"/>
  <c r="O8" i="23"/>
  <c r="S32" i="23"/>
  <c r="S41" i="23"/>
  <c r="T32" i="23"/>
  <c r="T41" i="23"/>
  <c r="T24" i="23"/>
  <c r="T20" i="23"/>
  <c r="T17" i="23" s="1"/>
  <c r="U41" i="23"/>
  <c r="U24" i="23"/>
  <c r="U19" i="23"/>
  <c r="U20" i="23"/>
  <c r="V43" i="23"/>
  <c r="V42" i="23"/>
  <c r="V40" i="23"/>
  <c r="V36" i="23"/>
  <c r="V35" i="23"/>
  <c r="V34" i="23"/>
  <c r="V33" i="23"/>
  <c r="V28" i="23"/>
  <c r="V27" i="23"/>
  <c r="V26" i="23"/>
  <c r="V25" i="23"/>
  <c r="V14" i="23"/>
  <c r="V6" i="23"/>
  <c r="H6" i="36" s="1"/>
  <c r="V5" i="23"/>
  <c r="D6" i="36" s="1"/>
  <c r="O32" i="23"/>
  <c r="O41" i="23"/>
  <c r="P41" i="23"/>
  <c r="P24" i="23"/>
  <c r="P17" i="23"/>
  <c r="Q41" i="23"/>
  <c r="Q24" i="23"/>
  <c r="Q19" i="23"/>
  <c r="Q20" i="23"/>
  <c r="R43" i="23"/>
  <c r="R42" i="23"/>
  <c r="R40" i="23"/>
  <c r="R36" i="23"/>
  <c r="R35" i="23"/>
  <c r="R34" i="23"/>
  <c r="R33" i="23"/>
  <c r="R28" i="23"/>
  <c r="R27" i="23"/>
  <c r="R26" i="23"/>
  <c r="R25" i="23"/>
  <c r="R14" i="23"/>
  <c r="R6" i="23"/>
  <c r="R5" i="23"/>
  <c r="U37" i="23"/>
  <c r="U29" i="24" s="1"/>
  <c r="V82" i="30"/>
  <c r="V80" i="30"/>
  <c r="V75" i="30"/>
  <c r="V81" i="30"/>
  <c r="V77" i="30"/>
  <c r="T8" i="23"/>
  <c r="T11" i="23"/>
  <c r="V70" i="30"/>
  <c r="V69" i="30"/>
  <c r="V68" i="30"/>
  <c r="V67" i="30"/>
  <c r="V66" i="30"/>
  <c r="V65" i="30"/>
  <c r="V64" i="30"/>
  <c r="V63" i="30"/>
  <c r="V62" i="30"/>
  <c r="V61" i="30"/>
  <c r="V60" i="30"/>
  <c r="V59" i="30"/>
  <c r="V15" i="23"/>
  <c r="V57" i="30"/>
  <c r="V56" i="30"/>
  <c r="T9" i="23"/>
  <c r="V54" i="30"/>
  <c r="V53" i="30"/>
  <c r="V52" i="30"/>
  <c r="V51" i="30"/>
  <c r="V50" i="30"/>
  <c r="V49" i="30"/>
  <c r="V48" i="30"/>
  <c r="V47" i="30"/>
  <c r="V46" i="30"/>
  <c r="V45" i="30"/>
  <c r="V44" i="30"/>
  <c r="V43" i="30"/>
  <c r="V19" i="30"/>
  <c r="Q37" i="23"/>
  <c r="Q29" i="24" s="1"/>
  <c r="R82" i="30"/>
  <c r="R80" i="30"/>
  <c r="R81" i="30"/>
  <c r="R77" i="30"/>
  <c r="P22" i="23"/>
  <c r="R73" i="30"/>
  <c r="R72" i="30"/>
  <c r="R71" i="30"/>
  <c r="R70" i="30"/>
  <c r="R69" i="30"/>
  <c r="R68" i="30"/>
  <c r="R66" i="30"/>
  <c r="R65" i="30"/>
  <c r="R64" i="30"/>
  <c r="R63" i="30"/>
  <c r="R62" i="30"/>
  <c r="R61" i="30"/>
  <c r="R60" i="30"/>
  <c r="R59" i="30"/>
  <c r="R58" i="30"/>
  <c r="R57" i="30"/>
  <c r="R56" i="30"/>
  <c r="R55" i="30"/>
  <c r="R54" i="30"/>
  <c r="R53" i="30"/>
  <c r="R52" i="30"/>
  <c r="R51" i="30"/>
  <c r="R50" i="30"/>
  <c r="R49" i="30"/>
  <c r="R48" i="30"/>
  <c r="R47" i="30"/>
  <c r="R46" i="30"/>
  <c r="R45" i="30"/>
  <c r="R44" i="30"/>
  <c r="R42" i="30"/>
  <c r="R19" i="30"/>
  <c r="R14" i="30"/>
  <c r="R11" i="30"/>
  <c r="R10" i="30"/>
  <c r="R8" i="30"/>
  <c r="S43" i="20"/>
  <c r="S8" i="24" s="1"/>
  <c r="S44" i="20"/>
  <c r="S46" i="20"/>
  <c r="S47" i="20"/>
  <c r="S48" i="20"/>
  <c r="T43" i="20"/>
  <c r="T44" i="20"/>
  <c r="T47" i="20"/>
  <c r="T48" i="20"/>
  <c r="U40" i="20"/>
  <c r="U41" i="20"/>
  <c r="U42" i="20"/>
  <c r="U43" i="20"/>
  <c r="U44" i="20"/>
  <c r="U46" i="20"/>
  <c r="U47" i="20"/>
  <c r="U48" i="20"/>
  <c r="U18" i="24" s="1"/>
  <c r="S26" i="20"/>
  <c r="S28" i="20"/>
  <c r="S31" i="20"/>
  <c r="S9" i="20"/>
  <c r="S11" i="20"/>
  <c r="S15" i="20"/>
  <c r="S18" i="11" s="1"/>
  <c r="S17" i="20"/>
  <c r="S18" i="20"/>
  <c r="S21" i="11" s="1"/>
  <c r="S20" i="20"/>
  <c r="S21" i="20"/>
  <c r="S24" i="11" s="1"/>
  <c r="S22" i="20"/>
  <c r="S25" i="11" s="1"/>
  <c r="T26" i="20"/>
  <c r="T28" i="20"/>
  <c r="T31" i="20"/>
  <c r="T9" i="20"/>
  <c r="T11" i="20"/>
  <c r="T15" i="20"/>
  <c r="T17" i="20"/>
  <c r="T18" i="20"/>
  <c r="T20" i="20"/>
  <c r="T23" i="11" s="1"/>
  <c r="T21" i="20"/>
  <c r="T24" i="11" s="1"/>
  <c r="T22" i="20"/>
  <c r="T25" i="11" s="1"/>
  <c r="U26" i="20"/>
  <c r="U28" i="20"/>
  <c r="U31" i="20"/>
  <c r="U9" i="20"/>
  <c r="U11" i="20"/>
  <c r="U15" i="20"/>
  <c r="U18" i="11" s="1"/>
  <c r="U17" i="20"/>
  <c r="U18" i="20"/>
  <c r="U21" i="11" s="1"/>
  <c r="U20" i="20"/>
  <c r="U23" i="11" s="1"/>
  <c r="U21" i="20"/>
  <c r="U24" i="11" s="1"/>
  <c r="U22" i="20"/>
  <c r="U25" i="11" s="1"/>
  <c r="V36" i="20"/>
  <c r="V32" i="20"/>
  <c r="V30" i="20"/>
  <c r="V29" i="20"/>
  <c r="V27" i="20"/>
  <c r="V24" i="20"/>
  <c r="S23" i="20"/>
  <c r="T23" i="20"/>
  <c r="U23" i="20"/>
  <c r="V19" i="20"/>
  <c r="V16" i="20"/>
  <c r="V13" i="20"/>
  <c r="V12" i="20"/>
  <c r="V10" i="20"/>
  <c r="V7" i="20"/>
  <c r="I7" i="36" s="1"/>
  <c r="I8" i="36" s="1"/>
  <c r="I19" i="36" s="1"/>
  <c r="V6" i="20"/>
  <c r="H7" i="36" s="1"/>
  <c r="V5" i="20"/>
  <c r="D7" i="36" s="1"/>
  <c r="O43" i="20"/>
  <c r="O8" i="24" s="1"/>
  <c r="O44" i="20"/>
  <c r="O46" i="20"/>
  <c r="O47" i="20"/>
  <c r="O48" i="20"/>
  <c r="P43" i="20"/>
  <c r="P44" i="20"/>
  <c r="P47" i="20"/>
  <c r="P48" i="20"/>
  <c r="Q40" i="20"/>
  <c r="Q5" i="24" s="1"/>
  <c r="Q41" i="20"/>
  <c r="Q6" i="24" s="1"/>
  <c r="Q42" i="20"/>
  <c r="Q7" i="24" s="1"/>
  <c r="Q43" i="20"/>
  <c r="Q8" i="24" s="1"/>
  <c r="Q44" i="20"/>
  <c r="Q46" i="20"/>
  <c r="Q16" i="24" s="1"/>
  <c r="Q47" i="20"/>
  <c r="Q17" i="24" s="1"/>
  <c r="Q48" i="20"/>
  <c r="Q18" i="24" s="1"/>
  <c r="O26" i="20"/>
  <c r="O28" i="20"/>
  <c r="O31" i="20"/>
  <c r="O9" i="20"/>
  <c r="O11" i="20"/>
  <c r="O15" i="20"/>
  <c r="O18" i="11" s="1"/>
  <c r="O17" i="20"/>
  <c r="O18" i="20"/>
  <c r="O21" i="11" s="1"/>
  <c r="O20" i="20"/>
  <c r="O21" i="20"/>
  <c r="O24" i="11" s="1"/>
  <c r="P26" i="20"/>
  <c r="P28" i="20"/>
  <c r="P31" i="20"/>
  <c r="P9" i="20"/>
  <c r="P11" i="20"/>
  <c r="P15" i="20"/>
  <c r="P18" i="11" s="1"/>
  <c r="P17" i="20"/>
  <c r="P18" i="20"/>
  <c r="P21" i="11" s="1"/>
  <c r="P20" i="20"/>
  <c r="P21" i="20"/>
  <c r="P24" i="11" s="1"/>
  <c r="P22" i="20"/>
  <c r="Q26" i="20"/>
  <c r="Q28" i="20"/>
  <c r="Q31" i="20"/>
  <c r="Q9" i="20"/>
  <c r="Q11" i="20"/>
  <c r="Q15" i="20"/>
  <c r="Q18" i="11" s="1"/>
  <c r="Q17" i="20"/>
  <c r="Q18" i="20"/>
  <c r="Q21" i="11" s="1"/>
  <c r="Q20" i="20"/>
  <c r="Q23" i="11" s="1"/>
  <c r="Q21" i="20"/>
  <c r="Q24" i="11" s="1"/>
  <c r="Q22" i="20"/>
  <c r="Q25" i="11" s="1"/>
  <c r="R36" i="20"/>
  <c r="R32" i="20"/>
  <c r="R30" i="20"/>
  <c r="R29" i="20"/>
  <c r="R27" i="20"/>
  <c r="R24" i="20"/>
  <c r="O23" i="20"/>
  <c r="P23" i="20"/>
  <c r="Q23" i="20"/>
  <c r="R19" i="20"/>
  <c r="R16" i="20"/>
  <c r="R13" i="20"/>
  <c r="R12" i="20"/>
  <c r="R10" i="20"/>
  <c r="R7" i="20"/>
  <c r="R6" i="20"/>
  <c r="R5" i="20"/>
  <c r="V88" i="30"/>
  <c r="V87" i="30"/>
  <c r="R88" i="30"/>
  <c r="R87" i="30"/>
  <c r="R74" i="30"/>
  <c r="O20" i="30"/>
  <c r="Q41" i="12"/>
  <c r="N41" i="12"/>
  <c r="Q45" i="12"/>
  <c r="Q40" i="12"/>
  <c r="O23" i="12"/>
  <c r="O25" i="12"/>
  <c r="O28" i="12"/>
  <c r="O9" i="12"/>
  <c r="O11" i="12"/>
  <c r="O20" i="12"/>
  <c r="P23" i="12"/>
  <c r="P25" i="12"/>
  <c r="P28" i="12"/>
  <c r="P9" i="12"/>
  <c r="P11" i="12"/>
  <c r="P20" i="12"/>
  <c r="Q33" i="12"/>
  <c r="Q29" i="12"/>
  <c r="Q27" i="12"/>
  <c r="Q26" i="12"/>
  <c r="Q24" i="12"/>
  <c r="Q21" i="12"/>
  <c r="Q19" i="12"/>
  <c r="Q18" i="12"/>
  <c r="Q17" i="12"/>
  <c r="Q16" i="12"/>
  <c r="Q15" i="12"/>
  <c r="Q14" i="12"/>
  <c r="Q13" i="12"/>
  <c r="Q12" i="12"/>
  <c r="Q10" i="12"/>
  <c r="Q7" i="12"/>
  <c r="Q6" i="12"/>
  <c r="M42" i="12"/>
  <c r="N45" i="12"/>
  <c r="N40" i="12"/>
  <c r="L23" i="12"/>
  <c r="L25" i="12"/>
  <c r="L28" i="12"/>
  <c r="L9" i="12"/>
  <c r="L11" i="12"/>
  <c r="L20" i="12"/>
  <c r="M23" i="12"/>
  <c r="M25" i="12"/>
  <c r="M28" i="12"/>
  <c r="M9" i="12"/>
  <c r="M11" i="12"/>
  <c r="M20" i="12"/>
  <c r="N33" i="12"/>
  <c r="N29" i="12"/>
  <c r="N27" i="12"/>
  <c r="N26" i="12"/>
  <c r="N24" i="12"/>
  <c r="N21" i="12"/>
  <c r="N19" i="12"/>
  <c r="N18" i="12"/>
  <c r="N17" i="12"/>
  <c r="N16" i="12"/>
  <c r="N15" i="12"/>
  <c r="N14" i="12"/>
  <c r="N13" i="12"/>
  <c r="N12" i="12"/>
  <c r="N10" i="12"/>
  <c r="N7" i="12"/>
  <c r="L6" i="12"/>
  <c r="N6" i="12" s="1"/>
  <c r="P41" i="2"/>
  <c r="P39" i="2"/>
  <c r="P38" i="2"/>
  <c r="P37" i="2"/>
  <c r="P43" i="2"/>
  <c r="M41" i="2"/>
  <c r="M39" i="2"/>
  <c r="M38" i="2"/>
  <c r="M37" i="2"/>
  <c r="M43" i="2"/>
  <c r="Q45" i="2"/>
  <c r="Q44" i="2"/>
  <c r="Q40" i="2"/>
  <c r="O9" i="2"/>
  <c r="O11" i="2"/>
  <c r="O20" i="2"/>
  <c r="O23" i="2"/>
  <c r="O25" i="2"/>
  <c r="O28" i="2"/>
  <c r="P9" i="2"/>
  <c r="P11" i="2"/>
  <c r="P20" i="2"/>
  <c r="P23" i="2"/>
  <c r="P25" i="2"/>
  <c r="P28" i="2"/>
  <c r="Q33" i="2"/>
  <c r="Q29" i="2"/>
  <c r="Q27" i="2"/>
  <c r="Q26" i="2"/>
  <c r="Q24" i="2"/>
  <c r="Q21" i="2"/>
  <c r="Q19" i="2"/>
  <c r="Q18" i="2"/>
  <c r="Q17" i="2"/>
  <c r="Q16" i="2"/>
  <c r="Q15" i="2"/>
  <c r="Q14" i="2"/>
  <c r="Q13" i="2"/>
  <c r="Q12" i="2"/>
  <c r="Q10" i="2"/>
  <c r="Q7" i="2"/>
  <c r="Q6" i="2"/>
  <c r="D10" i="36" s="1"/>
  <c r="N45" i="2"/>
  <c r="N44" i="2"/>
  <c r="N40" i="2"/>
  <c r="L9" i="2"/>
  <c r="L11" i="2"/>
  <c r="L20" i="2"/>
  <c r="L23" i="2"/>
  <c r="L25" i="2"/>
  <c r="L28" i="2"/>
  <c r="M9" i="2"/>
  <c r="M11" i="2"/>
  <c r="M20" i="2"/>
  <c r="M23" i="2"/>
  <c r="M25" i="2"/>
  <c r="M28" i="2"/>
  <c r="N33" i="2"/>
  <c r="N29" i="2"/>
  <c r="N27" i="2"/>
  <c r="N26" i="2"/>
  <c r="N24" i="2"/>
  <c r="N21" i="2"/>
  <c r="N19" i="2"/>
  <c r="N18" i="2"/>
  <c r="N17" i="2"/>
  <c r="N16" i="2"/>
  <c r="N15" i="2"/>
  <c r="N14" i="2"/>
  <c r="N13" i="2"/>
  <c r="N12" i="2"/>
  <c r="N10" i="2"/>
  <c r="N7" i="2"/>
  <c r="N6" i="2"/>
  <c r="P41" i="5"/>
  <c r="P39" i="5"/>
  <c r="P38" i="5"/>
  <c r="P37" i="5"/>
  <c r="P43" i="5"/>
  <c r="P42" i="5" s="1"/>
  <c r="M41" i="5"/>
  <c r="M39" i="5"/>
  <c r="M38" i="5"/>
  <c r="M37" i="5"/>
  <c r="M43" i="5"/>
  <c r="M42" i="5" s="1"/>
  <c r="Q45" i="5"/>
  <c r="Q44" i="5"/>
  <c r="Q40" i="5"/>
  <c r="O9" i="5"/>
  <c r="O11" i="5"/>
  <c r="O20" i="5"/>
  <c r="O23" i="5"/>
  <c r="O25" i="5"/>
  <c r="O28" i="5"/>
  <c r="P9" i="5"/>
  <c r="P11" i="5"/>
  <c r="P20" i="5"/>
  <c r="P23" i="5"/>
  <c r="P25" i="5"/>
  <c r="P28" i="5"/>
  <c r="Q29" i="5"/>
  <c r="Q27" i="5"/>
  <c r="Q26" i="5"/>
  <c r="Q24" i="5"/>
  <c r="Q21" i="5"/>
  <c r="Q19" i="5"/>
  <c r="Q18" i="5"/>
  <c r="Q17" i="5"/>
  <c r="Q16" i="5"/>
  <c r="Q15" i="5"/>
  <c r="Q14" i="5"/>
  <c r="Q13" i="5"/>
  <c r="Q12" i="5"/>
  <c r="Q10" i="5"/>
  <c r="Q7" i="5"/>
  <c r="Q6" i="5"/>
  <c r="D11" i="36" s="1"/>
  <c r="N45" i="5"/>
  <c r="N44" i="5"/>
  <c r="N40" i="5"/>
  <c r="L9" i="5"/>
  <c r="L11" i="5"/>
  <c r="L20" i="5"/>
  <c r="L23" i="5"/>
  <c r="L25" i="5"/>
  <c r="L28" i="5"/>
  <c r="M9" i="5"/>
  <c r="M11" i="5"/>
  <c r="M20" i="5"/>
  <c r="M23" i="5"/>
  <c r="M25" i="5"/>
  <c r="M28" i="5"/>
  <c r="N33" i="5"/>
  <c r="N29" i="5"/>
  <c r="N27" i="5"/>
  <c r="N26" i="5"/>
  <c r="N24" i="5"/>
  <c r="N21" i="5"/>
  <c r="N19" i="5"/>
  <c r="N18" i="5"/>
  <c r="N17" i="5"/>
  <c r="N16" i="5"/>
  <c r="N15" i="5"/>
  <c r="N14" i="5"/>
  <c r="N13" i="5"/>
  <c r="N12" i="5"/>
  <c r="N10" i="5"/>
  <c r="N7" i="5"/>
  <c r="N6" i="5"/>
  <c r="P41" i="7"/>
  <c r="P39" i="7"/>
  <c r="P38" i="7"/>
  <c r="P37" i="7"/>
  <c r="P43" i="7"/>
  <c r="M41" i="7"/>
  <c r="M39" i="7"/>
  <c r="M38" i="7"/>
  <c r="M37" i="7"/>
  <c r="M43" i="7"/>
  <c r="Q45" i="7"/>
  <c r="Q44" i="7"/>
  <c r="Q40" i="7"/>
  <c r="O23" i="7"/>
  <c r="O25" i="7"/>
  <c r="O28" i="7"/>
  <c r="O9" i="7"/>
  <c r="O11" i="7"/>
  <c r="O20" i="7"/>
  <c r="P23" i="7"/>
  <c r="P25" i="7"/>
  <c r="P28" i="7"/>
  <c r="P9" i="7"/>
  <c r="P11" i="7"/>
  <c r="P20" i="7"/>
  <c r="Q33" i="7"/>
  <c r="Q29" i="7"/>
  <c r="Q27" i="7"/>
  <c r="Q26" i="7"/>
  <c r="Q24" i="7"/>
  <c r="Q21" i="7"/>
  <c r="Q19" i="7"/>
  <c r="Q18" i="7"/>
  <c r="Q17" i="7"/>
  <c r="Q16" i="7"/>
  <c r="Q15" i="7"/>
  <c r="Q14" i="7"/>
  <c r="Q13" i="7"/>
  <c r="Q12" i="7"/>
  <c r="Q10" i="7"/>
  <c r="Q7" i="7"/>
  <c r="Q6" i="7"/>
  <c r="D12" i="36" s="1"/>
  <c r="N45" i="7"/>
  <c r="N44" i="7"/>
  <c r="N40" i="7"/>
  <c r="L23" i="7"/>
  <c r="L25" i="7"/>
  <c r="L28" i="7"/>
  <c r="L9" i="7"/>
  <c r="L11" i="7"/>
  <c r="L20" i="7"/>
  <c r="M23" i="7"/>
  <c r="M25" i="7"/>
  <c r="M28" i="7"/>
  <c r="M9" i="7"/>
  <c r="M11" i="7"/>
  <c r="M20" i="7"/>
  <c r="N33" i="7"/>
  <c r="N29" i="7"/>
  <c r="N27" i="7"/>
  <c r="N26" i="7"/>
  <c r="N24" i="7"/>
  <c r="N21" i="7"/>
  <c r="N19" i="7"/>
  <c r="N18" i="7"/>
  <c r="N17" i="7"/>
  <c r="N16" i="7"/>
  <c r="N15" i="7"/>
  <c r="N14" i="7"/>
  <c r="N13" i="7"/>
  <c r="N12" i="7"/>
  <c r="N10" i="7"/>
  <c r="N7" i="7"/>
  <c r="N6" i="7"/>
  <c r="M43" i="18"/>
  <c r="M42" i="18" s="1"/>
  <c r="Q45" i="18"/>
  <c r="Q44" i="18"/>
  <c r="Q40" i="18"/>
  <c r="O9" i="18"/>
  <c r="O11" i="18"/>
  <c r="O20" i="18"/>
  <c r="O23" i="18"/>
  <c r="O25" i="18"/>
  <c r="O28" i="18"/>
  <c r="P9" i="18"/>
  <c r="P11" i="18"/>
  <c r="P20" i="18"/>
  <c r="P23" i="18"/>
  <c r="P25" i="18"/>
  <c r="P28" i="18"/>
  <c r="Q33" i="18"/>
  <c r="Q29" i="18"/>
  <c r="Q27" i="18"/>
  <c r="Q26" i="18"/>
  <c r="Q24" i="18"/>
  <c r="Q21" i="18"/>
  <c r="Q19" i="18"/>
  <c r="Q18" i="18"/>
  <c r="Q17" i="18"/>
  <c r="Q16" i="18"/>
  <c r="Q15" i="18"/>
  <c r="Q14" i="18"/>
  <c r="Q13" i="18"/>
  <c r="Q12" i="18"/>
  <c r="Q10" i="18"/>
  <c r="Q7" i="18"/>
  <c r="Q6" i="18"/>
  <c r="D13" i="36" s="1"/>
  <c r="N45" i="18"/>
  <c r="N44" i="18"/>
  <c r="N40" i="18"/>
  <c r="L9" i="18"/>
  <c r="L11" i="18"/>
  <c r="L20" i="18"/>
  <c r="L23" i="18"/>
  <c r="L25" i="18"/>
  <c r="L28" i="18"/>
  <c r="M9" i="18"/>
  <c r="M11" i="18"/>
  <c r="M20" i="18"/>
  <c r="M23" i="18"/>
  <c r="M25" i="18"/>
  <c r="M28" i="18"/>
  <c r="N33" i="18"/>
  <c r="N29" i="18"/>
  <c r="N27" i="18"/>
  <c r="N26" i="18"/>
  <c r="N24" i="18"/>
  <c r="N21" i="18"/>
  <c r="N19" i="18"/>
  <c r="N18" i="18"/>
  <c r="N17" i="18"/>
  <c r="N16" i="18"/>
  <c r="N15" i="18"/>
  <c r="N14" i="18"/>
  <c r="N13" i="18"/>
  <c r="N12" i="18"/>
  <c r="N10" i="18"/>
  <c r="N7" i="18"/>
  <c r="N6" i="18"/>
  <c r="Q45" i="14"/>
  <c r="Q44" i="14"/>
  <c r="Q40" i="14"/>
  <c r="O23" i="14"/>
  <c r="O25" i="14"/>
  <c r="O28" i="14"/>
  <c r="O9" i="14"/>
  <c r="O11" i="14"/>
  <c r="O20" i="14"/>
  <c r="P23" i="14"/>
  <c r="P25" i="14"/>
  <c r="P28" i="14"/>
  <c r="P9" i="14"/>
  <c r="P11" i="14"/>
  <c r="P20" i="14"/>
  <c r="Q33" i="14"/>
  <c r="Q29" i="14"/>
  <c r="Q27" i="14"/>
  <c r="Q26" i="14"/>
  <c r="Q24" i="14"/>
  <c r="Q21" i="14"/>
  <c r="Q19" i="14"/>
  <c r="Q18" i="14"/>
  <c r="Q17" i="14"/>
  <c r="Q16" i="14"/>
  <c r="Q15" i="14"/>
  <c r="Q14" i="14"/>
  <c r="Q13" i="14"/>
  <c r="Q12" i="14"/>
  <c r="Q10" i="14"/>
  <c r="Q7" i="14"/>
  <c r="Q6" i="14"/>
  <c r="D14" i="36" s="1"/>
  <c r="N45" i="14"/>
  <c r="N44" i="14"/>
  <c r="N40" i="14"/>
  <c r="L23" i="14"/>
  <c r="L25" i="14"/>
  <c r="L28" i="14"/>
  <c r="L9" i="14"/>
  <c r="L11" i="14"/>
  <c r="L20" i="14"/>
  <c r="M23" i="14"/>
  <c r="M25" i="14"/>
  <c r="M28" i="14"/>
  <c r="M9" i="14"/>
  <c r="M11" i="14"/>
  <c r="M20" i="14"/>
  <c r="N33" i="14"/>
  <c r="N29" i="14"/>
  <c r="N27" i="14"/>
  <c r="N26" i="14"/>
  <c r="N24" i="14"/>
  <c r="N21" i="14"/>
  <c r="N19" i="14"/>
  <c r="N18" i="14"/>
  <c r="N17" i="14"/>
  <c r="N16" i="14"/>
  <c r="N15" i="14"/>
  <c r="N14" i="14"/>
  <c r="N13" i="14"/>
  <c r="N12" i="14"/>
  <c r="N10" i="14"/>
  <c r="N7" i="14"/>
  <c r="N6" i="14"/>
  <c r="P43" i="8"/>
  <c r="P39" i="8"/>
  <c r="P38" i="8"/>
  <c r="P37" i="8"/>
  <c r="M43" i="8"/>
  <c r="M39" i="8"/>
  <c r="M38" i="8"/>
  <c r="Q45" i="8"/>
  <c r="Q44" i="8"/>
  <c r="Q40" i="8"/>
  <c r="O23" i="8"/>
  <c r="O25" i="8"/>
  <c r="O28" i="8"/>
  <c r="O9" i="8"/>
  <c r="O11" i="8"/>
  <c r="O20" i="8"/>
  <c r="P23" i="8"/>
  <c r="P25" i="8"/>
  <c r="P28" i="8"/>
  <c r="P9" i="8"/>
  <c r="P11" i="8"/>
  <c r="P20" i="8"/>
  <c r="Q33" i="8"/>
  <c r="Q29" i="8"/>
  <c r="Q27" i="8"/>
  <c r="Q26" i="8"/>
  <c r="Q24" i="8"/>
  <c r="Q21" i="8"/>
  <c r="Q19" i="8"/>
  <c r="Q18" i="8"/>
  <c r="Q17" i="8"/>
  <c r="Q16" i="8"/>
  <c r="Q15" i="8"/>
  <c r="Q14" i="8"/>
  <c r="Q13" i="8"/>
  <c r="Q12" i="8"/>
  <c r="Q10" i="8"/>
  <c r="Q7" i="8"/>
  <c r="Q6" i="8"/>
  <c r="D15" i="36" s="1"/>
  <c r="N45" i="8"/>
  <c r="N44" i="8"/>
  <c r="N40" i="8"/>
  <c r="L23" i="8"/>
  <c r="L25" i="8"/>
  <c r="L28" i="8"/>
  <c r="L9" i="8"/>
  <c r="L11" i="8"/>
  <c r="L20" i="8"/>
  <c r="M23" i="8"/>
  <c r="M25" i="8"/>
  <c r="M28" i="8"/>
  <c r="M9" i="8"/>
  <c r="M11" i="8"/>
  <c r="M20" i="8"/>
  <c r="N33" i="8"/>
  <c r="N29" i="8"/>
  <c r="N27" i="8"/>
  <c r="N26" i="8"/>
  <c r="N24" i="8"/>
  <c r="N21" i="8"/>
  <c r="N19" i="8"/>
  <c r="N18" i="8"/>
  <c r="N17" i="8"/>
  <c r="N16" i="8"/>
  <c r="N14" i="8"/>
  <c r="N13" i="8"/>
  <c r="N12" i="8"/>
  <c r="N10" i="8"/>
  <c r="N7" i="8"/>
  <c r="N6" i="8"/>
  <c r="P43" i="37"/>
  <c r="P42" i="37" s="1"/>
  <c r="P39" i="37"/>
  <c r="P38" i="37"/>
  <c r="P37" i="37"/>
  <c r="O45" i="37"/>
  <c r="Q45" i="37" s="1"/>
  <c r="M43" i="37"/>
  <c r="M42" i="37" s="1"/>
  <c r="M39" i="37"/>
  <c r="M38" i="37"/>
  <c r="M37" i="37"/>
  <c r="Q44" i="37"/>
  <c r="Q40" i="37"/>
  <c r="O23" i="37"/>
  <c r="O25" i="37"/>
  <c r="O28" i="37"/>
  <c r="O9" i="37"/>
  <c r="O11" i="37"/>
  <c r="O20" i="37"/>
  <c r="P23" i="37"/>
  <c r="P25" i="37"/>
  <c r="P28" i="37"/>
  <c r="P9" i="37"/>
  <c r="P11" i="37"/>
  <c r="P20" i="37"/>
  <c r="Q33" i="37"/>
  <c r="Q29" i="37"/>
  <c r="Q27" i="37"/>
  <c r="Q26" i="37"/>
  <c r="Q24" i="37"/>
  <c r="Q21" i="37"/>
  <c r="Q19" i="37"/>
  <c r="Q18" i="37"/>
  <c r="Q17" i="37"/>
  <c r="Q16" i="37"/>
  <c r="Q15" i="37"/>
  <c r="Q14" i="37"/>
  <c r="Q13" i="37"/>
  <c r="Q12" i="37"/>
  <c r="Q10" i="37"/>
  <c r="Q7" i="37"/>
  <c r="Q6" i="37"/>
  <c r="D16" i="36" s="1"/>
  <c r="N44" i="37"/>
  <c r="N40" i="37"/>
  <c r="L23" i="37"/>
  <c r="L25" i="37"/>
  <c r="L28" i="37"/>
  <c r="L9" i="37"/>
  <c r="L11" i="37"/>
  <c r="L20" i="37"/>
  <c r="M23" i="37"/>
  <c r="M25" i="37"/>
  <c r="M28" i="37"/>
  <c r="M9" i="37"/>
  <c r="M11" i="37"/>
  <c r="M20" i="37"/>
  <c r="N33" i="37"/>
  <c r="N29" i="37"/>
  <c r="N27" i="37"/>
  <c r="N26" i="37"/>
  <c r="N24" i="37"/>
  <c r="N21" i="37"/>
  <c r="N19" i="37"/>
  <c r="N18" i="37"/>
  <c r="N17" i="37"/>
  <c r="N16" i="37"/>
  <c r="N15" i="37"/>
  <c r="N14" i="37"/>
  <c r="N13" i="37"/>
  <c r="N12" i="37"/>
  <c r="N10" i="37"/>
  <c r="N7" i="37"/>
  <c r="N6" i="37"/>
  <c r="V40" i="30"/>
  <c r="V39" i="30"/>
  <c r="V38" i="30"/>
  <c r="V36" i="30"/>
  <c r="V35" i="30"/>
  <c r="R38" i="30"/>
  <c r="M39" i="18"/>
  <c r="M38" i="18"/>
  <c r="J43" i="14"/>
  <c r="J42" i="14" s="1"/>
  <c r="I43" i="14"/>
  <c r="I42" i="14" s="1"/>
  <c r="K16" i="30"/>
  <c r="K28" i="30"/>
  <c r="K27" i="30"/>
  <c r="K23" i="30"/>
  <c r="K22" i="30"/>
  <c r="I6" i="12"/>
  <c r="K6" i="12" s="1"/>
  <c r="K9" i="10"/>
  <c r="K10" i="10"/>
  <c r="N10" i="10" s="1"/>
  <c r="K8" i="23"/>
  <c r="I37" i="2"/>
  <c r="I37" i="5"/>
  <c r="I37" i="14"/>
  <c r="N37" i="30"/>
  <c r="K9" i="23"/>
  <c r="I38" i="2"/>
  <c r="I38" i="5"/>
  <c r="I38" i="7"/>
  <c r="I38" i="14"/>
  <c r="I38" i="8"/>
  <c r="I38" i="37"/>
  <c r="I39" i="2"/>
  <c r="I39" i="5"/>
  <c r="I39" i="7"/>
  <c r="I39" i="14"/>
  <c r="I39" i="8"/>
  <c r="I39" i="37"/>
  <c r="K43" i="20"/>
  <c r="K8" i="24" s="1"/>
  <c r="K13" i="23"/>
  <c r="N13" i="23" s="1"/>
  <c r="K18" i="23"/>
  <c r="N18" i="23" s="1"/>
  <c r="D26" i="29"/>
  <c r="K20" i="23" s="1"/>
  <c r="K44" i="20"/>
  <c r="K41" i="12"/>
  <c r="I41" i="2"/>
  <c r="K41" i="2" s="1"/>
  <c r="I41" i="5"/>
  <c r="K41" i="5" s="1"/>
  <c r="I41" i="7"/>
  <c r="K41" i="7" s="1"/>
  <c r="I41" i="18"/>
  <c r="K41" i="18" s="1"/>
  <c r="I41" i="14"/>
  <c r="K41" i="14" s="1"/>
  <c r="I41" i="8"/>
  <c r="K41" i="8" s="1"/>
  <c r="I41" i="37"/>
  <c r="K41" i="37" s="1"/>
  <c r="J37" i="2"/>
  <c r="J37" i="5"/>
  <c r="J37" i="7"/>
  <c r="J37" i="18"/>
  <c r="J37" i="14"/>
  <c r="J37" i="37"/>
  <c r="J38" i="2"/>
  <c r="J38" i="5"/>
  <c r="J38" i="7"/>
  <c r="J38" i="18"/>
  <c r="J38" i="14"/>
  <c r="J38" i="37"/>
  <c r="J39" i="2"/>
  <c r="J39" i="5"/>
  <c r="J39" i="7"/>
  <c r="J39" i="18"/>
  <c r="J39" i="14"/>
  <c r="J39" i="37"/>
  <c r="L11" i="23"/>
  <c r="L43" i="20"/>
  <c r="N59" i="30"/>
  <c r="N65" i="30"/>
  <c r="N67" i="30"/>
  <c r="N68" i="30"/>
  <c r="N80" i="30"/>
  <c r="L19" i="23"/>
  <c r="L20" i="23"/>
  <c r="L44" i="20"/>
  <c r="M8" i="23"/>
  <c r="M40" i="20"/>
  <c r="M9" i="23"/>
  <c r="M41" i="20"/>
  <c r="M10" i="23"/>
  <c r="M42" i="20"/>
  <c r="M11" i="23"/>
  <c r="M43" i="20"/>
  <c r="M19" i="23"/>
  <c r="M20" i="23"/>
  <c r="M44" i="20"/>
  <c r="E99" i="27"/>
  <c r="K23" i="23"/>
  <c r="K5" i="20"/>
  <c r="N5" i="20" s="1"/>
  <c r="K11" i="10"/>
  <c r="K8" i="10"/>
  <c r="N8" i="10" s="1"/>
  <c r="K12" i="10"/>
  <c r="N12" i="10" s="1"/>
  <c r="N60" i="10"/>
  <c r="N57" i="10" s="1"/>
  <c r="L57" i="10"/>
  <c r="L28" i="11" s="1"/>
  <c r="K44" i="10"/>
  <c r="N92" i="30"/>
  <c r="E111" i="27"/>
  <c r="N56" i="30"/>
  <c r="G5" i="30"/>
  <c r="C5" i="30"/>
  <c r="N29" i="30"/>
  <c r="N27" i="30"/>
  <c r="N26" i="30"/>
  <c r="N25" i="30"/>
  <c r="N24" i="30"/>
  <c r="N23" i="30"/>
  <c r="N91" i="30"/>
  <c r="N90" i="30"/>
  <c r="M39" i="23"/>
  <c r="M30" i="24" s="1"/>
  <c r="K29" i="23"/>
  <c r="N29" i="23" s="1"/>
  <c r="N81" i="30"/>
  <c r="N77" i="30"/>
  <c r="N70" i="30"/>
  <c r="N69" i="30"/>
  <c r="N66" i="30"/>
  <c r="N64" i="30"/>
  <c r="N63" i="30"/>
  <c r="N62" i="30"/>
  <c r="N61" i="30"/>
  <c r="N60" i="30"/>
  <c r="N57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15" i="30"/>
  <c r="N14" i="30"/>
  <c r="N12" i="30"/>
  <c r="N11" i="30"/>
  <c r="N10" i="30"/>
  <c r="N8" i="30"/>
  <c r="N7" i="30"/>
  <c r="J43" i="2"/>
  <c r="J42" i="2" s="1"/>
  <c r="I43" i="2"/>
  <c r="I42" i="2" s="1"/>
  <c r="J43" i="5"/>
  <c r="I43" i="5"/>
  <c r="I42" i="5" s="1"/>
  <c r="J43" i="7"/>
  <c r="I43" i="7"/>
  <c r="I42" i="7" s="1"/>
  <c r="G37" i="7"/>
  <c r="J43" i="18"/>
  <c r="J42" i="18" s="1"/>
  <c r="I43" i="18"/>
  <c r="I43" i="8"/>
  <c r="I42" i="8" s="1"/>
  <c r="I45" i="37"/>
  <c r="K45" i="37" s="1"/>
  <c r="I43" i="37"/>
  <c r="N82" i="30"/>
  <c r="N59" i="11"/>
  <c r="N58" i="11"/>
  <c r="M57" i="11"/>
  <c r="L57" i="11"/>
  <c r="K57" i="11"/>
  <c r="M56" i="11"/>
  <c r="L56" i="11"/>
  <c r="K56" i="11"/>
  <c r="N55" i="11"/>
  <c r="M100" i="10"/>
  <c r="M54" i="11" s="1"/>
  <c r="L100" i="10"/>
  <c r="L54" i="11" s="1"/>
  <c r="K54" i="11"/>
  <c r="N53" i="11"/>
  <c r="N52" i="11"/>
  <c r="N51" i="11"/>
  <c r="M49" i="11"/>
  <c r="L49" i="11"/>
  <c r="L48" i="11" s="1"/>
  <c r="K49" i="11"/>
  <c r="K48" i="11" s="1"/>
  <c r="M82" i="10"/>
  <c r="M43" i="11" s="1"/>
  <c r="L82" i="10"/>
  <c r="L43" i="11" s="1"/>
  <c r="K82" i="10"/>
  <c r="K43" i="11" s="1"/>
  <c r="M78" i="10"/>
  <c r="M42" i="11" s="1"/>
  <c r="L78" i="10"/>
  <c r="L42" i="11" s="1"/>
  <c r="K78" i="10"/>
  <c r="K42" i="11" s="1"/>
  <c r="M41" i="11"/>
  <c r="L41" i="11"/>
  <c r="K41" i="11"/>
  <c r="M40" i="11"/>
  <c r="L40" i="11"/>
  <c r="K40" i="11"/>
  <c r="M38" i="11"/>
  <c r="L38" i="11"/>
  <c r="K38" i="11"/>
  <c r="M37" i="11"/>
  <c r="L37" i="11"/>
  <c r="K37" i="11"/>
  <c r="M69" i="10"/>
  <c r="M36" i="11" s="1"/>
  <c r="L69" i="10"/>
  <c r="L67" i="10" s="1"/>
  <c r="K69" i="10"/>
  <c r="K36" i="11" s="1"/>
  <c r="M35" i="11"/>
  <c r="L35" i="11"/>
  <c r="K35" i="11"/>
  <c r="M33" i="11"/>
  <c r="L33" i="11"/>
  <c r="K33" i="11"/>
  <c r="M32" i="11"/>
  <c r="L32" i="11"/>
  <c r="K32" i="11"/>
  <c r="M31" i="11"/>
  <c r="L31" i="11"/>
  <c r="K31" i="11"/>
  <c r="M28" i="11"/>
  <c r="K28" i="11"/>
  <c r="M27" i="11"/>
  <c r="L27" i="11"/>
  <c r="K27" i="11"/>
  <c r="M22" i="20"/>
  <c r="M25" i="11" s="1"/>
  <c r="L22" i="20"/>
  <c r="L25" i="11" s="1"/>
  <c r="K22" i="20"/>
  <c r="M21" i="20"/>
  <c r="M24" i="11" s="1"/>
  <c r="L21" i="20"/>
  <c r="K21" i="20"/>
  <c r="K24" i="11" s="1"/>
  <c r="M20" i="20"/>
  <c r="M23" i="11" s="1"/>
  <c r="L20" i="20"/>
  <c r="K20" i="20"/>
  <c r="K23" i="11" s="1"/>
  <c r="M51" i="10"/>
  <c r="M22" i="11" s="1"/>
  <c r="L51" i="10"/>
  <c r="K51" i="10"/>
  <c r="K22" i="11" s="1"/>
  <c r="M18" i="20"/>
  <c r="M21" i="11" s="1"/>
  <c r="L18" i="20"/>
  <c r="L21" i="11" s="1"/>
  <c r="K18" i="20"/>
  <c r="M46" i="10"/>
  <c r="M17" i="20"/>
  <c r="L46" i="10"/>
  <c r="L17" i="20"/>
  <c r="M43" i="10"/>
  <c r="L43" i="10"/>
  <c r="L19" i="11" s="1"/>
  <c r="M15" i="20"/>
  <c r="M18" i="11" s="1"/>
  <c r="L15" i="20"/>
  <c r="K15" i="20"/>
  <c r="K18" i="11" s="1"/>
  <c r="M16" i="11"/>
  <c r="L16" i="11"/>
  <c r="L15" i="11"/>
  <c r="L26" i="10"/>
  <c r="L11" i="11" s="1"/>
  <c r="L29" i="10"/>
  <c r="L32" i="10"/>
  <c r="L13" i="11" s="1"/>
  <c r="K16" i="11"/>
  <c r="M15" i="11"/>
  <c r="K15" i="11"/>
  <c r="M32" i="10"/>
  <c r="M13" i="11" s="1"/>
  <c r="K32" i="10"/>
  <c r="K13" i="11" s="1"/>
  <c r="M29" i="10"/>
  <c r="M12" i="11" s="1"/>
  <c r="M26" i="10"/>
  <c r="K26" i="10"/>
  <c r="M20" i="10"/>
  <c r="M18" i="10" s="1"/>
  <c r="M9" i="11" s="1"/>
  <c r="M8" i="11"/>
  <c r="L8" i="11"/>
  <c r="K8" i="11"/>
  <c r="M7" i="11"/>
  <c r="L7" i="11"/>
  <c r="K7" i="11"/>
  <c r="M7" i="10"/>
  <c r="M6" i="11" s="1"/>
  <c r="L7" i="10"/>
  <c r="L6" i="11" s="1"/>
  <c r="M34" i="24"/>
  <c r="L34" i="24"/>
  <c r="K34" i="24"/>
  <c r="M33" i="24"/>
  <c r="L33" i="24"/>
  <c r="K33" i="24"/>
  <c r="M31" i="24"/>
  <c r="L31" i="24"/>
  <c r="K31" i="24"/>
  <c r="L30" i="24"/>
  <c r="L29" i="24"/>
  <c r="K29" i="24"/>
  <c r="M28" i="24"/>
  <c r="L28" i="24"/>
  <c r="K28" i="24"/>
  <c r="M27" i="24"/>
  <c r="L27" i="24"/>
  <c r="K27" i="24"/>
  <c r="N23" i="24"/>
  <c r="N22" i="24"/>
  <c r="N21" i="24"/>
  <c r="N20" i="24"/>
  <c r="N19" i="24"/>
  <c r="M24" i="23"/>
  <c r="M48" i="20"/>
  <c r="L24" i="23"/>
  <c r="L48" i="20"/>
  <c r="N14" i="24"/>
  <c r="N13" i="24"/>
  <c r="N12" i="24"/>
  <c r="N11" i="24"/>
  <c r="N10" i="24"/>
  <c r="N88" i="30"/>
  <c r="N87" i="30"/>
  <c r="K41" i="30"/>
  <c r="N19" i="30"/>
  <c r="N107" i="10"/>
  <c r="N106" i="10"/>
  <c r="M105" i="10"/>
  <c r="L105" i="10"/>
  <c r="K105" i="10"/>
  <c r="N103" i="10"/>
  <c r="N102" i="10"/>
  <c r="N101" i="10"/>
  <c r="M94" i="10"/>
  <c r="K100" i="10"/>
  <c r="N99" i="10"/>
  <c r="N98" i="10"/>
  <c r="N97" i="10"/>
  <c r="L94" i="10"/>
  <c r="K94" i="10"/>
  <c r="N88" i="10"/>
  <c r="N87" i="10"/>
  <c r="N86" i="10"/>
  <c r="N85" i="10"/>
  <c r="N84" i="10"/>
  <c r="N83" i="10"/>
  <c r="N81" i="10"/>
  <c r="N80" i="10"/>
  <c r="N79" i="10"/>
  <c r="N77" i="10"/>
  <c r="N76" i="10"/>
  <c r="N74" i="10"/>
  <c r="N73" i="10"/>
  <c r="N72" i="10"/>
  <c r="N71" i="10"/>
  <c r="N70" i="10"/>
  <c r="N68" i="10"/>
  <c r="N66" i="10"/>
  <c r="N65" i="10"/>
  <c r="N64" i="10"/>
  <c r="M63" i="10"/>
  <c r="L63" i="10"/>
  <c r="K63" i="10"/>
  <c r="N56" i="10"/>
  <c r="K55" i="10"/>
  <c r="M55" i="10"/>
  <c r="N54" i="10"/>
  <c r="N53" i="10"/>
  <c r="N52" i="10"/>
  <c r="N50" i="10"/>
  <c r="N49" i="10"/>
  <c r="N48" i="10"/>
  <c r="N47" i="10"/>
  <c r="N45" i="10"/>
  <c r="N42" i="10"/>
  <c r="N40" i="10"/>
  <c r="N39" i="10"/>
  <c r="N38" i="10"/>
  <c r="N37" i="10"/>
  <c r="M36" i="10"/>
  <c r="L36" i="10"/>
  <c r="K36" i="10"/>
  <c r="N35" i="10"/>
  <c r="N34" i="10"/>
  <c r="N33" i="10"/>
  <c r="N31" i="10"/>
  <c r="N30" i="10"/>
  <c r="K29" i="10"/>
  <c r="K12" i="11" s="1"/>
  <c r="N28" i="10"/>
  <c r="N27" i="10"/>
  <c r="N24" i="10"/>
  <c r="N23" i="10"/>
  <c r="N22" i="10"/>
  <c r="N21" i="10"/>
  <c r="N19" i="10"/>
  <c r="L18" i="10"/>
  <c r="K18" i="10"/>
  <c r="K9" i="11" s="1"/>
  <c r="N17" i="10"/>
  <c r="N16" i="10"/>
  <c r="N14" i="10"/>
  <c r="N13" i="10"/>
  <c r="N11" i="10"/>
  <c r="N9" i="10"/>
  <c r="N43" i="23"/>
  <c r="N42" i="23"/>
  <c r="M41" i="23"/>
  <c r="K41" i="23"/>
  <c r="L41" i="23"/>
  <c r="N40" i="23"/>
  <c r="K30" i="24"/>
  <c r="L38" i="23"/>
  <c r="N36" i="23"/>
  <c r="N35" i="23"/>
  <c r="N34" i="23"/>
  <c r="N33" i="23"/>
  <c r="N28" i="23"/>
  <c r="N27" i="23"/>
  <c r="N26" i="23"/>
  <c r="N25" i="23"/>
  <c r="M23" i="23"/>
  <c r="L47" i="20"/>
  <c r="K47" i="20"/>
  <c r="M22" i="23"/>
  <c r="N14" i="23"/>
  <c r="N6" i="23"/>
  <c r="N5" i="23"/>
  <c r="F31" i="35"/>
  <c r="F30" i="35" s="1"/>
  <c r="F28" i="35"/>
  <c r="F24" i="35"/>
  <c r="E20" i="35"/>
  <c r="E19" i="35" s="1"/>
  <c r="E13" i="35"/>
  <c r="E10" i="35"/>
  <c r="E6" i="35"/>
  <c r="K48" i="20"/>
  <c r="M47" i="20"/>
  <c r="M46" i="20"/>
  <c r="K46" i="20"/>
  <c r="N36" i="20"/>
  <c r="N32" i="20"/>
  <c r="K31" i="20"/>
  <c r="L31" i="20"/>
  <c r="M31" i="20"/>
  <c r="K26" i="20"/>
  <c r="K28" i="20"/>
  <c r="N30" i="20"/>
  <c r="N29" i="20"/>
  <c r="M28" i="20"/>
  <c r="L28" i="20"/>
  <c r="L26" i="20"/>
  <c r="N27" i="20"/>
  <c r="M26" i="20"/>
  <c r="N24" i="20"/>
  <c r="K23" i="20"/>
  <c r="L23" i="20"/>
  <c r="M23" i="20"/>
  <c r="N19" i="20"/>
  <c r="K17" i="20"/>
  <c r="N16" i="20"/>
  <c r="M9" i="20"/>
  <c r="M11" i="20"/>
  <c r="L9" i="20"/>
  <c r="L11" i="20"/>
  <c r="N13" i="20"/>
  <c r="N12" i="20"/>
  <c r="K11" i="20"/>
  <c r="N10" i="20"/>
  <c r="K9" i="20"/>
  <c r="N7" i="20"/>
  <c r="N6" i="20"/>
  <c r="K45" i="12"/>
  <c r="K40" i="12"/>
  <c r="K33" i="12"/>
  <c r="K29" i="12"/>
  <c r="J28" i="12"/>
  <c r="I28" i="12"/>
  <c r="K27" i="12"/>
  <c r="K26" i="12"/>
  <c r="I25" i="12"/>
  <c r="J25" i="12"/>
  <c r="K24" i="12"/>
  <c r="J23" i="12"/>
  <c r="I23" i="12"/>
  <c r="K21" i="12"/>
  <c r="K20" i="12"/>
  <c r="K19" i="12"/>
  <c r="K18" i="12"/>
  <c r="K17" i="12"/>
  <c r="K16" i="12"/>
  <c r="K15" i="12"/>
  <c r="K14" i="12"/>
  <c r="K13" i="12"/>
  <c r="K12" i="12"/>
  <c r="K10" i="12"/>
  <c r="K7" i="12"/>
  <c r="K45" i="2"/>
  <c r="K44" i="2"/>
  <c r="K40" i="2"/>
  <c r="K33" i="2"/>
  <c r="K29" i="2"/>
  <c r="I28" i="2"/>
  <c r="J28" i="2"/>
  <c r="K27" i="2"/>
  <c r="K26" i="2"/>
  <c r="J25" i="2"/>
  <c r="I25" i="2"/>
  <c r="K24" i="2"/>
  <c r="J23" i="2"/>
  <c r="I23" i="2"/>
  <c r="J9" i="2"/>
  <c r="J11" i="2"/>
  <c r="J20" i="2"/>
  <c r="K21" i="2"/>
  <c r="I20" i="2"/>
  <c r="K19" i="2"/>
  <c r="K18" i="2"/>
  <c r="K17" i="2"/>
  <c r="K16" i="2"/>
  <c r="K15" i="2"/>
  <c r="K14" i="2"/>
  <c r="K13" i="2"/>
  <c r="K12" i="2"/>
  <c r="I11" i="2"/>
  <c r="K10" i="2"/>
  <c r="I9" i="2"/>
  <c r="K7" i="2"/>
  <c r="K6" i="2"/>
  <c r="K45" i="5"/>
  <c r="K44" i="5"/>
  <c r="K40" i="5"/>
  <c r="K33" i="5"/>
  <c r="K29" i="5"/>
  <c r="I28" i="5"/>
  <c r="J28" i="5"/>
  <c r="K27" i="5"/>
  <c r="K26" i="5"/>
  <c r="J25" i="5"/>
  <c r="I25" i="5"/>
  <c r="K24" i="5"/>
  <c r="J23" i="5"/>
  <c r="I23" i="5"/>
  <c r="J9" i="5"/>
  <c r="J11" i="5"/>
  <c r="J20" i="5"/>
  <c r="K21" i="5"/>
  <c r="I20" i="5"/>
  <c r="K19" i="5"/>
  <c r="K18" i="5"/>
  <c r="K17" i="5"/>
  <c r="K16" i="5"/>
  <c r="K15" i="5"/>
  <c r="K14" i="5"/>
  <c r="K13" i="5"/>
  <c r="K12" i="5"/>
  <c r="I11" i="5"/>
  <c r="K10" i="5"/>
  <c r="I9" i="5"/>
  <c r="K7" i="5"/>
  <c r="K6" i="5"/>
  <c r="K45" i="7"/>
  <c r="K44" i="7"/>
  <c r="K40" i="7"/>
  <c r="K33" i="7"/>
  <c r="K29" i="7"/>
  <c r="I28" i="7"/>
  <c r="J28" i="7"/>
  <c r="I23" i="7"/>
  <c r="I25" i="7"/>
  <c r="K27" i="7"/>
  <c r="K26" i="7"/>
  <c r="J25" i="7"/>
  <c r="J23" i="7"/>
  <c r="J9" i="7"/>
  <c r="J11" i="7"/>
  <c r="J20" i="7"/>
  <c r="K24" i="7"/>
  <c r="K21" i="7"/>
  <c r="I20" i="7"/>
  <c r="K19" i="7"/>
  <c r="K18" i="7"/>
  <c r="K17" i="7"/>
  <c r="K16" i="7"/>
  <c r="K15" i="7"/>
  <c r="K14" i="7"/>
  <c r="K13" i="7"/>
  <c r="K12" i="7"/>
  <c r="I11" i="7"/>
  <c r="K10" i="7"/>
  <c r="I9" i="7"/>
  <c r="K7" i="7"/>
  <c r="K6" i="7"/>
  <c r="K45" i="18"/>
  <c r="K44" i="18"/>
  <c r="K40" i="18"/>
  <c r="K33" i="18"/>
  <c r="K29" i="18"/>
  <c r="I28" i="18"/>
  <c r="J28" i="18"/>
  <c r="K27" i="18"/>
  <c r="K26" i="18"/>
  <c r="J25" i="18"/>
  <c r="I25" i="18"/>
  <c r="K24" i="18"/>
  <c r="J23" i="18"/>
  <c r="I23" i="18"/>
  <c r="J9" i="18"/>
  <c r="J11" i="18"/>
  <c r="J20" i="18"/>
  <c r="K21" i="18"/>
  <c r="I20" i="18"/>
  <c r="K19" i="18"/>
  <c r="K18" i="18"/>
  <c r="K17" i="18"/>
  <c r="K16" i="18"/>
  <c r="K15" i="18"/>
  <c r="K14" i="18"/>
  <c r="K13" i="18"/>
  <c r="K12" i="18"/>
  <c r="I11" i="18"/>
  <c r="K10" i="18"/>
  <c r="I9" i="18"/>
  <c r="K7" i="18"/>
  <c r="K6" i="18"/>
  <c r="K45" i="14"/>
  <c r="K44" i="14"/>
  <c r="K40" i="14"/>
  <c r="K33" i="14"/>
  <c r="K29" i="14"/>
  <c r="J28" i="14"/>
  <c r="J23" i="14"/>
  <c r="J25" i="14"/>
  <c r="J9" i="14"/>
  <c r="J11" i="14"/>
  <c r="J20" i="14"/>
  <c r="I28" i="14"/>
  <c r="K27" i="14"/>
  <c r="K26" i="14"/>
  <c r="I25" i="14"/>
  <c r="K24" i="14"/>
  <c r="I23" i="14"/>
  <c r="K21" i="14"/>
  <c r="I20" i="14"/>
  <c r="K19" i="14"/>
  <c r="K18" i="14"/>
  <c r="K17" i="14"/>
  <c r="K16" i="14"/>
  <c r="K15" i="14"/>
  <c r="K14" i="14"/>
  <c r="K13" i="14"/>
  <c r="K12" i="14"/>
  <c r="I11" i="14"/>
  <c r="K10" i="14"/>
  <c r="I9" i="14"/>
  <c r="K7" i="14"/>
  <c r="K6" i="14"/>
  <c r="K45" i="8"/>
  <c r="K44" i="8"/>
  <c r="J42" i="8"/>
  <c r="K40" i="8"/>
  <c r="K33" i="8"/>
  <c r="K29" i="8"/>
  <c r="J28" i="8"/>
  <c r="I28" i="8"/>
  <c r="K27" i="8"/>
  <c r="K26" i="8"/>
  <c r="I25" i="8"/>
  <c r="J25" i="8"/>
  <c r="K24" i="8"/>
  <c r="J23" i="8"/>
  <c r="I23" i="8"/>
  <c r="K21" i="8"/>
  <c r="J20" i="8"/>
  <c r="I20" i="8"/>
  <c r="K19" i="8"/>
  <c r="K18" i="8"/>
  <c r="K17" i="8"/>
  <c r="K16" i="8"/>
  <c r="K15" i="8"/>
  <c r="K14" i="8"/>
  <c r="K13" i="8"/>
  <c r="K12" i="8"/>
  <c r="J11" i="8"/>
  <c r="J9" i="8"/>
  <c r="I9" i="8"/>
  <c r="I11" i="8"/>
  <c r="K10" i="8"/>
  <c r="K7" i="8"/>
  <c r="K6" i="8"/>
  <c r="K44" i="37"/>
  <c r="J43" i="37"/>
  <c r="K40" i="37"/>
  <c r="K33" i="37"/>
  <c r="K29" i="37"/>
  <c r="J28" i="37"/>
  <c r="I28" i="37"/>
  <c r="K27" i="37"/>
  <c r="K26" i="37"/>
  <c r="I25" i="37"/>
  <c r="J25" i="37"/>
  <c r="K24" i="37"/>
  <c r="J23" i="37"/>
  <c r="I23" i="37"/>
  <c r="K21" i="37"/>
  <c r="J20" i="37"/>
  <c r="I20" i="37"/>
  <c r="K19" i="37"/>
  <c r="K18" i="37"/>
  <c r="K17" i="37"/>
  <c r="K16" i="37"/>
  <c r="K15" i="37"/>
  <c r="K14" i="37"/>
  <c r="K13" i="37"/>
  <c r="K12" i="37"/>
  <c r="J11" i="37"/>
  <c r="J9" i="37"/>
  <c r="I9" i="37"/>
  <c r="I11" i="37"/>
  <c r="K10" i="37"/>
  <c r="K7" i="37"/>
  <c r="K6" i="37"/>
  <c r="N40" i="30"/>
  <c r="N38" i="30"/>
  <c r="N35" i="30"/>
  <c r="E117" i="27"/>
  <c r="E114" i="27"/>
  <c r="E109" i="27"/>
  <c r="E107" i="27"/>
  <c r="E105" i="27"/>
  <c r="E103" i="27"/>
  <c r="E94" i="27"/>
  <c r="K46" i="10"/>
  <c r="F39" i="7"/>
  <c r="F38" i="7"/>
  <c r="F38" i="2"/>
  <c r="K32" i="23"/>
  <c r="K31" i="23" s="1"/>
  <c r="J68" i="30"/>
  <c r="G54" i="11"/>
  <c r="D111" i="27"/>
  <c r="D94" i="27"/>
  <c r="F37" i="37"/>
  <c r="I37" i="23"/>
  <c r="F39" i="18"/>
  <c r="F38" i="18"/>
  <c r="G9" i="23"/>
  <c r="J66" i="30"/>
  <c r="J65" i="30"/>
  <c r="G29" i="23"/>
  <c r="G24" i="23" s="1"/>
  <c r="J15" i="30"/>
  <c r="J14" i="30"/>
  <c r="G8" i="23"/>
  <c r="J81" i="30"/>
  <c r="J71" i="30"/>
  <c r="G18" i="23"/>
  <c r="J18" i="23" s="1"/>
  <c r="J46" i="30"/>
  <c r="C26" i="29"/>
  <c r="G20" i="23" s="1"/>
  <c r="J75" i="30"/>
  <c r="J70" i="30"/>
  <c r="J69" i="30"/>
  <c r="J67" i="30"/>
  <c r="J64" i="30"/>
  <c r="J63" i="30"/>
  <c r="J62" i="30"/>
  <c r="J61" i="30"/>
  <c r="J60" i="30"/>
  <c r="J59" i="30"/>
  <c r="J57" i="30"/>
  <c r="J56" i="30"/>
  <c r="J54" i="30"/>
  <c r="J53" i="30"/>
  <c r="J52" i="30"/>
  <c r="J51" i="30"/>
  <c r="J49" i="30"/>
  <c r="J48" i="30"/>
  <c r="J47" i="30"/>
  <c r="J45" i="30"/>
  <c r="J43" i="30"/>
  <c r="J21" i="30"/>
  <c r="J11" i="30"/>
  <c r="J10" i="30"/>
  <c r="J8" i="30"/>
  <c r="J10" i="10"/>
  <c r="G46" i="20"/>
  <c r="H41" i="12"/>
  <c r="F41" i="2"/>
  <c r="H41" i="2" s="1"/>
  <c r="F41" i="5"/>
  <c r="H41" i="5" s="1"/>
  <c r="F41" i="8"/>
  <c r="H41" i="8" s="1"/>
  <c r="F41" i="7"/>
  <c r="H41" i="7" s="1"/>
  <c r="F41" i="18"/>
  <c r="H41" i="18" s="1"/>
  <c r="F41" i="14"/>
  <c r="H41" i="14" s="1"/>
  <c r="F39" i="14"/>
  <c r="F41" i="37"/>
  <c r="H41" i="37" s="1"/>
  <c r="F82" i="30"/>
  <c r="F43" i="14"/>
  <c r="H31" i="24"/>
  <c r="H30" i="24"/>
  <c r="H29" i="24"/>
  <c r="H28" i="24"/>
  <c r="H27" i="24"/>
  <c r="J92" i="30"/>
  <c r="J91" i="30"/>
  <c r="J90" i="30"/>
  <c r="J19" i="30"/>
  <c r="H24" i="23"/>
  <c r="H19" i="23"/>
  <c r="H20" i="23"/>
  <c r="G15" i="23"/>
  <c r="J13" i="23"/>
  <c r="G37" i="2"/>
  <c r="G38" i="2"/>
  <c r="G39" i="2"/>
  <c r="G43" i="2"/>
  <c r="G42" i="2" s="1"/>
  <c r="G43" i="5"/>
  <c r="G42" i="5" s="1"/>
  <c r="G37" i="5"/>
  <c r="G38" i="5"/>
  <c r="G39" i="5"/>
  <c r="G43" i="7"/>
  <c r="G42" i="7" s="1"/>
  <c r="G38" i="7"/>
  <c r="G39" i="7"/>
  <c r="G37" i="18"/>
  <c r="G38" i="18"/>
  <c r="G39" i="18"/>
  <c r="F43" i="18"/>
  <c r="F42" i="18" s="1"/>
  <c r="C38" i="18"/>
  <c r="C39" i="18"/>
  <c r="C37" i="18"/>
  <c r="G43" i="14"/>
  <c r="G42" i="14" s="1"/>
  <c r="G38" i="14"/>
  <c r="G39" i="14"/>
  <c r="G37" i="14"/>
  <c r="F38" i="14"/>
  <c r="C38" i="14"/>
  <c r="C39" i="14"/>
  <c r="C37" i="14"/>
  <c r="G42" i="8"/>
  <c r="G43" i="37"/>
  <c r="G42" i="37" s="1"/>
  <c r="F43" i="37"/>
  <c r="G37" i="37"/>
  <c r="G38" i="37"/>
  <c r="G39" i="37"/>
  <c r="F38" i="37"/>
  <c r="J59" i="11"/>
  <c r="J58" i="11"/>
  <c r="I57" i="11"/>
  <c r="G57" i="11"/>
  <c r="H57" i="11"/>
  <c r="I56" i="11"/>
  <c r="H56" i="11"/>
  <c r="G56" i="11"/>
  <c r="J55" i="11"/>
  <c r="I100" i="10"/>
  <c r="I54" i="11" s="1"/>
  <c r="J53" i="11"/>
  <c r="D21" i="16" s="1"/>
  <c r="J52" i="11"/>
  <c r="J51" i="11"/>
  <c r="I49" i="11"/>
  <c r="I48" i="11" s="1"/>
  <c r="H49" i="11"/>
  <c r="H48" i="11" s="1"/>
  <c r="G49" i="11"/>
  <c r="G48" i="11" s="1"/>
  <c r="I82" i="10"/>
  <c r="I43" i="11" s="1"/>
  <c r="H82" i="10"/>
  <c r="G82" i="10"/>
  <c r="G43" i="11" s="1"/>
  <c r="I78" i="10"/>
  <c r="H78" i="10"/>
  <c r="G78" i="10"/>
  <c r="I41" i="11"/>
  <c r="H41" i="11"/>
  <c r="G41" i="11"/>
  <c r="I40" i="11"/>
  <c r="H40" i="11"/>
  <c r="G40" i="11"/>
  <c r="I38" i="11"/>
  <c r="H38" i="11"/>
  <c r="G38" i="11"/>
  <c r="I37" i="11"/>
  <c r="H37" i="11"/>
  <c r="G37" i="11"/>
  <c r="I69" i="10"/>
  <c r="H69" i="10"/>
  <c r="G69" i="10"/>
  <c r="G67" i="10" s="1"/>
  <c r="I35" i="11"/>
  <c r="G35" i="11"/>
  <c r="H35" i="11"/>
  <c r="I33" i="11"/>
  <c r="H33" i="11"/>
  <c r="G33" i="11"/>
  <c r="I32" i="11"/>
  <c r="H32" i="11"/>
  <c r="G32" i="11"/>
  <c r="I31" i="11"/>
  <c r="H31" i="11"/>
  <c r="G31" i="11"/>
  <c r="G28" i="11"/>
  <c r="I27" i="11"/>
  <c r="H27" i="11"/>
  <c r="G27" i="11"/>
  <c r="I22" i="20"/>
  <c r="I25" i="11" s="1"/>
  <c r="H22" i="20"/>
  <c r="H25" i="11" s="1"/>
  <c r="G22" i="20"/>
  <c r="G25" i="11" s="1"/>
  <c r="I21" i="20"/>
  <c r="I24" i="11" s="1"/>
  <c r="H21" i="20"/>
  <c r="H24" i="11" s="1"/>
  <c r="G21" i="20"/>
  <c r="G24" i="11" s="1"/>
  <c r="I20" i="20"/>
  <c r="I23" i="11" s="1"/>
  <c r="H20" i="20"/>
  <c r="H23" i="11" s="1"/>
  <c r="G20" i="20"/>
  <c r="I51" i="10"/>
  <c r="I22" i="11" s="1"/>
  <c r="G22" i="11"/>
  <c r="I18" i="20"/>
  <c r="I21" i="11" s="1"/>
  <c r="H18" i="20"/>
  <c r="H21" i="11" s="1"/>
  <c r="G18" i="20"/>
  <c r="I46" i="10"/>
  <c r="I17" i="20"/>
  <c r="H46" i="10"/>
  <c r="H17" i="20"/>
  <c r="J49" i="10"/>
  <c r="G17" i="20"/>
  <c r="I43" i="10"/>
  <c r="I19" i="11" s="1"/>
  <c r="H43" i="10"/>
  <c r="H19" i="11" s="1"/>
  <c r="G43" i="10"/>
  <c r="I15" i="20"/>
  <c r="I18" i="11" s="1"/>
  <c r="H15" i="20"/>
  <c r="G15" i="20"/>
  <c r="G18" i="11" s="1"/>
  <c r="I16" i="11"/>
  <c r="H16" i="11"/>
  <c r="G16" i="11"/>
  <c r="I15" i="11"/>
  <c r="G15" i="11"/>
  <c r="H15" i="11"/>
  <c r="H14" i="11" s="1"/>
  <c r="I32" i="10"/>
  <c r="I13" i="11" s="1"/>
  <c r="G32" i="10"/>
  <c r="G13" i="11" s="1"/>
  <c r="H32" i="10"/>
  <c r="H13" i="11" s="1"/>
  <c r="I29" i="10"/>
  <c r="I12" i="11" s="1"/>
  <c r="H29" i="10"/>
  <c r="H12" i="11" s="1"/>
  <c r="G29" i="10"/>
  <c r="G12" i="11" s="1"/>
  <c r="I26" i="10"/>
  <c r="H26" i="10"/>
  <c r="G26" i="10"/>
  <c r="I20" i="10"/>
  <c r="I18" i="10" s="1"/>
  <c r="H20" i="10"/>
  <c r="H18" i="10" s="1"/>
  <c r="G20" i="10"/>
  <c r="G18" i="10" s="1"/>
  <c r="I8" i="11"/>
  <c r="H8" i="11"/>
  <c r="G8" i="11"/>
  <c r="I7" i="11"/>
  <c r="H7" i="11"/>
  <c r="G7" i="11"/>
  <c r="I6" i="11"/>
  <c r="I34" i="24"/>
  <c r="H34" i="24"/>
  <c r="G34" i="24"/>
  <c r="I33" i="24"/>
  <c r="H33" i="24"/>
  <c r="G33" i="24"/>
  <c r="I31" i="24"/>
  <c r="G31" i="24"/>
  <c r="G29" i="24"/>
  <c r="I28" i="24"/>
  <c r="G28" i="24"/>
  <c r="I27" i="24"/>
  <c r="G27" i="24"/>
  <c r="J23" i="24"/>
  <c r="J22" i="24"/>
  <c r="J21" i="24"/>
  <c r="J20" i="24"/>
  <c r="J19" i="24"/>
  <c r="J14" i="24"/>
  <c r="J13" i="24"/>
  <c r="J12" i="24"/>
  <c r="J11" i="24"/>
  <c r="J10" i="24"/>
  <c r="G41" i="30"/>
  <c r="J107" i="10"/>
  <c r="J106" i="10"/>
  <c r="G105" i="10"/>
  <c r="H105" i="10"/>
  <c r="I105" i="10"/>
  <c r="J103" i="10"/>
  <c r="J102" i="10"/>
  <c r="J101" i="10"/>
  <c r="G100" i="10"/>
  <c r="H100" i="10"/>
  <c r="H94" i="10"/>
  <c r="G94" i="10"/>
  <c r="J99" i="10"/>
  <c r="J98" i="10"/>
  <c r="J97" i="10"/>
  <c r="I94" i="10"/>
  <c r="J88" i="10"/>
  <c r="J87" i="10"/>
  <c r="J86" i="10"/>
  <c r="J85" i="10"/>
  <c r="J84" i="10"/>
  <c r="J83" i="10"/>
  <c r="J81" i="10"/>
  <c r="J80" i="10"/>
  <c r="J79" i="10"/>
  <c r="J77" i="10"/>
  <c r="J76" i="10"/>
  <c r="J74" i="10"/>
  <c r="J73" i="10"/>
  <c r="J72" i="10"/>
  <c r="J71" i="10"/>
  <c r="J70" i="10"/>
  <c r="J68" i="10"/>
  <c r="J66" i="10"/>
  <c r="J65" i="10"/>
  <c r="J64" i="10"/>
  <c r="I63" i="10"/>
  <c r="H63" i="10"/>
  <c r="G63" i="10"/>
  <c r="J56" i="10"/>
  <c r="I55" i="10"/>
  <c r="G55" i="10"/>
  <c r="J54" i="10"/>
  <c r="J53" i="10"/>
  <c r="J52" i="10"/>
  <c r="J50" i="10"/>
  <c r="J48" i="10"/>
  <c r="J47" i="10"/>
  <c r="J42" i="10"/>
  <c r="J40" i="10"/>
  <c r="J39" i="10"/>
  <c r="J38" i="10"/>
  <c r="J37" i="10"/>
  <c r="I36" i="10"/>
  <c r="H36" i="10"/>
  <c r="G36" i="10"/>
  <c r="J35" i="10"/>
  <c r="J34" i="10"/>
  <c r="J33" i="10"/>
  <c r="J31" i="10"/>
  <c r="J28" i="10"/>
  <c r="J24" i="10"/>
  <c r="J23" i="10"/>
  <c r="J22" i="10"/>
  <c r="J21" i="10"/>
  <c r="J19" i="10"/>
  <c r="J17" i="10"/>
  <c r="J16" i="10"/>
  <c r="J14" i="10"/>
  <c r="J13" i="10"/>
  <c r="J12" i="10"/>
  <c r="J11" i="10"/>
  <c r="J9" i="10"/>
  <c r="J8" i="10"/>
  <c r="J43" i="23"/>
  <c r="J42" i="23"/>
  <c r="I41" i="23"/>
  <c r="H41" i="23"/>
  <c r="G41" i="23"/>
  <c r="J40" i="23"/>
  <c r="I39" i="23"/>
  <c r="G39" i="23"/>
  <c r="G30" i="24" s="1"/>
  <c r="G38" i="23"/>
  <c r="J36" i="23"/>
  <c r="J35" i="23"/>
  <c r="J34" i="23"/>
  <c r="J33" i="23"/>
  <c r="J28" i="23"/>
  <c r="J27" i="23"/>
  <c r="J25" i="23"/>
  <c r="I24" i="23"/>
  <c r="I48" i="20"/>
  <c r="I18" i="24" s="1"/>
  <c r="H48" i="20"/>
  <c r="I23" i="23"/>
  <c r="I22" i="23"/>
  <c r="I20" i="23"/>
  <c r="I19" i="23"/>
  <c r="J14" i="23"/>
  <c r="I11" i="23"/>
  <c r="I10" i="23"/>
  <c r="I9" i="23"/>
  <c r="J6" i="23"/>
  <c r="J5" i="23"/>
  <c r="J77" i="30"/>
  <c r="G48" i="20"/>
  <c r="I47" i="20"/>
  <c r="H47" i="20"/>
  <c r="G47" i="20"/>
  <c r="I46" i="20"/>
  <c r="I44" i="20"/>
  <c r="H44" i="20"/>
  <c r="G44" i="20"/>
  <c r="I43" i="20"/>
  <c r="H43" i="20"/>
  <c r="G43" i="20"/>
  <c r="G8" i="24" s="1"/>
  <c r="I42" i="20"/>
  <c r="I41" i="20"/>
  <c r="I40" i="20"/>
  <c r="J36" i="20"/>
  <c r="J32" i="20"/>
  <c r="G31" i="20"/>
  <c r="H31" i="20"/>
  <c r="I31" i="20"/>
  <c r="G26" i="20"/>
  <c r="G28" i="20"/>
  <c r="J30" i="20"/>
  <c r="J29" i="20"/>
  <c r="I28" i="20"/>
  <c r="H28" i="20"/>
  <c r="H26" i="20"/>
  <c r="J27" i="20"/>
  <c r="I26" i="20"/>
  <c r="J24" i="20"/>
  <c r="G23" i="20"/>
  <c r="H23" i="20"/>
  <c r="I23" i="20"/>
  <c r="J19" i="20"/>
  <c r="J16" i="20"/>
  <c r="I9" i="20"/>
  <c r="I11" i="20"/>
  <c r="H9" i="20"/>
  <c r="H11" i="20"/>
  <c r="J13" i="20"/>
  <c r="J12" i="20"/>
  <c r="G11" i="20"/>
  <c r="J10" i="20"/>
  <c r="G9" i="20"/>
  <c r="J7" i="20"/>
  <c r="J6" i="20"/>
  <c r="J5" i="20"/>
  <c r="J87" i="30"/>
  <c r="H45" i="12"/>
  <c r="H40" i="12"/>
  <c r="H33" i="12"/>
  <c r="H29" i="12"/>
  <c r="F28" i="12"/>
  <c r="G28" i="12"/>
  <c r="F23" i="12"/>
  <c r="F25" i="12"/>
  <c r="H27" i="12"/>
  <c r="H26" i="12"/>
  <c r="G25" i="12"/>
  <c r="G23" i="12"/>
  <c r="H24" i="12"/>
  <c r="H21" i="12"/>
  <c r="H19" i="12"/>
  <c r="H18" i="12"/>
  <c r="H17" i="12"/>
  <c r="H16" i="12"/>
  <c r="H15" i="12"/>
  <c r="H14" i="12"/>
  <c r="H13" i="12"/>
  <c r="H12" i="12"/>
  <c r="H10" i="12"/>
  <c r="H7" i="12"/>
  <c r="H6" i="12"/>
  <c r="H45" i="2"/>
  <c r="H44" i="2"/>
  <c r="F43" i="2"/>
  <c r="F42" i="2" s="1"/>
  <c r="H40" i="2"/>
  <c r="F39" i="2"/>
  <c r="H33" i="2"/>
  <c r="H29" i="2"/>
  <c r="G28" i="2"/>
  <c r="G23" i="2"/>
  <c r="G25" i="2"/>
  <c r="F28" i="2"/>
  <c r="H27" i="2"/>
  <c r="H26" i="2"/>
  <c r="F25" i="2"/>
  <c r="H24" i="2"/>
  <c r="F23" i="2"/>
  <c r="H21" i="2"/>
  <c r="G20" i="2"/>
  <c r="F20" i="2"/>
  <c r="H19" i="2"/>
  <c r="H18" i="2"/>
  <c r="H17" i="2"/>
  <c r="H16" i="2"/>
  <c r="H15" i="2"/>
  <c r="H14" i="2"/>
  <c r="H13" i="2"/>
  <c r="H12" i="2"/>
  <c r="G11" i="2"/>
  <c r="F11" i="2"/>
  <c r="H10" i="2"/>
  <c r="G9" i="2"/>
  <c r="F9" i="2"/>
  <c r="H7" i="2"/>
  <c r="H6" i="2"/>
  <c r="H45" i="5"/>
  <c r="H44" i="5"/>
  <c r="F43" i="5"/>
  <c r="H40" i="5"/>
  <c r="F38" i="5"/>
  <c r="F37" i="5"/>
  <c r="H33" i="5"/>
  <c r="H29" i="5"/>
  <c r="F28" i="5"/>
  <c r="G28" i="5"/>
  <c r="H27" i="5"/>
  <c r="H26" i="5"/>
  <c r="G25" i="5"/>
  <c r="F25" i="5"/>
  <c r="H24" i="5"/>
  <c r="G23" i="5"/>
  <c r="F23" i="5"/>
  <c r="G9" i="5"/>
  <c r="G11" i="5"/>
  <c r="G20" i="5"/>
  <c r="H21" i="5"/>
  <c r="F20" i="5"/>
  <c r="H19" i="5"/>
  <c r="H18" i="5"/>
  <c r="H17" i="5"/>
  <c r="H16" i="5"/>
  <c r="H15" i="5"/>
  <c r="H14" i="5"/>
  <c r="H13" i="5"/>
  <c r="H12" i="5"/>
  <c r="F9" i="5"/>
  <c r="F11" i="5"/>
  <c r="H10" i="5"/>
  <c r="H7" i="5"/>
  <c r="H6" i="5"/>
  <c r="H45" i="7"/>
  <c r="H44" i="7"/>
  <c r="F43" i="7"/>
  <c r="H40" i="7"/>
  <c r="H33" i="7"/>
  <c r="H29" i="7"/>
  <c r="G28" i="7"/>
  <c r="G23" i="7"/>
  <c r="G25" i="7"/>
  <c r="G9" i="7"/>
  <c r="G11" i="7"/>
  <c r="G20" i="7"/>
  <c r="F28" i="7"/>
  <c r="H27" i="7"/>
  <c r="H26" i="7"/>
  <c r="F25" i="7"/>
  <c r="H24" i="7"/>
  <c r="F23" i="7"/>
  <c r="H21" i="7"/>
  <c r="F20" i="7"/>
  <c r="H19" i="7"/>
  <c r="H18" i="7"/>
  <c r="H17" i="7"/>
  <c r="H16" i="7"/>
  <c r="H15" i="7"/>
  <c r="H14" i="7"/>
  <c r="H13" i="7"/>
  <c r="H12" i="7"/>
  <c r="F11" i="7"/>
  <c r="H10" i="7"/>
  <c r="F9" i="7"/>
  <c r="H7" i="7"/>
  <c r="H6" i="7"/>
  <c r="H45" i="18"/>
  <c r="H44" i="18"/>
  <c r="G43" i="18"/>
  <c r="H40" i="18"/>
  <c r="H33" i="18"/>
  <c r="H29" i="18"/>
  <c r="G28" i="18"/>
  <c r="G23" i="18"/>
  <c r="G25" i="18"/>
  <c r="G9" i="18"/>
  <c r="G11" i="18"/>
  <c r="G20" i="18"/>
  <c r="F28" i="18"/>
  <c r="H27" i="18"/>
  <c r="H26" i="18"/>
  <c r="F25" i="18"/>
  <c r="H24" i="18"/>
  <c r="F23" i="18"/>
  <c r="H21" i="18"/>
  <c r="F20" i="18"/>
  <c r="H19" i="18"/>
  <c r="H18" i="18"/>
  <c r="H17" i="18"/>
  <c r="H16" i="18"/>
  <c r="H15" i="18"/>
  <c r="H14" i="18"/>
  <c r="H13" i="18"/>
  <c r="H12" i="18"/>
  <c r="F11" i="18"/>
  <c r="H10" i="18"/>
  <c r="F9" i="18"/>
  <c r="H7" i="18"/>
  <c r="H6" i="18"/>
  <c r="H45" i="14"/>
  <c r="H44" i="14"/>
  <c r="H40" i="14"/>
  <c r="H33" i="14"/>
  <c r="H29" i="14"/>
  <c r="F28" i="14"/>
  <c r="G28" i="14"/>
  <c r="H27" i="14"/>
  <c r="H26" i="14"/>
  <c r="G25" i="14"/>
  <c r="G23" i="14"/>
  <c r="G9" i="14"/>
  <c r="G11" i="14"/>
  <c r="G20" i="14"/>
  <c r="F25" i="14"/>
  <c r="H24" i="14"/>
  <c r="F23" i="14"/>
  <c r="H21" i="14"/>
  <c r="F20" i="14"/>
  <c r="H19" i="14"/>
  <c r="H18" i="14"/>
  <c r="H17" i="14"/>
  <c r="H16" i="14"/>
  <c r="H15" i="14"/>
  <c r="H14" i="14"/>
  <c r="H13" i="14"/>
  <c r="H12" i="14"/>
  <c r="F11" i="14"/>
  <c r="H10" i="14"/>
  <c r="F9" i="14"/>
  <c r="H7" i="14"/>
  <c r="H6" i="14"/>
  <c r="H45" i="8"/>
  <c r="H44" i="8"/>
  <c r="F43" i="8"/>
  <c r="H40" i="8"/>
  <c r="H33" i="8"/>
  <c r="H29" i="8"/>
  <c r="G28" i="8"/>
  <c r="F28" i="8"/>
  <c r="H27" i="8"/>
  <c r="H26" i="8"/>
  <c r="G25" i="8"/>
  <c r="F25" i="8"/>
  <c r="H24" i="8"/>
  <c r="G23" i="8"/>
  <c r="F23" i="8"/>
  <c r="H21" i="8"/>
  <c r="G20" i="8"/>
  <c r="F20" i="8"/>
  <c r="H19" i="8"/>
  <c r="H18" i="8"/>
  <c r="H17" i="8"/>
  <c r="H16" i="8"/>
  <c r="H15" i="8"/>
  <c r="H14" i="8"/>
  <c r="H13" i="8"/>
  <c r="H12" i="8"/>
  <c r="G11" i="8"/>
  <c r="F11" i="8"/>
  <c r="H10" i="8"/>
  <c r="G9" i="8"/>
  <c r="F9" i="8"/>
  <c r="H7" i="8"/>
  <c r="H6" i="8"/>
  <c r="F45" i="37"/>
  <c r="H45" i="37" s="1"/>
  <c r="H44" i="37"/>
  <c r="H40" i="37"/>
  <c r="H33" i="37"/>
  <c r="H29" i="37"/>
  <c r="F28" i="37"/>
  <c r="G28" i="37"/>
  <c r="H27" i="37"/>
  <c r="H26" i="37"/>
  <c r="G25" i="37"/>
  <c r="G23" i="37"/>
  <c r="G9" i="37"/>
  <c r="G11" i="37"/>
  <c r="G20" i="37"/>
  <c r="F25" i="37"/>
  <c r="H24" i="37"/>
  <c r="F23" i="37"/>
  <c r="H21" i="37"/>
  <c r="F20" i="37"/>
  <c r="H19" i="37"/>
  <c r="H18" i="37"/>
  <c r="H17" i="37"/>
  <c r="H16" i="37"/>
  <c r="H15" i="37"/>
  <c r="H14" i="37"/>
  <c r="H13" i="37"/>
  <c r="H12" i="37"/>
  <c r="F11" i="37"/>
  <c r="H10" i="37"/>
  <c r="F9" i="37"/>
  <c r="H7" i="37"/>
  <c r="H6" i="37"/>
  <c r="J40" i="30"/>
  <c r="J37" i="30"/>
  <c r="J35" i="30"/>
  <c r="D117" i="27"/>
  <c r="D114" i="27"/>
  <c r="D109" i="27"/>
  <c r="D107" i="27"/>
  <c r="D105" i="27"/>
  <c r="D103" i="27"/>
  <c r="D99" i="27"/>
  <c r="J26" i="23"/>
  <c r="C94" i="10"/>
  <c r="C100" i="10"/>
  <c r="C105" i="10"/>
  <c r="C63" i="10"/>
  <c r="C69" i="10"/>
  <c r="C36" i="11" s="1"/>
  <c r="C78" i="10"/>
  <c r="C42" i="11" s="1"/>
  <c r="C82" i="10"/>
  <c r="C7" i="10"/>
  <c r="C20" i="10"/>
  <c r="C18" i="10" s="1"/>
  <c r="C9" i="11" s="1"/>
  <c r="C29" i="10"/>
  <c r="C12" i="11" s="1"/>
  <c r="C32" i="10"/>
  <c r="C36" i="10"/>
  <c r="C46" i="10"/>
  <c r="C51" i="10"/>
  <c r="C22" i="11" s="1"/>
  <c r="C55" i="10"/>
  <c r="D94" i="10"/>
  <c r="D100" i="10"/>
  <c r="D54" i="11" s="1"/>
  <c r="D105" i="10"/>
  <c r="D63" i="10"/>
  <c r="D69" i="10"/>
  <c r="D78" i="10"/>
  <c r="D82" i="10"/>
  <c r="D43" i="11" s="1"/>
  <c r="D7" i="10"/>
  <c r="D20" i="10"/>
  <c r="D18" i="10" s="1"/>
  <c r="D9" i="11" s="1"/>
  <c r="D26" i="10"/>
  <c r="D11" i="11" s="1"/>
  <c r="D29" i="10"/>
  <c r="D32" i="10"/>
  <c r="D13" i="11" s="1"/>
  <c r="D36" i="10"/>
  <c r="D43" i="10"/>
  <c r="D46" i="10"/>
  <c r="D51" i="10"/>
  <c r="D22" i="11" s="1"/>
  <c r="D57" i="10"/>
  <c r="D55" i="10" s="1"/>
  <c r="E94" i="10"/>
  <c r="E100" i="10"/>
  <c r="E54" i="11" s="1"/>
  <c r="E105" i="10"/>
  <c r="E63" i="10"/>
  <c r="E69" i="10"/>
  <c r="E67" i="10" s="1"/>
  <c r="E78" i="10"/>
  <c r="E82" i="10"/>
  <c r="E43" i="11" s="1"/>
  <c r="E7" i="10"/>
  <c r="E20" i="10"/>
  <c r="E18" i="10" s="1"/>
  <c r="E9" i="11" s="1"/>
  <c r="E26" i="10"/>
  <c r="E11" i="11" s="1"/>
  <c r="E29" i="10"/>
  <c r="E12" i="11" s="1"/>
  <c r="E32" i="10"/>
  <c r="E36" i="10"/>
  <c r="E43" i="10"/>
  <c r="E19" i="11" s="1"/>
  <c r="E46" i="10"/>
  <c r="E51" i="10"/>
  <c r="E22" i="11" s="1"/>
  <c r="E55" i="10"/>
  <c r="C19" i="23"/>
  <c r="C22" i="23"/>
  <c r="D30" i="31"/>
  <c r="B18" i="36"/>
  <c r="D9" i="23"/>
  <c r="H38" i="23"/>
  <c r="H32" i="23" s="1"/>
  <c r="C101" i="27"/>
  <c r="C99" i="27" s="1"/>
  <c r="C41" i="30"/>
  <c r="C4" i="30"/>
  <c r="F13" i="23"/>
  <c r="F57" i="10"/>
  <c r="C6" i="31"/>
  <c r="C5" i="31" s="1"/>
  <c r="C11" i="31" s="1"/>
  <c r="D22" i="23"/>
  <c r="F76" i="30"/>
  <c r="C94" i="27"/>
  <c r="C117" i="27"/>
  <c r="C111" i="27"/>
  <c r="C107" i="27"/>
  <c r="C114" i="27"/>
  <c r="C109" i="27"/>
  <c r="C105" i="27"/>
  <c r="C103" i="27"/>
  <c r="E57" i="11"/>
  <c r="D57" i="11"/>
  <c r="E56" i="11"/>
  <c r="D56" i="11"/>
  <c r="E49" i="11"/>
  <c r="E48" i="11" s="1"/>
  <c r="D49" i="11"/>
  <c r="D48" i="11" s="1"/>
  <c r="E41" i="11"/>
  <c r="D41" i="11"/>
  <c r="E40" i="11"/>
  <c r="D40" i="11"/>
  <c r="E38" i="11"/>
  <c r="D38" i="11"/>
  <c r="E37" i="11"/>
  <c r="D37" i="11"/>
  <c r="E35" i="11"/>
  <c r="D35" i="11"/>
  <c r="E33" i="11"/>
  <c r="D33" i="11"/>
  <c r="E32" i="11"/>
  <c r="D32" i="11"/>
  <c r="E31" i="11"/>
  <c r="D31" i="11"/>
  <c r="E27" i="11"/>
  <c r="D27" i="11"/>
  <c r="E16" i="11"/>
  <c r="D16" i="11"/>
  <c r="E15" i="11"/>
  <c r="D15" i="11"/>
  <c r="E8" i="11"/>
  <c r="D8" i="11"/>
  <c r="E7" i="11"/>
  <c r="D7" i="11"/>
  <c r="F92" i="30"/>
  <c r="F91" i="30"/>
  <c r="F90" i="30"/>
  <c r="D15" i="23"/>
  <c r="C39" i="23"/>
  <c r="C30" i="24" s="1"/>
  <c r="E39" i="23"/>
  <c r="E30" i="24" s="1"/>
  <c r="D11" i="23"/>
  <c r="C29" i="23"/>
  <c r="F29" i="23" s="1"/>
  <c r="E24" i="23"/>
  <c r="D24" i="23"/>
  <c r="C46" i="20"/>
  <c r="E42" i="20"/>
  <c r="E7" i="24" s="1"/>
  <c r="E41" i="20"/>
  <c r="E6" i="24" s="1"/>
  <c r="E40" i="20"/>
  <c r="E5" i="24" s="1"/>
  <c r="C42" i="2"/>
  <c r="C42" i="5"/>
  <c r="C42" i="7"/>
  <c r="D42" i="18"/>
  <c r="C42" i="18"/>
  <c r="C43" i="14"/>
  <c r="C42" i="14" s="1"/>
  <c r="D39" i="14"/>
  <c r="D38" i="14"/>
  <c r="D37" i="14"/>
  <c r="C43" i="8"/>
  <c r="C42" i="8" s="1"/>
  <c r="F19" i="30"/>
  <c r="E34" i="24"/>
  <c r="D34" i="24"/>
  <c r="C34" i="24"/>
  <c r="E33" i="24"/>
  <c r="D33" i="24"/>
  <c r="C33" i="24"/>
  <c r="E31" i="24"/>
  <c r="D31" i="24"/>
  <c r="C31" i="24"/>
  <c r="E29" i="24"/>
  <c r="D29" i="24"/>
  <c r="C29" i="24"/>
  <c r="E28" i="24"/>
  <c r="D28" i="24"/>
  <c r="C28" i="24"/>
  <c r="E27" i="24"/>
  <c r="D27" i="24"/>
  <c r="C27" i="24"/>
  <c r="C57" i="11"/>
  <c r="C56" i="11"/>
  <c r="C49" i="11"/>
  <c r="C48" i="11" s="1"/>
  <c r="C41" i="11"/>
  <c r="C40" i="11"/>
  <c r="C38" i="11"/>
  <c r="C37" i="11"/>
  <c r="C35" i="11"/>
  <c r="C33" i="11"/>
  <c r="C32" i="11"/>
  <c r="C31" i="11"/>
  <c r="C28" i="11"/>
  <c r="C27" i="11"/>
  <c r="C16" i="11"/>
  <c r="C15" i="11"/>
  <c r="C8" i="11"/>
  <c r="C7" i="11"/>
  <c r="D12" i="11"/>
  <c r="C54" i="11"/>
  <c r="F107" i="10"/>
  <c r="F106" i="10"/>
  <c r="F103" i="10"/>
  <c r="F101" i="10"/>
  <c r="F99" i="10"/>
  <c r="F98" i="10"/>
  <c r="F97" i="10"/>
  <c r="F88" i="10"/>
  <c r="F87" i="10"/>
  <c r="F86" i="10"/>
  <c r="F85" i="10"/>
  <c r="F84" i="10"/>
  <c r="F83" i="10"/>
  <c r="F81" i="10"/>
  <c r="F80" i="10"/>
  <c r="F79" i="10"/>
  <c r="F77" i="10"/>
  <c r="F76" i="10"/>
  <c r="F74" i="10"/>
  <c r="F73" i="10"/>
  <c r="F72" i="10"/>
  <c r="F71" i="10"/>
  <c r="F68" i="10"/>
  <c r="F66" i="10"/>
  <c r="F65" i="10"/>
  <c r="F64" i="10"/>
  <c r="F56" i="10"/>
  <c r="F54" i="10"/>
  <c r="F53" i="10"/>
  <c r="F52" i="10"/>
  <c r="F50" i="10"/>
  <c r="F48" i="10"/>
  <c r="F47" i="10"/>
  <c r="F45" i="10"/>
  <c r="F42" i="10"/>
  <c r="F40" i="10"/>
  <c r="F39" i="10"/>
  <c r="F38" i="10"/>
  <c r="F37" i="10"/>
  <c r="F35" i="10"/>
  <c r="F34" i="10"/>
  <c r="F33" i="10"/>
  <c r="F31" i="10"/>
  <c r="F30" i="10"/>
  <c r="F28" i="10"/>
  <c r="F24" i="10"/>
  <c r="F23" i="10"/>
  <c r="F22" i="10"/>
  <c r="F21" i="10"/>
  <c r="F19" i="10"/>
  <c r="F17" i="10"/>
  <c r="F16" i="10"/>
  <c r="F14" i="10"/>
  <c r="F13" i="10"/>
  <c r="F12" i="10"/>
  <c r="F11" i="10"/>
  <c r="F10" i="10"/>
  <c r="F9" i="10"/>
  <c r="F8" i="10"/>
  <c r="E41" i="23"/>
  <c r="D41" i="23"/>
  <c r="C41" i="23"/>
  <c r="D39" i="23"/>
  <c r="D30" i="24" s="1"/>
  <c r="D38" i="23"/>
  <c r="C38" i="23"/>
  <c r="C15" i="23"/>
  <c r="F43" i="23"/>
  <c r="F42" i="23"/>
  <c r="F40" i="23"/>
  <c r="F37" i="23"/>
  <c r="F36" i="23"/>
  <c r="F35" i="23"/>
  <c r="F34" i="23"/>
  <c r="F33" i="23"/>
  <c r="F28" i="23"/>
  <c r="F27" i="23"/>
  <c r="F26" i="23"/>
  <c r="F25" i="23"/>
  <c r="F14" i="23"/>
  <c r="F6" i="23"/>
  <c r="F5" i="23"/>
  <c r="F80" i="30"/>
  <c r="F75" i="30"/>
  <c r="F81" i="30"/>
  <c r="F77" i="30"/>
  <c r="F73" i="30"/>
  <c r="F72" i="30"/>
  <c r="F71" i="30"/>
  <c r="F70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3" i="30"/>
  <c r="C23" i="23"/>
  <c r="F15" i="30"/>
  <c r="F14" i="30"/>
  <c r="F12" i="30"/>
  <c r="F11" i="30"/>
  <c r="F10" i="30"/>
  <c r="F8" i="30"/>
  <c r="F7" i="30"/>
  <c r="F6" i="30"/>
  <c r="E48" i="20"/>
  <c r="E18" i="24" s="1"/>
  <c r="D48" i="20"/>
  <c r="C48" i="20"/>
  <c r="E47" i="20"/>
  <c r="E17" i="24" s="1"/>
  <c r="D47" i="20"/>
  <c r="C47" i="20"/>
  <c r="E46" i="20"/>
  <c r="E16" i="24" s="1"/>
  <c r="E44" i="20"/>
  <c r="D44" i="20"/>
  <c r="C44" i="20"/>
  <c r="E43" i="20"/>
  <c r="E8" i="24" s="1"/>
  <c r="D43" i="20"/>
  <c r="C43" i="20"/>
  <c r="C8" i="24" s="1"/>
  <c r="E31" i="20"/>
  <c r="D31" i="20"/>
  <c r="C31" i="20"/>
  <c r="E28" i="20"/>
  <c r="D28" i="20"/>
  <c r="C28" i="20"/>
  <c r="E26" i="20"/>
  <c r="D26" i="20"/>
  <c r="C26" i="20"/>
  <c r="E23" i="20"/>
  <c r="D23" i="20"/>
  <c r="C23" i="20"/>
  <c r="E22" i="20"/>
  <c r="E25" i="11" s="1"/>
  <c r="D22" i="20"/>
  <c r="D25" i="11" s="1"/>
  <c r="C22" i="20"/>
  <c r="E21" i="20"/>
  <c r="E24" i="11" s="1"/>
  <c r="D21" i="20"/>
  <c r="C21" i="20"/>
  <c r="C24" i="11" s="1"/>
  <c r="E20" i="20"/>
  <c r="E23" i="11" s="1"/>
  <c r="D20" i="20"/>
  <c r="D23" i="11" s="1"/>
  <c r="C20" i="20"/>
  <c r="E18" i="20"/>
  <c r="E21" i="11" s="1"/>
  <c r="D18" i="20"/>
  <c r="C18" i="20"/>
  <c r="C21" i="11" s="1"/>
  <c r="E17" i="20"/>
  <c r="E20" i="11" s="1"/>
  <c r="D17" i="20"/>
  <c r="C17" i="20"/>
  <c r="E15" i="20"/>
  <c r="E18" i="11" s="1"/>
  <c r="D15" i="20"/>
  <c r="C15" i="20"/>
  <c r="E11" i="20"/>
  <c r="D11" i="20"/>
  <c r="C11" i="20"/>
  <c r="E9" i="20"/>
  <c r="D9" i="20"/>
  <c r="C9" i="20"/>
  <c r="F36" i="20"/>
  <c r="F32" i="20"/>
  <c r="F30" i="20"/>
  <c r="F29" i="20"/>
  <c r="F27" i="20"/>
  <c r="F24" i="20"/>
  <c r="F19" i="20"/>
  <c r="F16" i="20"/>
  <c r="F13" i="20"/>
  <c r="F12" i="20"/>
  <c r="F10" i="20"/>
  <c r="F7" i="20"/>
  <c r="F6" i="20"/>
  <c r="F5" i="20"/>
  <c r="F88" i="30"/>
  <c r="F87" i="30"/>
  <c r="D28" i="12"/>
  <c r="C28" i="12"/>
  <c r="D25" i="12"/>
  <c r="C25" i="12"/>
  <c r="D23" i="12"/>
  <c r="C23" i="12"/>
  <c r="E45" i="12"/>
  <c r="E41" i="12"/>
  <c r="E40" i="12"/>
  <c r="E33" i="12"/>
  <c r="E29" i="12"/>
  <c r="E27" i="12"/>
  <c r="E26" i="12"/>
  <c r="E24" i="12"/>
  <c r="E21" i="12"/>
  <c r="E19" i="12"/>
  <c r="E18" i="12"/>
  <c r="E17" i="12"/>
  <c r="E16" i="12"/>
  <c r="E15" i="12"/>
  <c r="E14" i="12"/>
  <c r="E13" i="12"/>
  <c r="E12" i="12"/>
  <c r="E10" i="12"/>
  <c r="E7" i="12"/>
  <c r="E6" i="12"/>
  <c r="D43" i="2"/>
  <c r="D42" i="2" s="1"/>
  <c r="D39" i="2"/>
  <c r="D38" i="2"/>
  <c r="D37" i="2"/>
  <c r="D28" i="2"/>
  <c r="C28" i="2"/>
  <c r="D25" i="2"/>
  <c r="C25" i="2"/>
  <c r="D23" i="2"/>
  <c r="C23" i="2"/>
  <c r="D20" i="2"/>
  <c r="C20" i="2"/>
  <c r="D11" i="2"/>
  <c r="C11" i="2"/>
  <c r="D9" i="2"/>
  <c r="C9" i="2"/>
  <c r="E45" i="2"/>
  <c r="E44" i="2"/>
  <c r="E41" i="2"/>
  <c r="E40" i="2"/>
  <c r="E33" i="2"/>
  <c r="E29" i="2"/>
  <c r="E27" i="2"/>
  <c r="E26" i="2"/>
  <c r="E24" i="2"/>
  <c r="E21" i="2"/>
  <c r="E19" i="2"/>
  <c r="E18" i="2"/>
  <c r="E17" i="2"/>
  <c r="E16" i="2"/>
  <c r="E15" i="2"/>
  <c r="E14" i="2"/>
  <c r="E13" i="2"/>
  <c r="E12" i="2"/>
  <c r="E10" i="2"/>
  <c r="E7" i="2"/>
  <c r="E6" i="2"/>
  <c r="D43" i="5"/>
  <c r="D42" i="5" s="1"/>
  <c r="D39" i="5"/>
  <c r="D38" i="5"/>
  <c r="D37" i="5"/>
  <c r="D28" i="5"/>
  <c r="C28" i="5"/>
  <c r="D25" i="5"/>
  <c r="C25" i="5"/>
  <c r="D23" i="5"/>
  <c r="C23" i="5"/>
  <c r="D20" i="5"/>
  <c r="C20" i="5"/>
  <c r="D11" i="5"/>
  <c r="C11" i="5"/>
  <c r="D9" i="5"/>
  <c r="C9" i="5"/>
  <c r="E26" i="5"/>
  <c r="E12" i="5"/>
  <c r="E45" i="5"/>
  <c r="E44" i="5"/>
  <c r="E41" i="5"/>
  <c r="E33" i="5"/>
  <c r="E29" i="5"/>
  <c r="E27" i="5"/>
  <c r="E24" i="5"/>
  <c r="E21" i="5"/>
  <c r="E19" i="5"/>
  <c r="E18" i="5"/>
  <c r="E17" i="5"/>
  <c r="E16" i="5"/>
  <c r="E15" i="5"/>
  <c r="E14" i="5"/>
  <c r="E13" i="5"/>
  <c r="E10" i="5"/>
  <c r="E7" i="5"/>
  <c r="E6" i="5"/>
  <c r="D43" i="7"/>
  <c r="D42" i="7" s="1"/>
  <c r="D39" i="7"/>
  <c r="D38" i="7"/>
  <c r="D37" i="7"/>
  <c r="D28" i="7"/>
  <c r="C28" i="7"/>
  <c r="D25" i="7"/>
  <c r="C25" i="7"/>
  <c r="D23" i="7"/>
  <c r="C23" i="7"/>
  <c r="D20" i="7"/>
  <c r="C20" i="7"/>
  <c r="D11" i="7"/>
  <c r="C11" i="7"/>
  <c r="D9" i="7"/>
  <c r="C9" i="7"/>
  <c r="E45" i="7"/>
  <c r="E44" i="7"/>
  <c r="E41" i="7"/>
  <c r="E40" i="7"/>
  <c r="E33" i="7"/>
  <c r="E29" i="7"/>
  <c r="E27" i="7"/>
  <c r="E26" i="7"/>
  <c r="E24" i="7"/>
  <c r="E21" i="7"/>
  <c r="E19" i="7"/>
  <c r="E18" i="7"/>
  <c r="E17" i="7"/>
  <c r="E16" i="7"/>
  <c r="E15" i="7"/>
  <c r="E14" i="7"/>
  <c r="E13" i="7"/>
  <c r="E12" i="7"/>
  <c r="E10" i="7"/>
  <c r="E7" i="7"/>
  <c r="E6" i="7"/>
  <c r="D28" i="18"/>
  <c r="C28" i="18"/>
  <c r="D25" i="18"/>
  <c r="C25" i="18"/>
  <c r="D23" i="18"/>
  <c r="C23" i="18"/>
  <c r="D20" i="18"/>
  <c r="C20" i="18"/>
  <c r="D11" i="18"/>
  <c r="C11" i="18"/>
  <c r="D9" i="18"/>
  <c r="C9" i="18"/>
  <c r="E45" i="18"/>
  <c r="E44" i="18"/>
  <c r="E41" i="18"/>
  <c r="E40" i="18"/>
  <c r="E33" i="18"/>
  <c r="E29" i="18"/>
  <c r="E27" i="18"/>
  <c r="E26" i="18"/>
  <c r="E24" i="18"/>
  <c r="E21" i="18"/>
  <c r="E19" i="18"/>
  <c r="E18" i="18"/>
  <c r="E17" i="18"/>
  <c r="E16" i="18"/>
  <c r="E15" i="18"/>
  <c r="E14" i="18"/>
  <c r="E13" i="18"/>
  <c r="E12" i="18"/>
  <c r="E10" i="18"/>
  <c r="E7" i="18"/>
  <c r="E6" i="18"/>
  <c r="D43" i="14"/>
  <c r="D28" i="14"/>
  <c r="C28" i="14"/>
  <c r="C25" i="14"/>
  <c r="D25" i="14"/>
  <c r="D23" i="14"/>
  <c r="C23" i="14"/>
  <c r="D20" i="14"/>
  <c r="C20" i="14"/>
  <c r="D11" i="14"/>
  <c r="C11" i="14"/>
  <c r="D9" i="14"/>
  <c r="C9" i="14"/>
  <c r="E45" i="14"/>
  <c r="E44" i="14"/>
  <c r="E41" i="14"/>
  <c r="E40" i="14"/>
  <c r="E33" i="14"/>
  <c r="E29" i="14"/>
  <c r="E27" i="14"/>
  <c r="E26" i="14"/>
  <c r="E24" i="14"/>
  <c r="E21" i="14"/>
  <c r="E19" i="14"/>
  <c r="E18" i="14"/>
  <c r="E17" i="14"/>
  <c r="E16" i="14"/>
  <c r="E15" i="14"/>
  <c r="E14" i="14"/>
  <c r="E13" i="14"/>
  <c r="E12" i="14"/>
  <c r="E10" i="14"/>
  <c r="E7" i="14"/>
  <c r="E6" i="14"/>
  <c r="D43" i="8"/>
  <c r="D42" i="8" s="1"/>
  <c r="D39" i="8"/>
  <c r="D38" i="8"/>
  <c r="D37" i="8"/>
  <c r="C43" i="37"/>
  <c r="C39" i="37"/>
  <c r="C38" i="37"/>
  <c r="C37" i="37"/>
  <c r="F49" i="10"/>
  <c r="C6" i="11"/>
  <c r="F70" i="10"/>
  <c r="E40" i="5"/>
  <c r="D28" i="8"/>
  <c r="C28" i="8"/>
  <c r="D25" i="8"/>
  <c r="C25" i="8"/>
  <c r="D23" i="8"/>
  <c r="C23" i="8"/>
  <c r="D11" i="8"/>
  <c r="C11" i="8"/>
  <c r="D9" i="8"/>
  <c r="C9" i="8"/>
  <c r="E45" i="8"/>
  <c r="E44" i="8"/>
  <c r="E41" i="8"/>
  <c r="E40" i="8"/>
  <c r="E33" i="8"/>
  <c r="E29" i="8"/>
  <c r="E27" i="8"/>
  <c r="E26" i="8"/>
  <c r="E24" i="8"/>
  <c r="E21" i="8"/>
  <c r="E19" i="8"/>
  <c r="E18" i="8"/>
  <c r="E17" i="8"/>
  <c r="E16" i="8"/>
  <c r="E15" i="8"/>
  <c r="E14" i="8"/>
  <c r="E13" i="8"/>
  <c r="E12" i="8"/>
  <c r="E10" i="8"/>
  <c r="E7" i="8"/>
  <c r="E6" i="8"/>
  <c r="D43" i="37"/>
  <c r="D42" i="37" s="1"/>
  <c r="D39" i="37"/>
  <c r="D38" i="37"/>
  <c r="D37" i="37"/>
  <c r="D28" i="37"/>
  <c r="C28" i="37"/>
  <c r="D25" i="37"/>
  <c r="C25" i="37"/>
  <c r="D23" i="37"/>
  <c r="C23" i="37"/>
  <c r="E44" i="37"/>
  <c r="E41" i="37"/>
  <c r="E40" i="37"/>
  <c r="E33" i="37"/>
  <c r="E29" i="37"/>
  <c r="E27" i="37"/>
  <c r="E26" i="37"/>
  <c r="E24" i="37"/>
  <c r="E21" i="37"/>
  <c r="E19" i="37"/>
  <c r="E18" i="37"/>
  <c r="E17" i="37"/>
  <c r="E16" i="37"/>
  <c r="E15" i="37"/>
  <c r="E14" i="37"/>
  <c r="E13" i="37"/>
  <c r="E12" i="37"/>
  <c r="E10" i="37"/>
  <c r="F40" i="30"/>
  <c r="F39" i="30"/>
  <c r="F38" i="30"/>
  <c r="F37" i="30"/>
  <c r="F36" i="30"/>
  <c r="F78" i="30"/>
  <c r="F35" i="30"/>
  <c r="F34" i="30"/>
  <c r="F31" i="30"/>
  <c r="F30" i="30"/>
  <c r="F23" i="24"/>
  <c r="F22" i="24"/>
  <c r="F21" i="24"/>
  <c r="F20" i="24"/>
  <c r="F19" i="24"/>
  <c r="F14" i="24"/>
  <c r="F13" i="24"/>
  <c r="F12" i="24"/>
  <c r="F11" i="24"/>
  <c r="F10" i="24"/>
  <c r="F51" i="11"/>
  <c r="F52" i="11"/>
  <c r="F53" i="11"/>
  <c r="C21" i="16" s="1"/>
  <c r="F55" i="11"/>
  <c r="F58" i="11"/>
  <c r="F59" i="11"/>
  <c r="B26" i="29"/>
  <c r="C20" i="23" s="1"/>
  <c r="F20" i="23" s="1"/>
  <c r="K22" i="16"/>
  <c r="D31" i="35"/>
  <c r="D30" i="35" s="1"/>
  <c r="D28" i="35"/>
  <c r="D26" i="35"/>
  <c r="D24" i="35"/>
  <c r="C20" i="35"/>
  <c r="C19" i="35" s="1"/>
  <c r="C13" i="35"/>
  <c r="C10" i="35"/>
  <c r="C6" i="35"/>
  <c r="D27" i="31"/>
  <c r="D20" i="31"/>
  <c r="D17" i="31"/>
  <c r="D16" i="31" s="1"/>
  <c r="C13" i="31"/>
  <c r="C12" i="31" s="1"/>
  <c r="AF70" i="26"/>
  <c r="AF74" i="26" s="1"/>
  <c r="G102" i="15"/>
  <c r="G99" i="15" s="1"/>
  <c r="E99" i="15" s="1"/>
  <c r="DH32" i="26"/>
  <c r="I6" i="17"/>
  <c r="G33" i="4"/>
  <c r="G32" i="4"/>
  <c r="G26" i="4"/>
  <c r="G24" i="4"/>
  <c r="G23" i="4"/>
  <c r="G19" i="4"/>
  <c r="G13" i="4"/>
  <c r="G13" i="1"/>
  <c r="G11" i="1"/>
  <c r="I26" i="9"/>
  <c r="AF15" i="26"/>
  <c r="F15" i="26" s="1"/>
  <c r="G37" i="15"/>
  <c r="G59" i="4"/>
  <c r="M70" i="9"/>
  <c r="I70" i="9"/>
  <c r="G70" i="9"/>
  <c r="G22" i="6"/>
  <c r="G53" i="4"/>
  <c r="G31" i="1"/>
  <c r="Q21" i="19"/>
  <c r="O21" i="19"/>
  <c r="G21" i="19"/>
  <c r="E21" i="19" s="1"/>
  <c r="R2" i="26"/>
  <c r="E100" i="17"/>
  <c r="E36" i="17"/>
  <c r="M160" i="17"/>
  <c r="M172" i="17" s="1"/>
  <c r="L160" i="17"/>
  <c r="L172" i="17" s="1"/>
  <c r="M147" i="17"/>
  <c r="L147" i="17"/>
  <c r="M141" i="17"/>
  <c r="L141" i="17"/>
  <c r="M117" i="17"/>
  <c r="L117" i="17"/>
  <c r="M114" i="17"/>
  <c r="L114" i="17"/>
  <c r="M109" i="17"/>
  <c r="L109" i="17"/>
  <c r="M105" i="17"/>
  <c r="L105" i="17"/>
  <c r="L102" i="17"/>
  <c r="M97" i="17"/>
  <c r="M101" i="17" s="1"/>
  <c r="L97" i="17"/>
  <c r="L101" i="17" s="1"/>
  <c r="M91" i="17"/>
  <c r="L91" i="17"/>
  <c r="M87" i="17"/>
  <c r="L87" i="17"/>
  <c r="M84" i="17"/>
  <c r="L84" i="17"/>
  <c r="M80" i="17"/>
  <c r="L80" i="17"/>
  <c r="M78" i="17"/>
  <c r="L78" i="17"/>
  <c r="M74" i="17"/>
  <c r="L74" i="17"/>
  <c r="L96" i="17" s="1"/>
  <c r="M70" i="17"/>
  <c r="L70" i="17"/>
  <c r="M63" i="17"/>
  <c r="L63" i="17"/>
  <c r="M59" i="17"/>
  <c r="L59" i="17"/>
  <c r="M52" i="17"/>
  <c r="L52" i="17"/>
  <c r="M45" i="17"/>
  <c r="L45" i="17"/>
  <c r="M38" i="17"/>
  <c r="L38" i="17"/>
  <c r="M30" i="17"/>
  <c r="L30" i="17"/>
  <c r="M28" i="17"/>
  <c r="L28" i="17"/>
  <c r="M26" i="17"/>
  <c r="L26" i="17"/>
  <c r="P32" i="26"/>
  <c r="DH42" i="26"/>
  <c r="H42" i="26" s="1"/>
  <c r="BP33" i="26"/>
  <c r="AF21" i="26"/>
  <c r="M62" i="17"/>
  <c r="U158" i="19"/>
  <c r="U159" i="19" s="1"/>
  <c r="R20" i="26"/>
  <c r="G154" i="19"/>
  <c r="G47" i="4"/>
  <c r="Q158" i="9"/>
  <c r="Q178" i="9" s="1"/>
  <c r="Q153" i="9"/>
  <c r="Q157" i="9" s="1"/>
  <c r="Q147" i="9"/>
  <c r="Q129" i="9"/>
  <c r="Q118" i="9"/>
  <c r="Q91" i="9"/>
  <c r="Q83" i="9"/>
  <c r="Q85" i="9" s="1"/>
  <c r="Q79" i="9"/>
  <c r="Q143" i="9"/>
  <c r="M54" i="9"/>
  <c r="M6" i="9" s="1"/>
  <c r="M78" i="9" s="1"/>
  <c r="M76" i="9" s="1"/>
  <c r="S216" i="9"/>
  <c r="S228" i="9" s="1"/>
  <c r="Q216" i="9"/>
  <c r="Q228" i="9" s="1"/>
  <c r="M216" i="9"/>
  <c r="M228" i="9" s="1"/>
  <c r="G39" i="4"/>
  <c r="CX64" i="26"/>
  <c r="CX66" i="26" s="1"/>
  <c r="CJ64" i="26"/>
  <c r="C18" i="36"/>
  <c r="C8" i="36"/>
  <c r="B8" i="36"/>
  <c r="B19" i="36" s="1"/>
  <c r="G37" i="1"/>
  <c r="BT59" i="26"/>
  <c r="Z38" i="26"/>
  <c r="Z43" i="26" s="1"/>
  <c r="Z33" i="26"/>
  <c r="F33" i="26" s="1"/>
  <c r="H7" i="33"/>
  <c r="G7" i="33"/>
  <c r="F7" i="33"/>
  <c r="E7" i="33"/>
  <c r="D7" i="33"/>
  <c r="C7" i="33"/>
  <c r="B7" i="33"/>
  <c r="I4" i="33"/>
  <c r="I7" i="33" s="1"/>
  <c r="C22" i="32"/>
  <c r="C13" i="32"/>
  <c r="AT17" i="26"/>
  <c r="H17" i="26" s="1"/>
  <c r="N73" i="26"/>
  <c r="N74" i="26" s="1"/>
  <c r="V73" i="26"/>
  <c r="AB73" i="26"/>
  <c r="Z68" i="26"/>
  <c r="O92" i="19"/>
  <c r="AJ52" i="26"/>
  <c r="AJ53" i="26" s="1"/>
  <c r="I148" i="15"/>
  <c r="I152" i="15" s="1"/>
  <c r="G107" i="15"/>
  <c r="G49" i="15"/>
  <c r="E49" i="15" s="1"/>
  <c r="G6" i="6"/>
  <c r="G30" i="6" s="1"/>
  <c r="G28" i="6" s="1"/>
  <c r="AB33" i="26"/>
  <c r="Z73" i="26"/>
  <c r="L67" i="26"/>
  <c r="CT106" i="26"/>
  <c r="CT88" i="26"/>
  <c r="CT79" i="26"/>
  <c r="CT74" i="26"/>
  <c r="CT66" i="26"/>
  <c r="CT53" i="26"/>
  <c r="CT37" i="26"/>
  <c r="CT34" i="26"/>
  <c r="CT26" i="26"/>
  <c r="CT23" i="26"/>
  <c r="CT19" i="26"/>
  <c r="H19" i="26" s="1"/>
  <c r="CT18" i="26"/>
  <c r="P29" i="26"/>
  <c r="F29" i="26" s="1"/>
  <c r="AH106" i="26"/>
  <c r="AH88" i="26"/>
  <c r="AH79" i="26"/>
  <c r="AH73" i="26"/>
  <c r="AH74" i="26" s="1"/>
  <c r="AH53" i="26"/>
  <c r="AH44" i="26"/>
  <c r="DH106" i="26"/>
  <c r="DH88" i="26"/>
  <c r="DH79" i="26"/>
  <c r="DH74" i="26"/>
  <c r="DH66" i="26"/>
  <c r="DH53" i="26"/>
  <c r="DH37" i="26"/>
  <c r="DH26" i="26"/>
  <c r="DH23" i="26"/>
  <c r="DH18" i="26"/>
  <c r="AF106" i="26"/>
  <c r="AF88" i="26"/>
  <c r="AF79" i="26"/>
  <c r="AF53" i="26"/>
  <c r="AF37" i="26"/>
  <c r="AF34" i="26"/>
  <c r="AF26" i="26"/>
  <c r="AF23" i="26"/>
  <c r="U126" i="19"/>
  <c r="U123" i="19"/>
  <c r="U118" i="19"/>
  <c r="U114" i="19"/>
  <c r="U106" i="19"/>
  <c r="U110" i="19" s="1"/>
  <c r="U104" i="19"/>
  <c r="U100" i="19" s="1"/>
  <c r="U96" i="19"/>
  <c r="U93" i="19"/>
  <c r="U89" i="19"/>
  <c r="U84" i="19"/>
  <c r="U80" i="19"/>
  <c r="U73" i="19"/>
  <c r="U62" i="19"/>
  <c r="U55" i="19"/>
  <c r="U44" i="19"/>
  <c r="U41" i="19"/>
  <c r="U36" i="19"/>
  <c r="T45" i="19"/>
  <c r="S45" i="19"/>
  <c r="Q126" i="19"/>
  <c r="Q123" i="19"/>
  <c r="Q118" i="19"/>
  <c r="Q114" i="19"/>
  <c r="Q106" i="19"/>
  <c r="Q110" i="19" s="1"/>
  <c r="Q100" i="19"/>
  <c r="Q92" i="19"/>
  <c r="Q89" i="19"/>
  <c r="Q84" i="19"/>
  <c r="Q80" i="19"/>
  <c r="Q73" i="19"/>
  <c r="Q69" i="19"/>
  <c r="Q62" i="19"/>
  <c r="Q72" i="19" s="1"/>
  <c r="Q41" i="19"/>
  <c r="Q44" i="19"/>
  <c r="Q16" i="19"/>
  <c r="Q42" i="19" s="1"/>
  <c r="O158" i="19"/>
  <c r="O159" i="19" s="1"/>
  <c r="O126" i="19"/>
  <c r="O106" i="19"/>
  <c r="O100" i="19"/>
  <c r="O93" i="19"/>
  <c r="O96" i="19"/>
  <c r="O80" i="19"/>
  <c r="O62" i="19"/>
  <c r="O72" i="19" s="1"/>
  <c r="G44" i="19"/>
  <c r="O44" i="19"/>
  <c r="O41" i="19"/>
  <c r="O16" i="19"/>
  <c r="O42" i="19" s="1"/>
  <c r="G126" i="19"/>
  <c r="E126" i="19" s="1"/>
  <c r="G123" i="19"/>
  <c r="G118" i="19"/>
  <c r="G114" i="19"/>
  <c r="G73" i="19"/>
  <c r="G84" i="19"/>
  <c r="G96" i="19"/>
  <c r="G106" i="19"/>
  <c r="G110" i="19" s="1"/>
  <c r="G100" i="19"/>
  <c r="G93" i="19"/>
  <c r="G89" i="19"/>
  <c r="G80" i="19"/>
  <c r="E80" i="19" s="1"/>
  <c r="G69" i="19"/>
  <c r="G62" i="19"/>
  <c r="G55" i="19"/>
  <c r="G36" i="19"/>
  <c r="G35" i="19"/>
  <c r="G34" i="19" s="1"/>
  <c r="G31" i="19"/>
  <c r="G28" i="19"/>
  <c r="E28" i="19" s="1"/>
  <c r="G27" i="19"/>
  <c r="G26" i="19" s="1"/>
  <c r="E26" i="19" s="1"/>
  <c r="G24" i="19"/>
  <c r="E24" i="19" s="1"/>
  <c r="G16" i="19"/>
  <c r="G10" i="19"/>
  <c r="AH19" i="26"/>
  <c r="G77" i="15"/>
  <c r="G75" i="15" s="1"/>
  <c r="G95" i="15"/>
  <c r="K42" i="15"/>
  <c r="K49" i="15"/>
  <c r="K40" i="15"/>
  <c r="K46" i="15" s="1"/>
  <c r="K38" i="15"/>
  <c r="E162" i="17"/>
  <c r="E163" i="17"/>
  <c r="E164" i="17"/>
  <c r="E165" i="17"/>
  <c r="E167" i="17"/>
  <c r="E168" i="17"/>
  <c r="E169" i="17"/>
  <c r="E170" i="17"/>
  <c r="E161" i="17"/>
  <c r="E145" i="17"/>
  <c r="E144" i="17"/>
  <c r="E143" i="17"/>
  <c r="E142" i="17"/>
  <c r="E134" i="17"/>
  <c r="E135" i="17"/>
  <c r="E136" i="17"/>
  <c r="E137" i="17"/>
  <c r="E138" i="17"/>
  <c r="E139" i="17"/>
  <c r="E133" i="17"/>
  <c r="E83" i="17"/>
  <c r="E27" i="17"/>
  <c r="E21" i="17"/>
  <c r="E18" i="17"/>
  <c r="E17" i="17"/>
  <c r="E14" i="17"/>
  <c r="E13" i="17"/>
  <c r="E9" i="17"/>
  <c r="E8" i="17"/>
  <c r="K38" i="17"/>
  <c r="K30" i="17"/>
  <c r="K28" i="17"/>
  <c r="K26" i="17"/>
  <c r="DN106" i="26"/>
  <c r="DN88" i="26"/>
  <c r="DN79" i="26"/>
  <c r="DN74" i="26"/>
  <c r="DN66" i="26"/>
  <c r="DN53" i="26"/>
  <c r="DN43" i="26"/>
  <c r="DN37" i="26"/>
  <c r="DN34" i="26"/>
  <c r="DN26" i="26"/>
  <c r="DN23" i="26"/>
  <c r="DN18" i="26"/>
  <c r="DT106" i="26"/>
  <c r="DT88" i="26"/>
  <c r="DT79" i="26"/>
  <c r="DT74" i="26"/>
  <c r="DT66" i="26"/>
  <c r="DT53" i="26"/>
  <c r="DT43" i="26"/>
  <c r="DT37" i="26"/>
  <c r="DT34" i="26"/>
  <c r="DT18" i="26"/>
  <c r="DL106" i="26"/>
  <c r="DL88" i="26"/>
  <c r="DL74" i="26"/>
  <c r="DL66" i="26"/>
  <c r="DL53" i="26"/>
  <c r="DL43" i="26"/>
  <c r="DL37" i="26"/>
  <c r="DL34" i="26"/>
  <c r="DL26" i="26"/>
  <c r="DL23" i="26"/>
  <c r="DL18" i="26"/>
  <c r="DJ106" i="26"/>
  <c r="DJ88" i="26"/>
  <c r="DJ79" i="26"/>
  <c r="DJ66" i="26"/>
  <c r="DJ53" i="26"/>
  <c r="DJ43" i="26"/>
  <c r="DJ37" i="26"/>
  <c r="DJ34" i="26"/>
  <c r="DJ26" i="26"/>
  <c r="DJ23" i="26"/>
  <c r="DJ18" i="26"/>
  <c r="DF48" i="26"/>
  <c r="H48" i="26" s="1"/>
  <c r="DF50" i="26"/>
  <c r="DF106" i="26"/>
  <c r="DF88" i="26"/>
  <c r="DF79" i="26"/>
  <c r="DF74" i="26"/>
  <c r="DF66" i="26"/>
  <c r="DF43" i="26"/>
  <c r="DF37" i="26"/>
  <c r="DF34" i="26"/>
  <c r="DF26" i="26"/>
  <c r="DF23" i="26"/>
  <c r="DF18" i="26"/>
  <c r="DD106" i="26"/>
  <c r="DD88" i="26"/>
  <c r="DD79" i="26"/>
  <c r="DD74" i="26"/>
  <c r="DD66" i="26"/>
  <c r="DD53" i="26"/>
  <c r="DD43" i="26"/>
  <c r="DD37" i="26"/>
  <c r="DD34" i="26"/>
  <c r="DD26" i="26"/>
  <c r="DD23" i="26"/>
  <c r="DD18" i="26"/>
  <c r="CX106" i="26"/>
  <c r="CX88" i="26"/>
  <c r="CX79" i="26"/>
  <c r="CX74" i="26"/>
  <c r="CX53" i="26"/>
  <c r="CX43" i="26"/>
  <c r="CX37" i="26"/>
  <c r="CX34" i="26"/>
  <c r="CX26" i="26"/>
  <c r="CX23" i="26"/>
  <c r="CX18" i="26"/>
  <c r="CV106" i="26"/>
  <c r="CV88" i="26"/>
  <c r="CV79" i="26"/>
  <c r="CV74" i="26"/>
  <c r="CV64" i="26"/>
  <c r="CV66" i="26" s="1"/>
  <c r="CV53" i="26"/>
  <c r="CV43" i="26"/>
  <c r="CV37" i="26"/>
  <c r="CV34" i="26"/>
  <c r="CV26" i="26"/>
  <c r="CV23" i="26"/>
  <c r="CV18" i="26"/>
  <c r="CR106" i="26"/>
  <c r="CR88" i="26"/>
  <c r="CR79" i="26"/>
  <c r="CR74" i="26"/>
  <c r="CR66" i="26"/>
  <c r="CR53" i="26"/>
  <c r="CR43" i="26"/>
  <c r="CR37" i="26"/>
  <c r="CR34" i="26"/>
  <c r="CR26" i="26"/>
  <c r="CR23" i="26"/>
  <c r="CR18" i="26"/>
  <c r="CP106" i="26"/>
  <c r="CP88" i="26"/>
  <c r="CP79" i="26"/>
  <c r="CP74" i="26"/>
  <c r="CP64" i="26"/>
  <c r="CP66" i="26" s="1"/>
  <c r="CP53" i="26"/>
  <c r="CP43" i="26"/>
  <c r="CP37" i="26"/>
  <c r="CP34" i="26"/>
  <c r="CP26" i="26"/>
  <c r="CP23" i="26"/>
  <c r="CP18" i="26"/>
  <c r="CN106" i="26"/>
  <c r="CN88" i="26"/>
  <c r="CN79" i="26"/>
  <c r="CN74" i="26"/>
  <c r="CN66" i="26"/>
  <c r="CN53" i="26"/>
  <c r="CN43" i="26"/>
  <c r="CN37" i="26"/>
  <c r="CN34" i="26"/>
  <c r="CN26" i="26"/>
  <c r="CN23" i="26"/>
  <c r="CN18" i="26"/>
  <c r="CB64" i="26"/>
  <c r="H64" i="26" s="1"/>
  <c r="CL106" i="26"/>
  <c r="CL88" i="26"/>
  <c r="CL79" i="26"/>
  <c r="CL74" i="26"/>
  <c r="CL66" i="26"/>
  <c r="CL53" i="26"/>
  <c r="CL43" i="26"/>
  <c r="CL37" i="26"/>
  <c r="CL34" i="26"/>
  <c r="CL26" i="26"/>
  <c r="CL23" i="26"/>
  <c r="CL18" i="26"/>
  <c r="CJ106" i="26"/>
  <c r="CJ88" i="26"/>
  <c r="CJ79" i="26"/>
  <c r="CJ74" i="26"/>
  <c r="CJ66" i="26"/>
  <c r="CJ53" i="26"/>
  <c r="CJ37" i="26"/>
  <c r="CJ34" i="26"/>
  <c r="CJ26" i="26"/>
  <c r="CJ23" i="26"/>
  <c r="CJ18" i="26"/>
  <c r="CH106" i="26"/>
  <c r="CH88" i="26"/>
  <c r="CH79" i="26"/>
  <c r="CH74" i="26"/>
  <c r="CH66" i="26"/>
  <c r="CH53" i="26"/>
  <c r="CH43" i="26"/>
  <c r="CH37" i="26"/>
  <c r="CH34" i="26"/>
  <c r="CH26" i="26"/>
  <c r="CH23" i="26"/>
  <c r="CH18" i="26"/>
  <c r="CF106" i="26"/>
  <c r="CF88" i="26"/>
  <c r="CF79" i="26"/>
  <c r="CF74" i="26"/>
  <c r="CF66" i="26"/>
  <c r="CF53" i="26"/>
  <c r="CF43" i="26"/>
  <c r="CF37" i="26"/>
  <c r="CF34" i="26"/>
  <c r="CF26" i="26"/>
  <c r="CF23" i="26"/>
  <c r="CF18" i="26"/>
  <c r="CD106" i="26"/>
  <c r="CD88" i="26"/>
  <c r="CD79" i="26"/>
  <c r="CD74" i="26"/>
  <c r="CD66" i="26"/>
  <c r="CD53" i="26"/>
  <c r="CD43" i="26"/>
  <c r="CD37" i="26"/>
  <c r="CD34" i="26"/>
  <c r="CD26" i="26"/>
  <c r="CD23" i="26"/>
  <c r="CD18" i="26"/>
  <c r="CB106" i="26"/>
  <c r="CB88" i="26"/>
  <c r="CB79" i="26"/>
  <c r="CB74" i="26"/>
  <c r="CB66" i="26"/>
  <c r="CB53" i="26"/>
  <c r="CB43" i="26"/>
  <c r="CB37" i="26"/>
  <c r="CB34" i="26"/>
  <c r="CB26" i="26"/>
  <c r="CB23" i="26"/>
  <c r="CB18" i="26"/>
  <c r="BZ59" i="26"/>
  <c r="BZ66" i="26" s="1"/>
  <c r="BZ106" i="26"/>
  <c r="BZ88" i="26"/>
  <c r="BZ79" i="26"/>
  <c r="BZ74" i="26"/>
  <c r="BZ53" i="26"/>
  <c r="BZ43" i="26"/>
  <c r="BZ37" i="26"/>
  <c r="BZ34" i="26"/>
  <c r="BZ26" i="26"/>
  <c r="BZ23" i="26"/>
  <c r="BZ18" i="26"/>
  <c r="DV66" i="26"/>
  <c r="DV18" i="26"/>
  <c r="BX106" i="26"/>
  <c r="BX88" i="26"/>
  <c r="BX79" i="26"/>
  <c r="BX74" i="26"/>
  <c r="BX66" i="26"/>
  <c r="BX53" i="26"/>
  <c r="BX43" i="26"/>
  <c r="BX37" i="26"/>
  <c r="BX34" i="26"/>
  <c r="BX26" i="26"/>
  <c r="BX23" i="26"/>
  <c r="BX18" i="26"/>
  <c r="BV106" i="26"/>
  <c r="BV88" i="26"/>
  <c r="BV79" i="26"/>
  <c r="BV74" i="26"/>
  <c r="BV59" i="26"/>
  <c r="BV53" i="26"/>
  <c r="BV43" i="26"/>
  <c r="BV37" i="26"/>
  <c r="BV34" i="26"/>
  <c r="BV26" i="26"/>
  <c r="BV23" i="26"/>
  <c r="BV18" i="26"/>
  <c r="BT106" i="26"/>
  <c r="BT88" i="26"/>
  <c r="BT79" i="26"/>
  <c r="BT74" i="26"/>
  <c r="BT53" i="26"/>
  <c r="BT43" i="26"/>
  <c r="BT37" i="26"/>
  <c r="BT34" i="26"/>
  <c r="BT26" i="26"/>
  <c r="BT23" i="26"/>
  <c r="BT18" i="26"/>
  <c r="BR106" i="26"/>
  <c r="BR88" i="26"/>
  <c r="BR79" i="26"/>
  <c r="BR74" i="26"/>
  <c r="BR66" i="26"/>
  <c r="BR53" i="26"/>
  <c r="BR43" i="26"/>
  <c r="BR37" i="26"/>
  <c r="BR34" i="26"/>
  <c r="BR26" i="26"/>
  <c r="BR23" i="26"/>
  <c r="BR18" i="26"/>
  <c r="BP106" i="26"/>
  <c r="BP88" i="26"/>
  <c r="BP79" i="26"/>
  <c r="BP74" i="26"/>
  <c r="BP66" i="26"/>
  <c r="BP53" i="26"/>
  <c r="BP37" i="26"/>
  <c r="BP26" i="26"/>
  <c r="BP23" i="26"/>
  <c r="BP18" i="26"/>
  <c r="BN106" i="26"/>
  <c r="BN88" i="26"/>
  <c r="BN79" i="26"/>
  <c r="BN74" i="26"/>
  <c r="BN66" i="26"/>
  <c r="BN53" i="26"/>
  <c r="BN43" i="26"/>
  <c r="BN37" i="26"/>
  <c r="BN34" i="26"/>
  <c r="BN26" i="26"/>
  <c r="BN23" i="26"/>
  <c r="BN18" i="26"/>
  <c r="BL106" i="26"/>
  <c r="BL88" i="26"/>
  <c r="BL79" i="26"/>
  <c r="BL74" i="26"/>
  <c r="BL66" i="26"/>
  <c r="BL53" i="26"/>
  <c r="BL37" i="26"/>
  <c r="BL34" i="26"/>
  <c r="BL26" i="26"/>
  <c r="BL23" i="26"/>
  <c r="BL18" i="26"/>
  <c r="BJ106" i="26"/>
  <c r="BJ88" i="26"/>
  <c r="BJ79" i="26"/>
  <c r="BJ74" i="26"/>
  <c r="BJ66" i="26"/>
  <c r="BJ53" i="26"/>
  <c r="BJ37" i="26"/>
  <c r="BJ34" i="26"/>
  <c r="BJ26" i="26"/>
  <c r="BJ23" i="26"/>
  <c r="BJ18" i="26"/>
  <c r="BH106" i="26"/>
  <c r="BH88" i="26"/>
  <c r="BH79" i="26"/>
  <c r="BH74" i="26"/>
  <c r="BH66" i="26"/>
  <c r="BH53" i="26"/>
  <c r="BH43" i="26"/>
  <c r="BH37" i="26"/>
  <c r="BH34" i="26"/>
  <c r="BH26" i="26"/>
  <c r="BH23" i="26"/>
  <c r="BH18" i="26"/>
  <c r="BF106" i="26"/>
  <c r="BF88" i="26"/>
  <c r="BF79" i="26"/>
  <c r="BF74" i="26"/>
  <c r="BF66" i="26"/>
  <c r="BF53" i="26"/>
  <c r="BF37" i="26"/>
  <c r="BF34" i="26"/>
  <c r="BF26" i="26"/>
  <c r="BF23" i="26"/>
  <c r="BF18" i="26"/>
  <c r="BD106" i="26"/>
  <c r="BD88" i="26"/>
  <c r="BD79" i="26"/>
  <c r="BD74" i="26"/>
  <c r="BD66" i="26"/>
  <c r="BD53" i="26"/>
  <c r="BD43" i="26"/>
  <c r="BD37" i="26"/>
  <c r="BD34" i="26"/>
  <c r="BD26" i="26"/>
  <c r="BD23" i="26"/>
  <c r="BD18" i="26"/>
  <c r="DP106" i="26"/>
  <c r="DP88" i="26"/>
  <c r="DP79" i="26"/>
  <c r="DP74" i="26"/>
  <c r="DP66" i="26"/>
  <c r="DP53" i="26"/>
  <c r="DP37" i="26"/>
  <c r="DP34" i="26"/>
  <c r="DP26" i="26"/>
  <c r="DP23" i="26"/>
  <c r="DP18" i="26"/>
  <c r="BB106" i="26"/>
  <c r="BB88" i="26"/>
  <c r="BB79" i="26"/>
  <c r="BB74" i="26"/>
  <c r="BB66" i="26"/>
  <c r="BB53" i="26"/>
  <c r="BB37" i="26"/>
  <c r="BB34" i="26"/>
  <c r="BB26" i="26"/>
  <c r="BB23" i="26"/>
  <c r="BB18" i="26"/>
  <c r="AZ106" i="26"/>
  <c r="AZ88" i="26"/>
  <c r="AZ79" i="26"/>
  <c r="AZ74" i="26"/>
  <c r="AZ66" i="26"/>
  <c r="AZ53" i="26"/>
  <c r="AZ43" i="26"/>
  <c r="AZ37" i="26"/>
  <c r="AZ34" i="26"/>
  <c r="AZ26" i="26"/>
  <c r="AZ23" i="26"/>
  <c r="AZ18" i="26"/>
  <c r="AV106" i="26"/>
  <c r="AV88" i="26"/>
  <c r="AV79" i="26"/>
  <c r="AV74" i="26"/>
  <c r="AV66" i="26"/>
  <c r="AV53" i="26"/>
  <c r="AV43" i="26"/>
  <c r="AV37" i="26"/>
  <c r="AV34" i="26"/>
  <c r="AV26" i="26"/>
  <c r="AV23" i="26"/>
  <c r="AV18" i="26"/>
  <c r="AX106" i="26"/>
  <c r="AX88" i="26"/>
  <c r="AX79" i="26"/>
  <c r="AX74" i="26"/>
  <c r="AX66" i="26"/>
  <c r="AX53" i="26"/>
  <c r="AX43" i="26"/>
  <c r="AX37" i="26"/>
  <c r="AX34" i="26"/>
  <c r="AX26" i="26"/>
  <c r="AX23" i="26"/>
  <c r="AX18" i="26"/>
  <c r="AT106" i="26"/>
  <c r="AT88" i="26"/>
  <c r="AT79" i="26"/>
  <c r="AT74" i="26"/>
  <c r="AT66" i="26"/>
  <c r="AT53" i="26"/>
  <c r="AT43" i="26"/>
  <c r="AT37" i="26"/>
  <c r="AT34" i="26"/>
  <c r="AT26" i="26"/>
  <c r="AT23" i="26"/>
  <c r="AT18" i="26"/>
  <c r="AR106" i="26"/>
  <c r="AR88" i="26"/>
  <c r="AR79" i="26"/>
  <c r="AR74" i="26"/>
  <c r="AR66" i="26"/>
  <c r="AR53" i="26"/>
  <c r="AR37" i="26"/>
  <c r="AR34" i="26"/>
  <c r="AR26" i="26"/>
  <c r="AR23" i="26"/>
  <c r="AR18" i="26"/>
  <c r="AP106" i="26"/>
  <c r="AP88" i="26"/>
  <c r="AP79" i="26"/>
  <c r="AP74" i="26"/>
  <c r="AP66" i="26"/>
  <c r="AP53" i="26"/>
  <c r="AP43" i="26"/>
  <c r="AP37" i="26"/>
  <c r="AP34" i="26"/>
  <c r="AP26" i="26"/>
  <c r="AP23" i="26"/>
  <c r="AP18" i="26"/>
  <c r="AL106" i="26"/>
  <c r="AL88" i="26"/>
  <c r="AL79" i="26"/>
  <c r="AL74" i="26"/>
  <c r="AL66" i="26"/>
  <c r="AL53" i="26"/>
  <c r="AL43" i="26"/>
  <c r="AL37" i="26"/>
  <c r="AL34" i="26"/>
  <c r="AL26" i="26"/>
  <c r="AL23" i="26"/>
  <c r="AL18" i="26"/>
  <c r="AH18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7" i="26"/>
  <c r="F86" i="26"/>
  <c r="F85" i="26"/>
  <c r="F84" i="26"/>
  <c r="F83" i="26"/>
  <c r="F82" i="26"/>
  <c r="F81" i="26"/>
  <c r="F80" i="26"/>
  <c r="F78" i="26"/>
  <c r="F77" i="26"/>
  <c r="F76" i="26"/>
  <c r="F75" i="26"/>
  <c r="F72" i="26"/>
  <c r="F71" i="26"/>
  <c r="F70" i="26"/>
  <c r="F69" i="26"/>
  <c r="F64" i="26"/>
  <c r="F63" i="26"/>
  <c r="F62" i="26"/>
  <c r="F61" i="26"/>
  <c r="F60" i="26"/>
  <c r="F59" i="26"/>
  <c r="F58" i="26"/>
  <c r="F57" i="26"/>
  <c r="F56" i="26"/>
  <c r="F55" i="26"/>
  <c r="F54" i="26"/>
  <c r="F51" i="26"/>
  <c r="F50" i="26"/>
  <c r="F49" i="26"/>
  <c r="F48" i="26"/>
  <c r="F47" i="26"/>
  <c r="F46" i="26"/>
  <c r="F45" i="26"/>
  <c r="F42" i="26"/>
  <c r="F41" i="26"/>
  <c r="F40" i="26"/>
  <c r="F39" i="26"/>
  <c r="F36" i="26"/>
  <c r="F35" i="26"/>
  <c r="F31" i="26"/>
  <c r="F30" i="26"/>
  <c r="F28" i="26"/>
  <c r="F27" i="26"/>
  <c r="F25" i="26"/>
  <c r="D25" i="26" s="1"/>
  <c r="F24" i="26"/>
  <c r="F22" i="26"/>
  <c r="F21" i="26"/>
  <c r="F20" i="26"/>
  <c r="F17" i="26"/>
  <c r="F16" i="26"/>
  <c r="F14" i="26"/>
  <c r="F13" i="26"/>
  <c r="F12" i="26"/>
  <c r="F11" i="26"/>
  <c r="F10" i="26"/>
  <c r="F9" i="26"/>
  <c r="F8" i="26"/>
  <c r="F7" i="26"/>
  <c r="F6" i="26"/>
  <c r="F5" i="26"/>
  <c r="F4" i="26"/>
  <c r="F3" i="26"/>
  <c r="AJ106" i="26"/>
  <c r="AJ88" i="26"/>
  <c r="AJ79" i="26"/>
  <c r="AJ74" i="26"/>
  <c r="AJ66" i="26"/>
  <c r="AJ43" i="26"/>
  <c r="AJ37" i="26"/>
  <c r="AJ34" i="26"/>
  <c r="AJ26" i="26"/>
  <c r="AJ23" i="26"/>
  <c r="AJ18" i="26"/>
  <c r="AD106" i="26"/>
  <c r="AD88" i="26"/>
  <c r="AD79" i="26"/>
  <c r="AD74" i="26"/>
  <c r="AD66" i="26"/>
  <c r="AD53" i="26"/>
  <c r="AD37" i="26"/>
  <c r="AD34" i="26"/>
  <c r="AD26" i="26"/>
  <c r="AD23" i="26"/>
  <c r="AD18" i="26"/>
  <c r="AB106" i="26"/>
  <c r="AB88" i="26"/>
  <c r="AB79" i="26"/>
  <c r="AB74" i="26"/>
  <c r="AB66" i="26"/>
  <c r="AB53" i="26"/>
  <c r="AB37" i="26"/>
  <c r="AB34" i="26"/>
  <c r="AB38" i="26" s="1"/>
  <c r="AB43" i="26" s="1"/>
  <c r="AB26" i="26"/>
  <c r="AB23" i="26"/>
  <c r="AB18" i="26"/>
  <c r="Z34" i="26"/>
  <c r="Z106" i="26"/>
  <c r="Z88" i="26"/>
  <c r="Z79" i="26"/>
  <c r="Z66" i="26"/>
  <c r="Z53" i="26"/>
  <c r="Z37" i="26"/>
  <c r="Z26" i="26"/>
  <c r="Z23" i="26"/>
  <c r="Z18" i="26"/>
  <c r="X106" i="26"/>
  <c r="X88" i="26"/>
  <c r="X79" i="26"/>
  <c r="X74" i="26"/>
  <c r="X66" i="26"/>
  <c r="X53" i="26"/>
  <c r="X37" i="26"/>
  <c r="X34" i="26"/>
  <c r="X26" i="26"/>
  <c r="X23" i="26"/>
  <c r="X18" i="26"/>
  <c r="V106" i="26"/>
  <c r="V88" i="26"/>
  <c r="V79" i="26"/>
  <c r="V74" i="26"/>
  <c r="V66" i="26"/>
  <c r="V53" i="26"/>
  <c r="V43" i="26"/>
  <c r="V37" i="26"/>
  <c r="V34" i="26"/>
  <c r="V26" i="26"/>
  <c r="V23" i="26"/>
  <c r="V18" i="26"/>
  <c r="T106" i="26"/>
  <c r="T88" i="26"/>
  <c r="T79" i="26"/>
  <c r="T74" i="26"/>
  <c r="T66" i="26"/>
  <c r="T53" i="26"/>
  <c r="T43" i="26"/>
  <c r="T37" i="26"/>
  <c r="T34" i="26"/>
  <c r="T26" i="26"/>
  <c r="T23" i="26"/>
  <c r="T18" i="26"/>
  <c r="R106" i="26"/>
  <c r="R88" i="26"/>
  <c r="R79" i="26"/>
  <c r="R74" i="26"/>
  <c r="R66" i="26"/>
  <c r="R53" i="26"/>
  <c r="R37" i="26"/>
  <c r="R34" i="26"/>
  <c r="R26" i="26"/>
  <c r="R23" i="26"/>
  <c r="P106" i="26"/>
  <c r="P88" i="26"/>
  <c r="P79" i="26"/>
  <c r="P74" i="26"/>
  <c r="P66" i="26"/>
  <c r="P53" i="26"/>
  <c r="P37" i="26"/>
  <c r="P26" i="26"/>
  <c r="P23" i="26"/>
  <c r="P18" i="26"/>
  <c r="N106" i="26"/>
  <c r="N88" i="26"/>
  <c r="N79" i="26"/>
  <c r="N66" i="26"/>
  <c r="N53" i="26"/>
  <c r="N37" i="26"/>
  <c r="N34" i="26"/>
  <c r="N26" i="26"/>
  <c r="N23" i="26"/>
  <c r="N18" i="26"/>
  <c r="J88" i="26"/>
  <c r="J79" i="26"/>
  <c r="J74" i="26"/>
  <c r="J66" i="26"/>
  <c r="J53" i="26"/>
  <c r="J44" i="26"/>
  <c r="J18" i="26"/>
  <c r="L106" i="26"/>
  <c r="L79" i="26"/>
  <c r="L88" i="26"/>
  <c r="L66" i="26"/>
  <c r="L53" i="26"/>
  <c r="L37" i="26"/>
  <c r="L26" i="26"/>
  <c r="L23" i="26"/>
  <c r="L18" i="26"/>
  <c r="L32" i="26"/>
  <c r="DL79" i="26"/>
  <c r="AF65" i="26"/>
  <c r="AF66" i="26" s="1"/>
  <c r="DS106" i="26"/>
  <c r="DQ106" i="26"/>
  <c r="DO106" i="26"/>
  <c r="DM106" i="26"/>
  <c r="DK106" i="26"/>
  <c r="DI106" i="26"/>
  <c r="DG106" i="26"/>
  <c r="DE106" i="26"/>
  <c r="DC106" i="26"/>
  <c r="DA106" i="26"/>
  <c r="CY106" i="26"/>
  <c r="CW106" i="26"/>
  <c r="CU106" i="26"/>
  <c r="CS106" i="26"/>
  <c r="CQ106" i="26"/>
  <c r="CO106" i="26"/>
  <c r="CM106" i="26"/>
  <c r="CK106" i="26"/>
  <c r="CI106" i="26"/>
  <c r="CG106" i="26"/>
  <c r="CE106" i="26"/>
  <c r="CC106" i="26"/>
  <c r="CA106" i="26"/>
  <c r="BY106" i="26"/>
  <c r="BW106" i="26"/>
  <c r="BU106" i="26"/>
  <c r="BS106" i="26"/>
  <c r="BQ106" i="26"/>
  <c r="BO106" i="26"/>
  <c r="BM106" i="26"/>
  <c r="BK106" i="26"/>
  <c r="BI106" i="26"/>
  <c r="BG106" i="26"/>
  <c r="BE106" i="26"/>
  <c r="BC106" i="26"/>
  <c r="BA106" i="26"/>
  <c r="AY106" i="26"/>
  <c r="AW106" i="26"/>
  <c r="AU106" i="26"/>
  <c r="AS106" i="26"/>
  <c r="AQ106" i="26"/>
  <c r="AO106" i="26"/>
  <c r="AM106" i="26"/>
  <c r="AK106" i="26"/>
  <c r="AI106" i="26"/>
  <c r="AE106" i="26"/>
  <c r="AC106" i="26"/>
  <c r="AA106" i="26"/>
  <c r="Y106" i="26"/>
  <c r="W106" i="26"/>
  <c r="U106" i="26"/>
  <c r="S106" i="26"/>
  <c r="Q106" i="26"/>
  <c r="O106" i="26"/>
  <c r="M106" i="26"/>
  <c r="K106" i="26"/>
  <c r="H105" i="26"/>
  <c r="G105" i="26"/>
  <c r="E105" i="26"/>
  <c r="C105" i="26"/>
  <c r="H104" i="26"/>
  <c r="G104" i="26"/>
  <c r="E104" i="26"/>
  <c r="C104" i="26"/>
  <c r="H103" i="26"/>
  <c r="G103" i="26"/>
  <c r="E103" i="26"/>
  <c r="C103" i="26"/>
  <c r="H102" i="26"/>
  <c r="G102" i="26"/>
  <c r="E102" i="26"/>
  <c r="C102" i="26"/>
  <c r="H101" i="26"/>
  <c r="G101" i="26"/>
  <c r="E101" i="26"/>
  <c r="C101" i="26"/>
  <c r="H100" i="26"/>
  <c r="G100" i="26"/>
  <c r="E100" i="26"/>
  <c r="C100" i="26"/>
  <c r="H99" i="26"/>
  <c r="G99" i="26"/>
  <c r="E99" i="26"/>
  <c r="C99" i="26"/>
  <c r="I98" i="26"/>
  <c r="I106" i="26" s="1"/>
  <c r="H98" i="26"/>
  <c r="G98" i="26"/>
  <c r="E98" i="26"/>
  <c r="H97" i="26"/>
  <c r="G97" i="26"/>
  <c r="E97" i="26"/>
  <c r="C97" i="26"/>
  <c r="H96" i="26"/>
  <c r="G96" i="26"/>
  <c r="E96" i="26"/>
  <c r="C96" i="26"/>
  <c r="H95" i="26"/>
  <c r="G95" i="26"/>
  <c r="E95" i="26"/>
  <c r="C95" i="26"/>
  <c r="H94" i="26"/>
  <c r="G94" i="26"/>
  <c r="E94" i="26"/>
  <c r="C94" i="26"/>
  <c r="H93" i="26"/>
  <c r="G93" i="26"/>
  <c r="E93" i="26"/>
  <c r="C93" i="26"/>
  <c r="H92" i="26"/>
  <c r="G92" i="26"/>
  <c r="E92" i="26"/>
  <c r="C92" i="26"/>
  <c r="H91" i="26"/>
  <c r="G91" i="26"/>
  <c r="E91" i="26"/>
  <c r="C91" i="26"/>
  <c r="H90" i="26"/>
  <c r="G90" i="26"/>
  <c r="E90" i="26"/>
  <c r="C90" i="26"/>
  <c r="H89" i="26"/>
  <c r="G89" i="26"/>
  <c r="E89" i="26"/>
  <c r="C89" i="26"/>
  <c r="DS88" i="26"/>
  <c r="DQ88" i="26"/>
  <c r="DO88" i="26"/>
  <c r="DM88" i="26"/>
  <c r="DK88" i="26"/>
  <c r="DI88" i="26"/>
  <c r="DG88" i="26"/>
  <c r="DE88" i="26"/>
  <c r="DC88" i="26"/>
  <c r="DA88" i="26"/>
  <c r="CY88" i="26"/>
  <c r="CW88" i="26"/>
  <c r="CU88" i="26"/>
  <c r="CS88" i="26"/>
  <c r="CQ88" i="26"/>
  <c r="CO88" i="26"/>
  <c r="CM88" i="26"/>
  <c r="CK88" i="26"/>
  <c r="CI88" i="26"/>
  <c r="CG88" i="26"/>
  <c r="CE88" i="26"/>
  <c r="CC88" i="26"/>
  <c r="CA88" i="26"/>
  <c r="BY88" i="26"/>
  <c r="BW88" i="26"/>
  <c r="BU88" i="26"/>
  <c r="BS88" i="26"/>
  <c r="BQ88" i="26"/>
  <c r="BO88" i="26"/>
  <c r="BM88" i="26"/>
  <c r="BK88" i="26"/>
  <c r="BI88" i="26"/>
  <c r="BG88" i="26"/>
  <c r="BE88" i="26"/>
  <c r="BC88" i="26"/>
  <c r="BA88" i="26"/>
  <c r="AY88" i="26"/>
  <c r="AW88" i="26"/>
  <c r="AU88" i="26"/>
  <c r="AS88" i="26"/>
  <c r="AQ88" i="26"/>
  <c r="AO88" i="26"/>
  <c r="AM88" i="26"/>
  <c r="AK88" i="26"/>
  <c r="AI88" i="26"/>
  <c r="AE88" i="26"/>
  <c r="AC88" i="26"/>
  <c r="AA88" i="26"/>
  <c r="Y88" i="26"/>
  <c r="W88" i="26"/>
  <c r="U88" i="26"/>
  <c r="S88" i="26"/>
  <c r="Q88" i="26"/>
  <c r="O88" i="26"/>
  <c r="M88" i="26"/>
  <c r="K88" i="26"/>
  <c r="I88" i="26"/>
  <c r="H87" i="26"/>
  <c r="D87" i="26"/>
  <c r="G87" i="26"/>
  <c r="E87" i="26"/>
  <c r="C87" i="26"/>
  <c r="H86" i="26"/>
  <c r="G86" i="26"/>
  <c r="E86" i="26"/>
  <c r="C86" i="26"/>
  <c r="H85" i="26"/>
  <c r="G85" i="26"/>
  <c r="E85" i="26"/>
  <c r="C85" i="26"/>
  <c r="H84" i="26"/>
  <c r="G84" i="26"/>
  <c r="E84" i="26"/>
  <c r="C84" i="26"/>
  <c r="H83" i="26"/>
  <c r="D83" i="26" s="1"/>
  <c r="G83" i="26"/>
  <c r="E83" i="26"/>
  <c r="C83" i="26"/>
  <c r="H82" i="26"/>
  <c r="G82" i="26"/>
  <c r="E82" i="26"/>
  <c r="C82" i="26"/>
  <c r="H81" i="26"/>
  <c r="G81" i="26"/>
  <c r="E81" i="26"/>
  <c r="C81" i="26"/>
  <c r="H80" i="26"/>
  <c r="G80" i="26"/>
  <c r="G88" i="26" s="1"/>
  <c r="E80" i="26"/>
  <c r="E88" i="26" s="1"/>
  <c r="C80" i="26"/>
  <c r="DS79" i="26"/>
  <c r="DQ79" i="26"/>
  <c r="DO79" i="26"/>
  <c r="DM79" i="26"/>
  <c r="DI79" i="26"/>
  <c r="DG79" i="26"/>
  <c r="DE79" i="26"/>
  <c r="DC79" i="26"/>
  <c r="DA79" i="26"/>
  <c r="CY79" i="26"/>
  <c r="CW79" i="26"/>
  <c r="CU79" i="26"/>
  <c r="CS79" i="26"/>
  <c r="CQ79" i="26"/>
  <c r="CO79" i="26"/>
  <c r="CM79" i="26"/>
  <c r="CK79" i="26"/>
  <c r="CI79" i="26"/>
  <c r="CG79" i="26"/>
  <c r="CE79" i="26"/>
  <c r="CC79" i="26"/>
  <c r="CA79" i="26"/>
  <c r="BY79" i="26"/>
  <c r="BW79" i="26"/>
  <c r="BU79" i="26"/>
  <c r="BS79" i="26"/>
  <c r="BQ79" i="26"/>
  <c r="BO79" i="26"/>
  <c r="BM79" i="26"/>
  <c r="BK79" i="26"/>
  <c r="BI79" i="26"/>
  <c r="BG79" i="26"/>
  <c r="BE79" i="26"/>
  <c r="BC79" i="26"/>
  <c r="BA79" i="26"/>
  <c r="AY79" i="26"/>
  <c r="AW79" i="26"/>
  <c r="AU79" i="26"/>
  <c r="AS79" i="26"/>
  <c r="AQ79" i="26"/>
  <c r="AO79" i="26"/>
  <c r="AM79" i="26"/>
  <c r="AK79" i="26"/>
  <c r="AI79" i="26"/>
  <c r="AC79" i="26"/>
  <c r="AA79" i="26"/>
  <c r="Y79" i="26"/>
  <c r="W79" i="26"/>
  <c r="U79" i="26"/>
  <c r="S79" i="26"/>
  <c r="Q79" i="26"/>
  <c r="O79" i="26"/>
  <c r="M79" i="26"/>
  <c r="K79" i="26"/>
  <c r="I79" i="26"/>
  <c r="DK78" i="26"/>
  <c r="G78" i="26" s="1"/>
  <c r="AE78" i="26"/>
  <c r="E78" i="26" s="1"/>
  <c r="H78" i="26"/>
  <c r="D78" i="26" s="1"/>
  <c r="H77" i="26"/>
  <c r="G77" i="26"/>
  <c r="E77" i="26"/>
  <c r="C77" i="26"/>
  <c r="H76" i="26"/>
  <c r="G76" i="26"/>
  <c r="E76" i="26"/>
  <c r="C76" i="26"/>
  <c r="DK75" i="26"/>
  <c r="AE75" i="26"/>
  <c r="E75" i="26" s="1"/>
  <c r="H75" i="26"/>
  <c r="DS74" i="26"/>
  <c r="DQ74" i="26"/>
  <c r="DO74" i="26"/>
  <c r="DM74" i="26"/>
  <c r="DK74" i="26"/>
  <c r="DG74" i="26"/>
  <c r="DE74" i="26"/>
  <c r="DC74" i="26"/>
  <c r="DA74" i="26"/>
  <c r="CY74" i="26"/>
  <c r="CW74" i="26"/>
  <c r="CU74" i="26"/>
  <c r="CS74" i="26"/>
  <c r="CQ74" i="26"/>
  <c r="CO74" i="26"/>
  <c r="CM74" i="26"/>
  <c r="CK74" i="26"/>
  <c r="CI74" i="26"/>
  <c r="CG74" i="26"/>
  <c r="CE74" i="26"/>
  <c r="CC74" i="26"/>
  <c r="CA74" i="26"/>
  <c r="BY74" i="26"/>
  <c r="BW74" i="26"/>
  <c r="BU74" i="26"/>
  <c r="BS74" i="26"/>
  <c r="BQ74" i="26"/>
  <c r="BO74" i="26"/>
  <c r="BM74" i="26"/>
  <c r="BK74" i="26"/>
  <c r="BI74" i="26"/>
  <c r="BG74" i="26"/>
  <c r="BE74" i="26"/>
  <c r="BC74" i="26"/>
  <c r="BA74" i="26"/>
  <c r="AY74" i="26"/>
  <c r="AW74" i="26"/>
  <c r="AU74" i="26"/>
  <c r="AS74" i="26"/>
  <c r="AQ74" i="26"/>
  <c r="AO74" i="26"/>
  <c r="AM74" i="26"/>
  <c r="AK74" i="26"/>
  <c r="AI74" i="26"/>
  <c r="AC74" i="26"/>
  <c r="AA74" i="26"/>
  <c r="Y74" i="26"/>
  <c r="W74" i="26"/>
  <c r="U74" i="26"/>
  <c r="S74" i="26"/>
  <c r="Q74" i="26"/>
  <c r="O74" i="26"/>
  <c r="M74" i="26"/>
  <c r="I74" i="26"/>
  <c r="DI73" i="26"/>
  <c r="G73" i="26" s="1"/>
  <c r="AE73" i="26"/>
  <c r="K73" i="26"/>
  <c r="K74" i="26" s="1"/>
  <c r="H73" i="26"/>
  <c r="H72" i="26"/>
  <c r="D72" i="26"/>
  <c r="G72" i="26"/>
  <c r="E72" i="26"/>
  <c r="C72" i="26"/>
  <c r="H71" i="26"/>
  <c r="G71" i="26"/>
  <c r="E71" i="26"/>
  <c r="C71" i="26"/>
  <c r="DI70" i="26"/>
  <c r="G70" i="26" s="1"/>
  <c r="AE70" i="26"/>
  <c r="E70" i="26" s="1"/>
  <c r="H70" i="26"/>
  <c r="DI69" i="26"/>
  <c r="G69" i="26" s="1"/>
  <c r="H69" i="26"/>
  <c r="E69" i="26"/>
  <c r="DI68" i="26"/>
  <c r="G68" i="26" s="1"/>
  <c r="AE68" i="26"/>
  <c r="E68" i="26" s="1"/>
  <c r="AE67" i="26"/>
  <c r="E67" i="26" s="1"/>
  <c r="H67" i="26"/>
  <c r="G67" i="26"/>
  <c r="DU66" i="26"/>
  <c r="DS66" i="26"/>
  <c r="DQ66" i="26"/>
  <c r="DO66" i="26"/>
  <c r="DM66" i="26"/>
  <c r="DK66" i="26"/>
  <c r="DI66" i="26"/>
  <c r="DG66" i="26"/>
  <c r="DE66" i="26"/>
  <c r="DC66" i="26"/>
  <c r="DA66" i="26"/>
  <c r="CY66" i="26"/>
  <c r="CW66" i="26"/>
  <c r="CS66" i="26"/>
  <c r="CQ66" i="26"/>
  <c r="CM66" i="26"/>
  <c r="CK66" i="26"/>
  <c r="CI66" i="26"/>
  <c r="CG66" i="26"/>
  <c r="CE66" i="26"/>
  <c r="CC66" i="26"/>
  <c r="CA66" i="26"/>
  <c r="BW66" i="26"/>
  <c r="BQ66" i="26"/>
  <c r="BO66" i="26"/>
  <c r="BM66" i="26"/>
  <c r="BK66" i="26"/>
  <c r="BI66" i="26"/>
  <c r="BG66" i="26"/>
  <c r="BE66" i="26"/>
  <c r="BC66" i="26"/>
  <c r="BA66" i="26"/>
  <c r="AY66" i="26"/>
  <c r="AW66" i="26"/>
  <c r="AU66" i="26"/>
  <c r="AS66" i="26"/>
  <c r="AQ66" i="26"/>
  <c r="AO66" i="26"/>
  <c r="AM66" i="26"/>
  <c r="AK66" i="26"/>
  <c r="AI66" i="26"/>
  <c r="AC66" i="26"/>
  <c r="AA66" i="26"/>
  <c r="Y66" i="26"/>
  <c r="W66" i="26"/>
  <c r="U66" i="26"/>
  <c r="S66" i="26"/>
  <c r="Q66" i="26"/>
  <c r="O66" i="26"/>
  <c r="M66" i="26"/>
  <c r="K66" i="26"/>
  <c r="I66" i="26"/>
  <c r="AE65" i="26"/>
  <c r="AE66" i="26" s="1"/>
  <c r="H65" i="26"/>
  <c r="G65" i="26"/>
  <c r="CU64" i="26"/>
  <c r="CO64" i="26"/>
  <c r="CO66" i="26"/>
  <c r="E64" i="26"/>
  <c r="H63" i="26"/>
  <c r="G63" i="26"/>
  <c r="E63" i="26"/>
  <c r="C63" i="26"/>
  <c r="H62" i="26"/>
  <c r="G62" i="26"/>
  <c r="E62" i="26"/>
  <c r="C62" i="26"/>
  <c r="H61" i="26"/>
  <c r="G61" i="26"/>
  <c r="E61" i="26"/>
  <c r="C61" i="26"/>
  <c r="H60" i="26"/>
  <c r="D60" i="26" s="1"/>
  <c r="G60" i="26"/>
  <c r="E60" i="26"/>
  <c r="C60" i="26"/>
  <c r="BY59" i="26"/>
  <c r="BY66" i="26" s="1"/>
  <c r="BU59" i="26"/>
  <c r="BU66" i="26" s="1"/>
  <c r="BS59" i="26"/>
  <c r="BS66" i="26" s="1"/>
  <c r="E59" i="26"/>
  <c r="H58" i="26"/>
  <c r="G58" i="26"/>
  <c r="E58" i="26"/>
  <c r="C58" i="26"/>
  <c r="H57" i="26"/>
  <c r="G57" i="26"/>
  <c r="E57" i="26"/>
  <c r="C57" i="26"/>
  <c r="H56" i="26"/>
  <c r="D56" i="26" s="1"/>
  <c r="G56" i="26"/>
  <c r="E56" i="26"/>
  <c r="C56" i="26"/>
  <c r="H55" i="26"/>
  <c r="G55" i="26"/>
  <c r="E55" i="26"/>
  <c r="C55" i="26"/>
  <c r="H54" i="26"/>
  <c r="G54" i="26"/>
  <c r="E54" i="26"/>
  <c r="C54" i="26"/>
  <c r="DS53" i="26"/>
  <c r="DQ53" i="26"/>
  <c r="DO53" i="26"/>
  <c r="DM53" i="26"/>
  <c r="DK53" i="26"/>
  <c r="DI53" i="26"/>
  <c r="DG53" i="26"/>
  <c r="DC53" i="26"/>
  <c r="DA53" i="26"/>
  <c r="CY53" i="26"/>
  <c r="CW53" i="26"/>
  <c r="CU53" i="26"/>
  <c r="CS53" i="26"/>
  <c r="CQ53" i="26"/>
  <c r="CO53" i="26"/>
  <c r="CM53" i="26"/>
  <c r="CK53" i="26"/>
  <c r="CI53" i="26"/>
  <c r="CG53" i="26"/>
  <c r="CE53" i="26"/>
  <c r="CC53" i="26"/>
  <c r="CA53" i="26"/>
  <c r="BY53" i="26"/>
  <c r="BW53" i="26"/>
  <c r="BU53" i="26"/>
  <c r="BS53" i="26"/>
  <c r="BQ53" i="26"/>
  <c r="BO53" i="26"/>
  <c r="BM53" i="26"/>
  <c r="BK53" i="26"/>
  <c r="BI53" i="26"/>
  <c r="BG53" i="26"/>
  <c r="BE53" i="26"/>
  <c r="BC53" i="26"/>
  <c r="BA53" i="26"/>
  <c r="AY53" i="26"/>
  <c r="AW53" i="26"/>
  <c r="AU53" i="26"/>
  <c r="AS53" i="26"/>
  <c r="AQ53" i="26"/>
  <c r="AO53" i="26"/>
  <c r="AM53" i="26"/>
  <c r="AK53" i="26"/>
  <c r="AE53" i="26"/>
  <c r="AC53" i="26"/>
  <c r="AA53" i="26"/>
  <c r="Y53" i="26"/>
  <c r="W53" i="26"/>
  <c r="U53" i="26"/>
  <c r="S53" i="26"/>
  <c r="Q53" i="26"/>
  <c r="O53" i="26"/>
  <c r="M53" i="26"/>
  <c r="K53" i="26"/>
  <c r="I53" i="26"/>
  <c r="DE52" i="26"/>
  <c r="AI52" i="26"/>
  <c r="H52" i="26"/>
  <c r="H51" i="26"/>
  <c r="D51" i="26" s="1"/>
  <c r="G51" i="26"/>
  <c r="E51" i="26"/>
  <c r="C51" i="26"/>
  <c r="G50" i="26"/>
  <c r="E50" i="26"/>
  <c r="H49" i="26"/>
  <c r="G49" i="26"/>
  <c r="E49" i="26"/>
  <c r="C49" i="26"/>
  <c r="G48" i="26"/>
  <c r="E48" i="26"/>
  <c r="H47" i="26"/>
  <c r="D47" i="26" s="1"/>
  <c r="G47" i="26"/>
  <c r="E47" i="26"/>
  <c r="C47" i="26"/>
  <c r="H46" i="26"/>
  <c r="G46" i="26"/>
  <c r="E46" i="26"/>
  <c r="C46" i="26"/>
  <c r="H45" i="26"/>
  <c r="G45" i="26"/>
  <c r="E45" i="26"/>
  <c r="C45" i="26"/>
  <c r="DS43" i="26"/>
  <c r="DQ43" i="26"/>
  <c r="DM43" i="26"/>
  <c r="DK43" i="26"/>
  <c r="DI43" i="26"/>
  <c r="DG43" i="26"/>
  <c r="DE43" i="26"/>
  <c r="DC43" i="26"/>
  <c r="DA43" i="26"/>
  <c r="CY43" i="26"/>
  <c r="CW43" i="26"/>
  <c r="CU43" i="26"/>
  <c r="CS43" i="26"/>
  <c r="CQ43" i="26"/>
  <c r="CO43" i="26"/>
  <c r="CM43" i="26"/>
  <c r="CK43" i="26"/>
  <c r="CG43" i="26"/>
  <c r="CE43" i="26"/>
  <c r="CC43" i="26"/>
  <c r="CA43" i="26"/>
  <c r="BY43" i="26"/>
  <c r="BW43" i="26"/>
  <c r="BU43" i="26"/>
  <c r="BS43" i="26"/>
  <c r="BQ43" i="26"/>
  <c r="BM43" i="26"/>
  <c r="BK43" i="26"/>
  <c r="BG43" i="26"/>
  <c r="BC43" i="26"/>
  <c r="BA43" i="26"/>
  <c r="AY43" i="26"/>
  <c r="AW43" i="26"/>
  <c r="AU43" i="26"/>
  <c r="AS43" i="26"/>
  <c r="AO43" i="26"/>
  <c r="AM43" i="26"/>
  <c r="AK43" i="26"/>
  <c r="AI43" i="26"/>
  <c r="Y43" i="26"/>
  <c r="U43" i="26"/>
  <c r="S43" i="26"/>
  <c r="G42" i="26"/>
  <c r="E42" i="26"/>
  <c r="H41" i="26"/>
  <c r="D41" i="26" s="1"/>
  <c r="G41" i="26"/>
  <c r="E41" i="26"/>
  <c r="H40" i="26"/>
  <c r="G40" i="26"/>
  <c r="E40" i="26"/>
  <c r="H39" i="26"/>
  <c r="G39" i="26"/>
  <c r="E39" i="26"/>
  <c r="DS37" i="26"/>
  <c r="DQ37" i="26"/>
  <c r="DO37" i="26"/>
  <c r="DM37" i="26"/>
  <c r="DK37" i="26"/>
  <c r="DI37" i="26"/>
  <c r="DG37" i="26"/>
  <c r="DE37" i="26"/>
  <c r="DC37" i="26"/>
  <c r="DA37" i="26"/>
  <c r="CY37" i="26"/>
  <c r="CW37" i="26"/>
  <c r="CU37" i="26"/>
  <c r="CS37" i="26"/>
  <c r="CQ37" i="26"/>
  <c r="CO37" i="26"/>
  <c r="CM37" i="26"/>
  <c r="CK37" i="26"/>
  <c r="CI37" i="26"/>
  <c r="CG37" i="26"/>
  <c r="CE37" i="26"/>
  <c r="CC37" i="26"/>
  <c r="CA37" i="26"/>
  <c r="BY37" i="26"/>
  <c r="BW37" i="26"/>
  <c r="BU37" i="26"/>
  <c r="BS37" i="26"/>
  <c r="BQ37" i="26"/>
  <c r="BO37" i="26"/>
  <c r="BM37" i="26"/>
  <c r="BK37" i="26"/>
  <c r="BI37" i="26"/>
  <c r="BG37" i="26"/>
  <c r="BE37" i="26"/>
  <c r="BC37" i="26"/>
  <c r="BA37" i="26"/>
  <c r="AY37" i="26"/>
  <c r="AW37" i="26"/>
  <c r="AU37" i="26"/>
  <c r="AS37" i="26"/>
  <c r="AQ37" i="26"/>
  <c r="AO37" i="26"/>
  <c r="AM37" i="26"/>
  <c r="AK37" i="26"/>
  <c r="AI37" i="26"/>
  <c r="AE37" i="26"/>
  <c r="AC37" i="26"/>
  <c r="AA37" i="26"/>
  <c r="Y37" i="26"/>
  <c r="W37" i="26"/>
  <c r="U37" i="26"/>
  <c r="S37" i="26"/>
  <c r="Q37" i="26"/>
  <c r="O37" i="26"/>
  <c r="M37" i="26"/>
  <c r="K37" i="26"/>
  <c r="H36" i="26"/>
  <c r="G36" i="26"/>
  <c r="E36" i="26"/>
  <c r="H35" i="26"/>
  <c r="G35" i="26"/>
  <c r="E35" i="26"/>
  <c r="DS34" i="26"/>
  <c r="DQ34" i="26"/>
  <c r="DO34" i="26"/>
  <c r="DM34" i="26"/>
  <c r="DK34" i="26"/>
  <c r="DI34" i="26"/>
  <c r="DG34" i="26"/>
  <c r="DE34" i="26"/>
  <c r="DC34" i="26"/>
  <c r="DA34" i="26"/>
  <c r="CY34" i="26"/>
  <c r="CW34" i="26"/>
  <c r="CU34" i="26"/>
  <c r="CS34" i="26"/>
  <c r="CQ34" i="26"/>
  <c r="CO34" i="26"/>
  <c r="CM34" i="26"/>
  <c r="CK34" i="26"/>
  <c r="CI34" i="26"/>
  <c r="CG34" i="26"/>
  <c r="CE34" i="26"/>
  <c r="CC34" i="26"/>
  <c r="CA34" i="26"/>
  <c r="BY34" i="26"/>
  <c r="BW34" i="26"/>
  <c r="BU34" i="26"/>
  <c r="BS34" i="26"/>
  <c r="BQ34" i="26"/>
  <c r="BM34" i="26"/>
  <c r="BI34" i="26"/>
  <c r="BG34" i="26"/>
  <c r="BE34" i="26"/>
  <c r="BC34" i="26"/>
  <c r="BA34" i="26"/>
  <c r="AY34" i="26"/>
  <c r="AW34" i="26"/>
  <c r="AU34" i="26"/>
  <c r="AS34" i="26"/>
  <c r="AQ34" i="26"/>
  <c r="AO34" i="26"/>
  <c r="AM34" i="26"/>
  <c r="AK34" i="26"/>
  <c r="AI34" i="26"/>
  <c r="AE34" i="26"/>
  <c r="AC34" i="26"/>
  <c r="W34" i="26"/>
  <c r="U34" i="26"/>
  <c r="S34" i="26"/>
  <c r="Q34" i="26"/>
  <c r="O34" i="26"/>
  <c r="M34" i="26"/>
  <c r="BO33" i="26"/>
  <c r="BO34" i="26" s="1"/>
  <c r="AA33" i="26"/>
  <c r="AA34" i="26" s="1"/>
  <c r="Y33" i="26"/>
  <c r="Y34" i="26" s="1"/>
  <c r="K32" i="26"/>
  <c r="K34" i="26" s="1"/>
  <c r="G32" i="26"/>
  <c r="H31" i="26"/>
  <c r="G31" i="26"/>
  <c r="E31" i="26"/>
  <c r="BK30" i="26"/>
  <c r="G30" i="26" s="1"/>
  <c r="H30" i="26"/>
  <c r="E30" i="26"/>
  <c r="H29" i="26"/>
  <c r="G29" i="26"/>
  <c r="E29" i="26"/>
  <c r="H28" i="26"/>
  <c r="G28" i="26"/>
  <c r="E28" i="26"/>
  <c r="H27" i="26"/>
  <c r="G27" i="26"/>
  <c r="E27" i="26"/>
  <c r="DO26" i="26"/>
  <c r="DM26" i="26"/>
  <c r="DK26" i="26"/>
  <c r="DI26" i="26"/>
  <c r="DG26" i="26"/>
  <c r="DE26" i="26"/>
  <c r="DC26" i="26"/>
  <c r="DA26" i="26"/>
  <c r="CY26" i="26"/>
  <c r="CW26" i="26"/>
  <c r="CU26" i="26"/>
  <c r="CS26" i="26"/>
  <c r="CQ26" i="26"/>
  <c r="CO26" i="26"/>
  <c r="CM26" i="26"/>
  <c r="CK26" i="26"/>
  <c r="CI26" i="26"/>
  <c r="CG26" i="26"/>
  <c r="CE26" i="26"/>
  <c r="CC26" i="26"/>
  <c r="CA26" i="26"/>
  <c r="BY26" i="26"/>
  <c r="BW26" i="26"/>
  <c r="BU26" i="26"/>
  <c r="BS26" i="26"/>
  <c r="BQ26" i="26"/>
  <c r="BO26" i="26"/>
  <c r="BM26" i="26"/>
  <c r="BK26" i="26"/>
  <c r="BI26" i="26"/>
  <c r="BG26" i="26"/>
  <c r="BE26" i="26"/>
  <c r="BC26" i="26"/>
  <c r="BA26" i="26"/>
  <c r="AY26" i="26"/>
  <c r="AW26" i="26"/>
  <c r="AU26" i="26"/>
  <c r="AS26" i="26"/>
  <c r="AQ26" i="26"/>
  <c r="AO26" i="26"/>
  <c r="AM26" i="26"/>
  <c r="AK26" i="26"/>
  <c r="AI26" i="26"/>
  <c r="AE26" i="26"/>
  <c r="AC26" i="26"/>
  <c r="AA26" i="26"/>
  <c r="Y26" i="26"/>
  <c r="W26" i="26"/>
  <c r="U26" i="26"/>
  <c r="S26" i="26"/>
  <c r="Q26" i="26"/>
  <c r="O26" i="26"/>
  <c r="M26" i="26"/>
  <c r="K26" i="26"/>
  <c r="H25" i="26"/>
  <c r="G25" i="26"/>
  <c r="E25" i="26"/>
  <c r="H24" i="26"/>
  <c r="H26" i="26" s="1"/>
  <c r="G24" i="26"/>
  <c r="G26" i="26" s="1"/>
  <c r="E24" i="26"/>
  <c r="DO23" i="26"/>
  <c r="DM23" i="26"/>
  <c r="DK23" i="26"/>
  <c r="DI23" i="26"/>
  <c r="DG23" i="26"/>
  <c r="DE23" i="26"/>
  <c r="DC23" i="26"/>
  <c r="DA23" i="26"/>
  <c r="CY23" i="26"/>
  <c r="CW23" i="26"/>
  <c r="CU23" i="26"/>
  <c r="CS23" i="26"/>
  <c r="CQ23" i="26"/>
  <c r="CO23" i="26"/>
  <c r="CM23" i="26"/>
  <c r="CK23" i="26"/>
  <c r="CI23" i="26"/>
  <c r="CG23" i="26"/>
  <c r="CE23" i="26"/>
  <c r="CC23" i="26"/>
  <c r="CA23" i="26"/>
  <c r="BY23" i="26"/>
  <c r="BW23" i="26"/>
  <c r="BU23" i="26"/>
  <c r="BS23" i="26"/>
  <c r="BQ23" i="26"/>
  <c r="BO23" i="26"/>
  <c r="BM23" i="26"/>
  <c r="BK23" i="26"/>
  <c r="BI23" i="26"/>
  <c r="BG23" i="26"/>
  <c r="BE23" i="26"/>
  <c r="BC23" i="26"/>
  <c r="BA23" i="26"/>
  <c r="AY23" i="26"/>
  <c r="AW23" i="26"/>
  <c r="AU23" i="26"/>
  <c r="AS23" i="26"/>
  <c r="AQ23" i="26"/>
  <c r="AO23" i="26"/>
  <c r="AM23" i="26"/>
  <c r="AK23" i="26"/>
  <c r="AI23" i="26"/>
  <c r="AE23" i="26"/>
  <c r="AC23" i="26"/>
  <c r="AA23" i="26"/>
  <c r="Y23" i="26"/>
  <c r="W23" i="26"/>
  <c r="U23" i="26"/>
  <c r="S23" i="26"/>
  <c r="Q23" i="26"/>
  <c r="O23" i="26"/>
  <c r="M23" i="26"/>
  <c r="K23" i="26"/>
  <c r="H22" i="26"/>
  <c r="G22" i="26"/>
  <c r="E22" i="26"/>
  <c r="C22" i="26" s="1"/>
  <c r="H21" i="26"/>
  <c r="G21" i="26"/>
  <c r="E21" i="26"/>
  <c r="H20" i="26"/>
  <c r="G20" i="26"/>
  <c r="C20" i="26" s="1"/>
  <c r="E20" i="26"/>
  <c r="Q19" i="26"/>
  <c r="O19" i="26"/>
  <c r="G19" i="26"/>
  <c r="DU18" i="26"/>
  <c r="DU107" i="26" s="1"/>
  <c r="DS18" i="26"/>
  <c r="DQ18" i="26"/>
  <c r="DO18" i="26"/>
  <c r="DM18" i="26"/>
  <c r="DK18" i="26"/>
  <c r="DI18" i="26"/>
  <c r="DG18" i="26"/>
  <c r="DE18" i="26"/>
  <c r="DC18" i="26"/>
  <c r="DA18" i="26"/>
  <c r="CY18" i="26"/>
  <c r="CW18" i="26"/>
  <c r="CU18" i="26"/>
  <c r="CS18" i="26"/>
  <c r="CQ18" i="26"/>
  <c r="CO18" i="26"/>
  <c r="CM18" i="26"/>
  <c r="CK18" i="26"/>
  <c r="CI18" i="26"/>
  <c r="CG18" i="26"/>
  <c r="CE18" i="26"/>
  <c r="CC18" i="26"/>
  <c r="CA18" i="26"/>
  <c r="BY18" i="26"/>
  <c r="BW18" i="26"/>
  <c r="BU18" i="26"/>
  <c r="BS18" i="26"/>
  <c r="BQ18" i="26"/>
  <c r="BO18" i="26"/>
  <c r="BM18" i="26"/>
  <c r="BK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E18" i="26"/>
  <c r="AE19" i="26" s="1"/>
  <c r="AC18" i="26"/>
  <c r="AA18" i="26"/>
  <c r="Y18" i="26"/>
  <c r="W18" i="26"/>
  <c r="U18" i="26"/>
  <c r="S18" i="26"/>
  <c r="Q18" i="26"/>
  <c r="O18" i="26"/>
  <c r="M18" i="26"/>
  <c r="K18" i="26"/>
  <c r="I18" i="26"/>
  <c r="G17" i="26"/>
  <c r="E17" i="26"/>
  <c r="H16" i="26"/>
  <c r="G16" i="26"/>
  <c r="E16" i="26"/>
  <c r="H15" i="26"/>
  <c r="G15" i="26"/>
  <c r="E15" i="26"/>
  <c r="H14" i="26"/>
  <c r="D14" i="26" s="1"/>
  <c r="G14" i="26"/>
  <c r="E14" i="26"/>
  <c r="H13" i="26"/>
  <c r="D13" i="26" s="1"/>
  <c r="G13" i="26"/>
  <c r="E13" i="26"/>
  <c r="H12" i="26"/>
  <c r="G12" i="26"/>
  <c r="E12" i="26"/>
  <c r="H11" i="26"/>
  <c r="G11" i="26"/>
  <c r="E11" i="26"/>
  <c r="H10" i="26"/>
  <c r="D10" i="26" s="1"/>
  <c r="G10" i="26"/>
  <c r="E10" i="26"/>
  <c r="H9" i="26"/>
  <c r="D9" i="26" s="1"/>
  <c r="G9" i="26"/>
  <c r="C9" i="26" s="1"/>
  <c r="E9" i="26"/>
  <c r="H8" i="26"/>
  <c r="G8" i="26"/>
  <c r="E8" i="26"/>
  <c r="H7" i="26"/>
  <c r="G7" i="26"/>
  <c r="E7" i="26"/>
  <c r="H6" i="26"/>
  <c r="G6" i="26"/>
  <c r="E6" i="26"/>
  <c r="H5" i="26"/>
  <c r="D5" i="26" s="1"/>
  <c r="G5" i="26"/>
  <c r="C5" i="26" s="1"/>
  <c r="E5" i="26"/>
  <c r="H4" i="26"/>
  <c r="G4" i="26"/>
  <c r="E4" i="26"/>
  <c r="H3" i="26"/>
  <c r="G3" i="26"/>
  <c r="E3" i="26"/>
  <c r="H2" i="26"/>
  <c r="G2" i="26"/>
  <c r="E2" i="26"/>
  <c r="BW44" i="26"/>
  <c r="D183" i="19"/>
  <c r="M36" i="19"/>
  <c r="L36" i="19"/>
  <c r="M34" i="19"/>
  <c r="M41" i="19" s="1"/>
  <c r="L34" i="19"/>
  <c r="E89" i="9"/>
  <c r="D88" i="9"/>
  <c r="D89" i="9"/>
  <c r="D90" i="9"/>
  <c r="E43" i="19"/>
  <c r="D42" i="19"/>
  <c r="D43" i="19"/>
  <c r="D44" i="19"/>
  <c r="D41" i="19"/>
  <c r="H165" i="19"/>
  <c r="I165" i="19"/>
  <c r="J165" i="19"/>
  <c r="K165" i="19"/>
  <c r="L165" i="19"/>
  <c r="M165" i="19"/>
  <c r="N165" i="19"/>
  <c r="O165" i="19"/>
  <c r="P165" i="19"/>
  <c r="Q165" i="19"/>
  <c r="Q166" i="19" s="1"/>
  <c r="R165" i="19"/>
  <c r="S165" i="19"/>
  <c r="T165" i="19"/>
  <c r="U165" i="19"/>
  <c r="H159" i="19"/>
  <c r="I159" i="19"/>
  <c r="J159" i="19"/>
  <c r="K159" i="19"/>
  <c r="L159" i="19"/>
  <c r="M159" i="19"/>
  <c r="N159" i="19"/>
  <c r="P159" i="19"/>
  <c r="Q159" i="19"/>
  <c r="R159" i="19"/>
  <c r="S159" i="19"/>
  <c r="T159" i="19"/>
  <c r="T166" i="19" s="1"/>
  <c r="T126" i="19"/>
  <c r="T123" i="19"/>
  <c r="T118" i="19"/>
  <c r="T114" i="19"/>
  <c r="T111" i="19"/>
  <c r="T106" i="19"/>
  <c r="T110" i="19" s="1"/>
  <c r="T100" i="19"/>
  <c r="T96" i="19"/>
  <c r="T93" i="19"/>
  <c r="T89" i="19"/>
  <c r="T84" i="19"/>
  <c r="T80" i="19"/>
  <c r="T73" i="19"/>
  <c r="T62" i="19"/>
  <c r="T55" i="19"/>
  <c r="E133" i="19"/>
  <c r="E134" i="19"/>
  <c r="E135" i="19"/>
  <c r="E136" i="19"/>
  <c r="E137" i="19"/>
  <c r="E138" i="19"/>
  <c r="E139" i="19"/>
  <c r="E140" i="19"/>
  <c r="D134" i="19"/>
  <c r="D135" i="19"/>
  <c r="D136" i="19"/>
  <c r="D137" i="19"/>
  <c r="D138" i="19"/>
  <c r="D139" i="19"/>
  <c r="D140" i="19"/>
  <c r="D133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P126" i="19"/>
  <c r="P123" i="19"/>
  <c r="P118" i="19"/>
  <c r="P114" i="19"/>
  <c r="P106" i="19"/>
  <c r="P110" i="19" s="1"/>
  <c r="P100" i="19"/>
  <c r="P96" i="19"/>
  <c r="P93" i="19"/>
  <c r="P89" i="19"/>
  <c r="P84" i="19"/>
  <c r="H83" i="19"/>
  <c r="I83" i="19"/>
  <c r="J83" i="19"/>
  <c r="K83" i="19"/>
  <c r="L83" i="19"/>
  <c r="M83" i="19"/>
  <c r="O83" i="19"/>
  <c r="Q83" i="19"/>
  <c r="R83" i="19"/>
  <c r="S83" i="19"/>
  <c r="P80" i="19"/>
  <c r="P73" i="19"/>
  <c r="H72" i="19"/>
  <c r="I72" i="19"/>
  <c r="J72" i="19"/>
  <c r="K72" i="19"/>
  <c r="L72" i="19"/>
  <c r="M72" i="19"/>
  <c r="R72" i="19"/>
  <c r="S72" i="19"/>
  <c r="P69" i="19"/>
  <c r="P62" i="19"/>
  <c r="P55" i="19"/>
  <c r="P28" i="19"/>
  <c r="P26" i="19"/>
  <c r="D26" i="19" s="1"/>
  <c r="P24" i="19"/>
  <c r="P21" i="19"/>
  <c r="D21" i="19" s="1"/>
  <c r="P16" i="19"/>
  <c r="P10" i="19"/>
  <c r="N126" i="19"/>
  <c r="N106" i="19"/>
  <c r="N110" i="19"/>
  <c r="H39" i="19"/>
  <c r="I39" i="19"/>
  <c r="J39" i="19"/>
  <c r="K39" i="19"/>
  <c r="O39" i="19"/>
  <c r="P39" i="19"/>
  <c r="Q39" i="19"/>
  <c r="R39" i="19"/>
  <c r="S39" i="19"/>
  <c r="T39" i="19"/>
  <c r="H30" i="19"/>
  <c r="I30" i="19"/>
  <c r="I40" i="19" s="1"/>
  <c r="K30" i="19"/>
  <c r="L30" i="19"/>
  <c r="M30" i="19"/>
  <c r="O30" i="19"/>
  <c r="R30" i="19"/>
  <c r="S30" i="19"/>
  <c r="T30" i="19"/>
  <c r="T40" i="19" s="1"/>
  <c r="T46" i="19" s="1"/>
  <c r="U30" i="19"/>
  <c r="M131" i="19"/>
  <c r="S131" i="19"/>
  <c r="H110" i="19"/>
  <c r="I110" i="19"/>
  <c r="J110" i="19"/>
  <c r="K110" i="19"/>
  <c r="L110" i="19"/>
  <c r="M110" i="19"/>
  <c r="O110" i="19"/>
  <c r="R110" i="19"/>
  <c r="S110" i="19"/>
  <c r="H105" i="19"/>
  <c r="I105" i="19"/>
  <c r="J105" i="19"/>
  <c r="K105" i="19"/>
  <c r="L105" i="19"/>
  <c r="M105" i="19"/>
  <c r="R105" i="19"/>
  <c r="S105" i="19"/>
  <c r="N100" i="19"/>
  <c r="N96" i="19"/>
  <c r="N93" i="19"/>
  <c r="N89" i="19"/>
  <c r="N84" i="19"/>
  <c r="N80" i="19"/>
  <c r="N73" i="19"/>
  <c r="N62" i="19"/>
  <c r="N72" i="19" s="1"/>
  <c r="N34" i="19"/>
  <c r="N39" i="19" s="1"/>
  <c r="N16" i="19"/>
  <c r="N30" i="19" s="1"/>
  <c r="J10" i="19"/>
  <c r="E179" i="19"/>
  <c r="E178" i="19" s="1"/>
  <c r="D179" i="19"/>
  <c r="D178" i="19" s="1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F126" i="19"/>
  <c r="F123" i="19"/>
  <c r="F118" i="19"/>
  <c r="F114" i="19"/>
  <c r="F106" i="19"/>
  <c r="F100" i="19"/>
  <c r="F96" i="19"/>
  <c r="F93" i="19"/>
  <c r="F89" i="19"/>
  <c r="F84" i="19"/>
  <c r="F80" i="19"/>
  <c r="F73" i="19"/>
  <c r="F69" i="19"/>
  <c r="F62" i="19"/>
  <c r="F55" i="19"/>
  <c r="F36" i="19"/>
  <c r="D36" i="19" s="1"/>
  <c r="F34" i="19"/>
  <c r="F31" i="19"/>
  <c r="D31" i="19" s="1"/>
  <c r="F28" i="19"/>
  <c r="F24" i="19"/>
  <c r="F16" i="19"/>
  <c r="E151" i="19"/>
  <c r="E152" i="19"/>
  <c r="E153" i="19"/>
  <c r="E155" i="19"/>
  <c r="E156" i="19"/>
  <c r="E157" i="19"/>
  <c r="E160" i="19"/>
  <c r="E161" i="19"/>
  <c r="E162" i="19"/>
  <c r="E163" i="19"/>
  <c r="E92" i="19"/>
  <c r="E109" i="19"/>
  <c r="E6" i="19"/>
  <c r="E8" i="19"/>
  <c r="E9" i="19"/>
  <c r="E13" i="19"/>
  <c r="E19" i="19"/>
  <c r="E20" i="19"/>
  <c r="E31" i="19"/>
  <c r="D182" i="19"/>
  <c r="D184" i="19"/>
  <c r="D185" i="19"/>
  <c r="D186" i="19"/>
  <c r="D187" i="19"/>
  <c r="D188" i="19"/>
  <c r="D189" i="19"/>
  <c r="D190" i="19"/>
  <c r="D181" i="19"/>
  <c r="D161" i="19"/>
  <c r="D162" i="19"/>
  <c r="D163" i="19"/>
  <c r="D164" i="19"/>
  <c r="D160" i="19"/>
  <c r="D152" i="19"/>
  <c r="D153" i="19"/>
  <c r="D154" i="19"/>
  <c r="D155" i="19"/>
  <c r="D156" i="19"/>
  <c r="D157" i="19"/>
  <c r="D158" i="19"/>
  <c r="D151" i="19"/>
  <c r="D109" i="19"/>
  <c r="D92" i="19"/>
  <c r="D20" i="19"/>
  <c r="D19" i="19"/>
  <c r="D13" i="19"/>
  <c r="D9" i="19"/>
  <c r="D8" i="19"/>
  <c r="D6" i="19"/>
  <c r="E191" i="19"/>
  <c r="D191" i="19"/>
  <c r="E190" i="19"/>
  <c r="E189" i="19"/>
  <c r="E188" i="19"/>
  <c r="E187" i="19"/>
  <c r="G186" i="19"/>
  <c r="E185" i="19"/>
  <c r="E184" i="19"/>
  <c r="E183" i="19"/>
  <c r="E182" i="19"/>
  <c r="E181" i="19"/>
  <c r="F180" i="19"/>
  <c r="F165" i="19"/>
  <c r="G164" i="19"/>
  <c r="F159" i="19"/>
  <c r="E123" i="19"/>
  <c r="E118" i="19"/>
  <c r="R111" i="19"/>
  <c r="R131" i="19" s="1"/>
  <c r="P111" i="19"/>
  <c r="N111" i="19"/>
  <c r="L111" i="19"/>
  <c r="L131" i="19" s="1"/>
  <c r="J111" i="19"/>
  <c r="J131" i="19" s="1"/>
  <c r="H111" i="19"/>
  <c r="H131" i="19" s="1"/>
  <c r="F111" i="19"/>
  <c r="D88" i="19"/>
  <c r="E88" i="19"/>
  <c r="R45" i="19"/>
  <c r="P45" i="19"/>
  <c r="N45" i="19"/>
  <c r="L45" i="19"/>
  <c r="J45" i="19"/>
  <c r="F45" i="19"/>
  <c r="M44" i="19"/>
  <c r="K44" i="19"/>
  <c r="I44" i="19"/>
  <c r="K42" i="19"/>
  <c r="I42" i="19"/>
  <c r="D14" i="19"/>
  <c r="E14" i="19"/>
  <c r="K41" i="19"/>
  <c r="K45" i="19" s="1"/>
  <c r="E10" i="19"/>
  <c r="E173" i="15"/>
  <c r="E174" i="15"/>
  <c r="E175" i="15"/>
  <c r="E176" i="15"/>
  <c r="E177" i="15"/>
  <c r="E179" i="15"/>
  <c r="E180" i="15"/>
  <c r="E181" i="15"/>
  <c r="E182" i="15"/>
  <c r="E154" i="15"/>
  <c r="E155" i="15"/>
  <c r="E156" i="15"/>
  <c r="E157" i="15"/>
  <c r="E145" i="15"/>
  <c r="E146" i="15"/>
  <c r="E147" i="15"/>
  <c r="E148" i="15"/>
  <c r="E149" i="15"/>
  <c r="E150" i="15"/>
  <c r="E151" i="15"/>
  <c r="E112" i="15"/>
  <c r="E95" i="15"/>
  <c r="E48" i="15"/>
  <c r="E39" i="15"/>
  <c r="E33" i="15"/>
  <c r="E29" i="15"/>
  <c r="E30" i="15"/>
  <c r="E25" i="15"/>
  <c r="E26" i="15"/>
  <c r="E20" i="15"/>
  <c r="E21" i="15"/>
  <c r="J172" i="15"/>
  <c r="J184" i="15" s="1"/>
  <c r="K172" i="15"/>
  <c r="K184" i="15" s="1"/>
  <c r="J160" i="17"/>
  <c r="J172" i="17" s="1"/>
  <c r="K160" i="17"/>
  <c r="K172" i="17" s="1"/>
  <c r="H84" i="17"/>
  <c r="H15" i="17"/>
  <c r="D15" i="17" s="1"/>
  <c r="H10" i="17"/>
  <c r="E171" i="17"/>
  <c r="D171" i="17"/>
  <c r="D170" i="17"/>
  <c r="D169" i="17"/>
  <c r="D168" i="17"/>
  <c r="D167" i="17"/>
  <c r="I166" i="17"/>
  <c r="I160" i="17" s="1"/>
  <c r="I172" i="17" s="1"/>
  <c r="G166" i="17"/>
  <c r="G160" i="17" s="1"/>
  <c r="G172" i="17" s="1"/>
  <c r="D166" i="17"/>
  <c r="D165" i="17"/>
  <c r="D164" i="17"/>
  <c r="D163" i="17"/>
  <c r="D162" i="17"/>
  <c r="D161" i="17"/>
  <c r="H160" i="17"/>
  <c r="H172" i="17" s="1"/>
  <c r="F160" i="17"/>
  <c r="F172" i="17" s="1"/>
  <c r="K147" i="17"/>
  <c r="J147" i="17"/>
  <c r="H147" i="17"/>
  <c r="F147" i="17"/>
  <c r="I146" i="17"/>
  <c r="G146" i="17"/>
  <c r="G147" i="17" s="1"/>
  <c r="D146" i="17"/>
  <c r="D145" i="17"/>
  <c r="D144" i="17"/>
  <c r="D143" i="17"/>
  <c r="D142" i="17"/>
  <c r="K141" i="17"/>
  <c r="J141" i="17"/>
  <c r="H141" i="17"/>
  <c r="F141" i="17"/>
  <c r="I140" i="17"/>
  <c r="G140" i="17"/>
  <c r="G141" i="17" s="1"/>
  <c r="D140" i="17"/>
  <c r="D139" i="17"/>
  <c r="D138" i="17"/>
  <c r="D137" i="17"/>
  <c r="D136" i="17"/>
  <c r="D135" i="17"/>
  <c r="D134" i="17"/>
  <c r="D133" i="17"/>
  <c r="K117" i="17"/>
  <c r="J117" i="17"/>
  <c r="I117" i="17"/>
  <c r="H117" i="17"/>
  <c r="G117" i="17"/>
  <c r="F117" i="17"/>
  <c r="D117" i="17" s="1"/>
  <c r="K114" i="17"/>
  <c r="J114" i="17"/>
  <c r="I114" i="17"/>
  <c r="H114" i="17"/>
  <c r="D114" i="17" s="1"/>
  <c r="G114" i="17"/>
  <c r="F114" i="17"/>
  <c r="K109" i="17"/>
  <c r="J109" i="17"/>
  <c r="I109" i="17"/>
  <c r="H109" i="17"/>
  <c r="G109" i="17"/>
  <c r="F109" i="17"/>
  <c r="D109" i="17" s="1"/>
  <c r="K105" i="17"/>
  <c r="J105" i="17"/>
  <c r="I105" i="17"/>
  <c r="H105" i="17"/>
  <c r="G105" i="17"/>
  <c r="F105" i="17"/>
  <c r="K102" i="17"/>
  <c r="J102" i="17"/>
  <c r="H102" i="17"/>
  <c r="F102" i="17"/>
  <c r="D100" i="17"/>
  <c r="K97" i="17"/>
  <c r="K101" i="17" s="1"/>
  <c r="J97" i="17"/>
  <c r="J101" i="17" s="1"/>
  <c r="I97" i="17"/>
  <c r="I101" i="17" s="1"/>
  <c r="H97" i="17"/>
  <c r="H101" i="17" s="1"/>
  <c r="G97" i="17"/>
  <c r="F97" i="17"/>
  <c r="K91" i="17"/>
  <c r="J91" i="17"/>
  <c r="I91" i="17"/>
  <c r="H91" i="17"/>
  <c r="G91" i="17"/>
  <c r="F91" i="17"/>
  <c r="K87" i="17"/>
  <c r="J87" i="17"/>
  <c r="I87" i="17"/>
  <c r="H87" i="17"/>
  <c r="G87" i="17"/>
  <c r="F87" i="17"/>
  <c r="K84" i="17"/>
  <c r="J84" i="17"/>
  <c r="I84" i="17"/>
  <c r="G84" i="17"/>
  <c r="F84" i="17"/>
  <c r="D83" i="17"/>
  <c r="K80" i="17"/>
  <c r="J80" i="17"/>
  <c r="I80" i="17"/>
  <c r="H80" i="17"/>
  <c r="G80" i="17"/>
  <c r="F80" i="17"/>
  <c r="K78" i="17"/>
  <c r="J78" i="17"/>
  <c r="D78" i="17" s="1"/>
  <c r="I78" i="17"/>
  <c r="G78" i="17"/>
  <c r="K74" i="17"/>
  <c r="J74" i="17"/>
  <c r="I74" i="17"/>
  <c r="H74" i="17"/>
  <c r="G74" i="17"/>
  <c r="F74" i="17"/>
  <c r="K70" i="17"/>
  <c r="J70" i="17"/>
  <c r="I70" i="17"/>
  <c r="H70" i="17"/>
  <c r="G70" i="17"/>
  <c r="F70" i="17"/>
  <c r="K63" i="17"/>
  <c r="J63" i="17"/>
  <c r="I63" i="17"/>
  <c r="H63" i="17"/>
  <c r="G63" i="17"/>
  <c r="F63" i="17"/>
  <c r="K59" i="17"/>
  <c r="J59" i="17"/>
  <c r="I59" i="17"/>
  <c r="H59" i="17"/>
  <c r="D59" i="17" s="1"/>
  <c r="G59" i="17"/>
  <c r="F59" i="17"/>
  <c r="K52" i="17"/>
  <c r="J52" i="17"/>
  <c r="I52" i="17"/>
  <c r="H52" i="17"/>
  <c r="G52" i="17"/>
  <c r="F52" i="17"/>
  <c r="K45" i="17"/>
  <c r="J45" i="17"/>
  <c r="I45" i="17"/>
  <c r="H45" i="17"/>
  <c r="H62" i="17" s="1"/>
  <c r="G45" i="17"/>
  <c r="F45" i="17"/>
  <c r="J38" i="17"/>
  <c r="F38" i="17"/>
  <c r="D37" i="17"/>
  <c r="D36" i="17"/>
  <c r="D35" i="17"/>
  <c r="J30" i="17"/>
  <c r="I30" i="17"/>
  <c r="H30" i="17"/>
  <c r="H32" i="17" s="1"/>
  <c r="G30" i="17"/>
  <c r="F30" i="17"/>
  <c r="J28" i="17"/>
  <c r="I28" i="17"/>
  <c r="H28" i="17"/>
  <c r="G28" i="17"/>
  <c r="F28" i="17"/>
  <c r="D27" i="17"/>
  <c r="J26" i="17"/>
  <c r="G24" i="17"/>
  <c r="D24" i="17"/>
  <c r="G23" i="17"/>
  <c r="G22" i="17" s="1"/>
  <c r="I22" i="17"/>
  <c r="H22" i="17"/>
  <c r="H26" i="17" s="1"/>
  <c r="F22" i="17"/>
  <c r="D21" i="17"/>
  <c r="I19" i="17"/>
  <c r="G19" i="17"/>
  <c r="E19" i="17" s="1"/>
  <c r="D19" i="17"/>
  <c r="D18" i="17"/>
  <c r="D17" i="17"/>
  <c r="G37" i="17"/>
  <c r="I15" i="17"/>
  <c r="I37" i="17" s="1"/>
  <c r="G15" i="17"/>
  <c r="D14" i="17"/>
  <c r="D13" i="17"/>
  <c r="I10" i="17"/>
  <c r="G10" i="17"/>
  <c r="F10" i="17"/>
  <c r="D9" i="17"/>
  <c r="D8" i="17"/>
  <c r="D6" i="17"/>
  <c r="J22" i="16"/>
  <c r="J159" i="15"/>
  <c r="J160" i="15" s="1"/>
  <c r="K159" i="15"/>
  <c r="J153" i="15"/>
  <c r="K153" i="15"/>
  <c r="J129" i="15"/>
  <c r="K129" i="15"/>
  <c r="J126" i="15"/>
  <c r="K126" i="15"/>
  <c r="J121" i="15"/>
  <c r="K121" i="15"/>
  <c r="J117" i="15"/>
  <c r="K117" i="15"/>
  <c r="J114" i="15"/>
  <c r="K114" i="15"/>
  <c r="J109" i="15"/>
  <c r="J113" i="15" s="1"/>
  <c r="K109" i="15"/>
  <c r="K113" i="15" s="1"/>
  <c r="J103" i="15"/>
  <c r="K103" i="15"/>
  <c r="J99" i="15"/>
  <c r="K99" i="15"/>
  <c r="J96" i="15"/>
  <c r="K96" i="15"/>
  <c r="J92" i="15"/>
  <c r="K92" i="15"/>
  <c r="J90" i="15"/>
  <c r="D90" i="15" s="1"/>
  <c r="K90" i="15"/>
  <c r="J86" i="15"/>
  <c r="K86" i="15"/>
  <c r="J75" i="15"/>
  <c r="K75" i="15"/>
  <c r="J82" i="15"/>
  <c r="K82" i="15"/>
  <c r="J71" i="15"/>
  <c r="K71" i="15"/>
  <c r="J64" i="15"/>
  <c r="K64" i="15"/>
  <c r="J57" i="15"/>
  <c r="K57" i="15"/>
  <c r="J42" i="15"/>
  <c r="J40" i="15"/>
  <c r="J50" i="15"/>
  <c r="J38" i="15"/>
  <c r="F96" i="15"/>
  <c r="D182" i="15"/>
  <c r="D181" i="15"/>
  <c r="D180" i="15"/>
  <c r="D179" i="15"/>
  <c r="D178" i="15"/>
  <c r="D177" i="15"/>
  <c r="D176" i="15"/>
  <c r="D175" i="15"/>
  <c r="D174" i="15"/>
  <c r="D173" i="15"/>
  <c r="D158" i="15"/>
  <c r="D157" i="15"/>
  <c r="D156" i="15"/>
  <c r="D155" i="15"/>
  <c r="D154" i="15"/>
  <c r="D146" i="15"/>
  <c r="D147" i="15"/>
  <c r="D148" i="15"/>
  <c r="D149" i="15"/>
  <c r="D150" i="15"/>
  <c r="D151" i="15"/>
  <c r="D152" i="15"/>
  <c r="D145" i="15"/>
  <c r="D112" i="15"/>
  <c r="D95" i="15"/>
  <c r="D47" i="15"/>
  <c r="D48" i="15"/>
  <c r="D49" i="15"/>
  <c r="D39" i="15"/>
  <c r="D36" i="15"/>
  <c r="D33" i="15"/>
  <c r="D31" i="15"/>
  <c r="D30" i="15"/>
  <c r="D29" i="15"/>
  <c r="D27" i="15"/>
  <c r="D26" i="15"/>
  <c r="D25" i="15"/>
  <c r="D21" i="15"/>
  <c r="D20" i="15"/>
  <c r="D6" i="15"/>
  <c r="E183" i="15"/>
  <c r="D183" i="15"/>
  <c r="I178" i="15"/>
  <c r="I172" i="15" s="1"/>
  <c r="I184" i="15" s="1"/>
  <c r="G178" i="15"/>
  <c r="G172" i="15" s="1"/>
  <c r="G184" i="15" s="1"/>
  <c r="H172" i="15"/>
  <c r="H184" i="15" s="1"/>
  <c r="F172" i="15"/>
  <c r="F184" i="15" s="1"/>
  <c r="H159" i="15"/>
  <c r="F159" i="15"/>
  <c r="I158" i="15"/>
  <c r="I159" i="15" s="1"/>
  <c r="G158" i="15"/>
  <c r="H153" i="15"/>
  <c r="F153" i="15"/>
  <c r="I153" i="15"/>
  <c r="G152" i="15"/>
  <c r="I129" i="15"/>
  <c r="H129" i="15"/>
  <c r="G129" i="15"/>
  <c r="F129" i="15"/>
  <c r="I126" i="15"/>
  <c r="H126" i="15"/>
  <c r="G126" i="15"/>
  <c r="F126" i="15"/>
  <c r="I121" i="15"/>
  <c r="H121" i="15"/>
  <c r="G121" i="15"/>
  <c r="F121" i="15"/>
  <c r="I117" i="15"/>
  <c r="H117" i="15"/>
  <c r="G117" i="15"/>
  <c r="F117" i="15"/>
  <c r="H114" i="15"/>
  <c r="F114" i="15"/>
  <c r="I109" i="15"/>
  <c r="I113" i="15" s="1"/>
  <c r="H109" i="15"/>
  <c r="H113" i="15" s="1"/>
  <c r="G109" i="15"/>
  <c r="G113" i="15" s="1"/>
  <c r="F109" i="15"/>
  <c r="F113" i="15" s="1"/>
  <c r="I103" i="15"/>
  <c r="H103" i="15"/>
  <c r="G103" i="15"/>
  <c r="F103" i="15"/>
  <c r="I99" i="15"/>
  <c r="H99" i="15"/>
  <c r="F99" i="15"/>
  <c r="I96" i="15"/>
  <c r="G96" i="15"/>
  <c r="I92" i="15"/>
  <c r="H92" i="15"/>
  <c r="G92" i="15"/>
  <c r="F92" i="15"/>
  <c r="I90" i="15"/>
  <c r="G90" i="15"/>
  <c r="I86" i="15"/>
  <c r="H86" i="15"/>
  <c r="G86" i="15"/>
  <c r="F86" i="15"/>
  <c r="I82" i="15"/>
  <c r="H82" i="15"/>
  <c r="G82" i="15"/>
  <c r="F82" i="15"/>
  <c r="I75" i="15"/>
  <c r="I85" i="15" s="1"/>
  <c r="H75" i="15"/>
  <c r="H85" i="15" s="1"/>
  <c r="F75" i="15"/>
  <c r="F85" i="15" s="1"/>
  <c r="I71" i="15"/>
  <c r="H71" i="15"/>
  <c r="G71" i="15"/>
  <c r="F71" i="15"/>
  <c r="I64" i="15"/>
  <c r="H64" i="15"/>
  <c r="G64" i="15"/>
  <c r="F64" i="15"/>
  <c r="I57" i="15"/>
  <c r="I74" i="15" s="1"/>
  <c r="H57" i="15"/>
  <c r="G57" i="15"/>
  <c r="F57" i="15"/>
  <c r="F50" i="15"/>
  <c r="I42" i="15"/>
  <c r="H42" i="15"/>
  <c r="G42" i="15"/>
  <c r="F42" i="15"/>
  <c r="I40" i="15"/>
  <c r="H40" i="15"/>
  <c r="H46" i="15" s="1"/>
  <c r="G40" i="15"/>
  <c r="G44" i="15" s="1"/>
  <c r="F40" i="15"/>
  <c r="I36" i="15"/>
  <c r="G36" i="15"/>
  <c r="I34" i="15"/>
  <c r="H34" i="15"/>
  <c r="H38" i="15" s="1"/>
  <c r="F34" i="15"/>
  <c r="D34" i="15" s="1"/>
  <c r="I31" i="15"/>
  <c r="G31" i="15"/>
  <c r="I27" i="15"/>
  <c r="G27" i="15"/>
  <c r="I22" i="15"/>
  <c r="G22" i="15"/>
  <c r="F22" i="15"/>
  <c r="I6" i="15"/>
  <c r="E6" i="15" s="1"/>
  <c r="K222" i="9"/>
  <c r="K216" i="9" s="1"/>
  <c r="K228" i="9" s="1"/>
  <c r="O222" i="9"/>
  <c r="O216" i="9" s="1"/>
  <c r="O228" i="9" s="1"/>
  <c r="O192" i="19"/>
  <c r="E78" i="17"/>
  <c r="G101" i="17"/>
  <c r="L39" i="19"/>
  <c r="E55" i="19"/>
  <c r="H45" i="19"/>
  <c r="I111" i="19"/>
  <c r="I131" i="19" s="1"/>
  <c r="K111" i="19"/>
  <c r="K131" i="19" s="1"/>
  <c r="H40" i="19"/>
  <c r="I41" i="19"/>
  <c r="I102" i="17"/>
  <c r="H38" i="17"/>
  <c r="D34" i="17"/>
  <c r="I22" i="16"/>
  <c r="G35" i="15"/>
  <c r="G34" i="15" s="1"/>
  <c r="G102" i="17"/>
  <c r="O203" i="9"/>
  <c r="O196" i="9"/>
  <c r="O197" i="9" s="1"/>
  <c r="O173" i="9"/>
  <c r="O170" i="9"/>
  <c r="O165" i="9"/>
  <c r="O161" i="9"/>
  <c r="O153" i="9"/>
  <c r="O157" i="9" s="1"/>
  <c r="O147" i="9"/>
  <c r="O143" i="9"/>
  <c r="O136" i="9"/>
  <c r="O134" i="9"/>
  <c r="O130" i="9"/>
  <c r="O126" i="9"/>
  <c r="O119" i="9"/>
  <c r="O115" i="9"/>
  <c r="O108" i="9"/>
  <c r="O101" i="9"/>
  <c r="O91" i="9"/>
  <c r="O85" i="9"/>
  <c r="O57" i="9"/>
  <c r="O79" i="9" s="1"/>
  <c r="K203" i="9"/>
  <c r="K197" i="9"/>
  <c r="M203" i="9"/>
  <c r="M196" i="9"/>
  <c r="M197" i="9" s="1"/>
  <c r="M173" i="9"/>
  <c r="M170" i="9"/>
  <c r="M165" i="9"/>
  <c r="M161" i="9"/>
  <c r="M153" i="9"/>
  <c r="M157" i="9" s="1"/>
  <c r="M147" i="9"/>
  <c r="M143" i="9"/>
  <c r="M140" i="9"/>
  <c r="M136" i="9"/>
  <c r="M130" i="9"/>
  <c r="M126" i="9"/>
  <c r="M119" i="9"/>
  <c r="M115" i="9"/>
  <c r="M108" i="9"/>
  <c r="M101" i="9"/>
  <c r="M90" i="9"/>
  <c r="M83" i="9"/>
  <c r="M81" i="9"/>
  <c r="M66" i="9"/>
  <c r="M61" i="9"/>
  <c r="M57" i="9"/>
  <c r="E217" i="9"/>
  <c r="E218" i="9"/>
  <c r="E219" i="9"/>
  <c r="E220" i="9"/>
  <c r="E221" i="9"/>
  <c r="E223" i="9"/>
  <c r="E224" i="9"/>
  <c r="E225" i="9"/>
  <c r="E226" i="9"/>
  <c r="E198" i="9"/>
  <c r="E199" i="9"/>
  <c r="E200" i="9"/>
  <c r="E201" i="9"/>
  <c r="E189" i="9"/>
  <c r="E190" i="9"/>
  <c r="E191" i="9"/>
  <c r="E192" i="9"/>
  <c r="E193" i="9"/>
  <c r="E194" i="9"/>
  <c r="E195" i="9"/>
  <c r="K173" i="9"/>
  <c r="K170" i="9"/>
  <c r="K165" i="9"/>
  <c r="K161" i="9"/>
  <c r="K153" i="9"/>
  <c r="K157" i="9" s="1"/>
  <c r="K147" i="9"/>
  <c r="K143" i="9"/>
  <c r="K140" i="9"/>
  <c r="K136" i="9"/>
  <c r="K134" i="9"/>
  <c r="K130" i="9"/>
  <c r="K126" i="9"/>
  <c r="K119" i="9"/>
  <c r="K115" i="9"/>
  <c r="K101" i="9"/>
  <c r="K118" i="9" s="1"/>
  <c r="K90" i="9"/>
  <c r="K85" i="9"/>
  <c r="K66" i="9"/>
  <c r="K108" i="9"/>
  <c r="I90" i="9"/>
  <c r="G61" i="9"/>
  <c r="I61" i="9"/>
  <c r="I6" i="9"/>
  <c r="I75" i="9" s="1"/>
  <c r="I74" i="9" s="1"/>
  <c r="E156" i="9"/>
  <c r="E139" i="9"/>
  <c r="E80" i="9"/>
  <c r="E73" i="9"/>
  <c r="E69" i="9"/>
  <c r="E68" i="9"/>
  <c r="E60" i="9"/>
  <c r="E56" i="9"/>
  <c r="E55" i="9"/>
  <c r="G6" i="9"/>
  <c r="G78" i="9" s="1"/>
  <c r="G76" i="9" s="1"/>
  <c r="M75" i="9"/>
  <c r="M74" i="9" s="1"/>
  <c r="R216" i="9"/>
  <c r="R228" i="9" s="1"/>
  <c r="R203" i="9"/>
  <c r="R197" i="9"/>
  <c r="R173" i="9"/>
  <c r="R170" i="9"/>
  <c r="R165" i="9"/>
  <c r="R161" i="9"/>
  <c r="R158" i="9"/>
  <c r="R153" i="9"/>
  <c r="R157" i="9" s="1"/>
  <c r="R147" i="9"/>
  <c r="R143" i="9"/>
  <c r="R140" i="9"/>
  <c r="R136" i="9"/>
  <c r="R134" i="9"/>
  <c r="R130" i="9"/>
  <c r="R126" i="9"/>
  <c r="R119" i="9"/>
  <c r="R115" i="9"/>
  <c r="R108" i="9"/>
  <c r="R101" i="9"/>
  <c r="R91" i="9"/>
  <c r="R83" i="9"/>
  <c r="R81" i="9"/>
  <c r="R66" i="9"/>
  <c r="R61" i="9"/>
  <c r="R57" i="9"/>
  <c r="P216" i="9"/>
  <c r="P228" i="9" s="1"/>
  <c r="P203" i="9"/>
  <c r="P197" i="9"/>
  <c r="P173" i="9"/>
  <c r="P170" i="9"/>
  <c r="P165" i="9"/>
  <c r="P161" i="9"/>
  <c r="P158" i="9"/>
  <c r="P153" i="9"/>
  <c r="P157" i="9" s="1"/>
  <c r="P147" i="9"/>
  <c r="P143" i="9"/>
  <c r="P140" i="9"/>
  <c r="P136" i="9"/>
  <c r="P134" i="9"/>
  <c r="P130" i="9"/>
  <c r="P126" i="9"/>
  <c r="P119" i="9"/>
  <c r="P115" i="9"/>
  <c r="P108" i="9"/>
  <c r="P101" i="9"/>
  <c r="P91" i="9"/>
  <c r="P83" i="9"/>
  <c r="P81" i="9"/>
  <c r="P66" i="9"/>
  <c r="P61" i="9"/>
  <c r="P57" i="9"/>
  <c r="D227" i="9"/>
  <c r="D226" i="9"/>
  <c r="D225" i="9"/>
  <c r="D224" i="9"/>
  <c r="D223" i="9"/>
  <c r="D222" i="9"/>
  <c r="D221" i="9"/>
  <c r="D220" i="9"/>
  <c r="D219" i="9"/>
  <c r="D218" i="9"/>
  <c r="D217" i="9"/>
  <c r="D202" i="9"/>
  <c r="D201" i="9"/>
  <c r="D200" i="9"/>
  <c r="D199" i="9"/>
  <c r="D198" i="9"/>
  <c r="D190" i="9"/>
  <c r="D191" i="9"/>
  <c r="D192" i="9"/>
  <c r="D193" i="9"/>
  <c r="D194" i="9"/>
  <c r="D195" i="9"/>
  <c r="D196" i="9"/>
  <c r="D189" i="9"/>
  <c r="D156" i="9"/>
  <c r="D139" i="9"/>
  <c r="D80" i="9"/>
  <c r="D76" i="9"/>
  <c r="D73" i="9"/>
  <c r="D70" i="9"/>
  <c r="D69" i="9"/>
  <c r="D68" i="9"/>
  <c r="D60" i="9"/>
  <c r="D56" i="9"/>
  <c r="D55" i="9"/>
  <c r="D6" i="9"/>
  <c r="N203" i="9"/>
  <c r="N197" i="9"/>
  <c r="L216" i="9"/>
  <c r="L228" i="9" s="1"/>
  <c r="N216" i="9"/>
  <c r="N228" i="9" s="1"/>
  <c r="N173" i="9"/>
  <c r="N170" i="9"/>
  <c r="N165" i="9"/>
  <c r="N161" i="9"/>
  <c r="N158" i="9"/>
  <c r="N153" i="9"/>
  <c r="N157" i="9" s="1"/>
  <c r="N147" i="9"/>
  <c r="N143" i="9"/>
  <c r="N140" i="9"/>
  <c r="N136" i="9"/>
  <c r="N134" i="9"/>
  <c r="N130" i="9"/>
  <c r="N126" i="9"/>
  <c r="N119" i="9"/>
  <c r="N129" i="9" s="1"/>
  <c r="N115" i="9"/>
  <c r="N108" i="9"/>
  <c r="N101" i="9"/>
  <c r="N91" i="9"/>
  <c r="N83" i="9"/>
  <c r="N81" i="9"/>
  <c r="N66" i="9"/>
  <c r="N61" i="9"/>
  <c r="N57" i="9"/>
  <c r="L203" i="9"/>
  <c r="L197" i="9"/>
  <c r="L173" i="9"/>
  <c r="L170" i="9"/>
  <c r="L165" i="9"/>
  <c r="L161" i="9"/>
  <c r="L158" i="9"/>
  <c r="L153" i="9"/>
  <c r="L157" i="9" s="1"/>
  <c r="L147" i="9"/>
  <c r="L143" i="9"/>
  <c r="L140" i="9"/>
  <c r="L136" i="9"/>
  <c r="L134" i="9"/>
  <c r="L130" i="9"/>
  <c r="L126" i="9"/>
  <c r="L119" i="9"/>
  <c r="L115" i="9"/>
  <c r="L108" i="9"/>
  <c r="L101" i="9"/>
  <c r="L91" i="9"/>
  <c r="L83" i="9"/>
  <c r="L81" i="9"/>
  <c r="L66" i="9"/>
  <c r="L61" i="9"/>
  <c r="L57" i="9"/>
  <c r="K57" i="9"/>
  <c r="J216" i="9"/>
  <c r="J228" i="9" s="1"/>
  <c r="J203" i="9"/>
  <c r="J197" i="9"/>
  <c r="J173" i="9"/>
  <c r="J170" i="9"/>
  <c r="J165" i="9"/>
  <c r="J161" i="9"/>
  <c r="J158" i="9"/>
  <c r="J153" i="9"/>
  <c r="J157" i="9" s="1"/>
  <c r="J147" i="9"/>
  <c r="J143" i="9"/>
  <c r="J140" i="9"/>
  <c r="J136" i="9"/>
  <c r="J134" i="9"/>
  <c r="J130" i="9"/>
  <c r="J126" i="9"/>
  <c r="J119" i="9"/>
  <c r="J129" i="9" s="1"/>
  <c r="J115" i="9"/>
  <c r="J108" i="9"/>
  <c r="J101" i="9"/>
  <c r="J91" i="9"/>
  <c r="J85" i="9"/>
  <c r="J66" i="9"/>
  <c r="J57" i="9"/>
  <c r="H140" i="9"/>
  <c r="H66" i="9"/>
  <c r="F66" i="9"/>
  <c r="H57" i="9"/>
  <c r="F140" i="9"/>
  <c r="E227" i="9"/>
  <c r="I222" i="9"/>
  <c r="I216" i="9" s="1"/>
  <c r="I228" i="9" s="1"/>
  <c r="G222" i="9"/>
  <c r="H216" i="9"/>
  <c r="H228" i="9" s="1"/>
  <c r="F216" i="9"/>
  <c r="F228" i="9" s="1"/>
  <c r="H203" i="9"/>
  <c r="F203" i="9"/>
  <c r="I202" i="9"/>
  <c r="G202" i="9"/>
  <c r="G203" i="9" s="1"/>
  <c r="H197" i="9"/>
  <c r="H204" i="9" s="1"/>
  <c r="F197" i="9"/>
  <c r="F204" i="9" s="1"/>
  <c r="I196" i="9"/>
  <c r="I197" i="9" s="1"/>
  <c r="G196" i="9"/>
  <c r="I173" i="9"/>
  <c r="H173" i="9"/>
  <c r="G173" i="9"/>
  <c r="F173" i="9"/>
  <c r="I170" i="9"/>
  <c r="H170" i="9"/>
  <c r="G170" i="9"/>
  <c r="F170" i="9"/>
  <c r="I165" i="9"/>
  <c r="H165" i="9"/>
  <c r="G165" i="9"/>
  <c r="F165" i="9"/>
  <c r="I161" i="9"/>
  <c r="H161" i="9"/>
  <c r="G161" i="9"/>
  <c r="F161" i="9"/>
  <c r="H158" i="9"/>
  <c r="F158" i="9"/>
  <c r="I153" i="9"/>
  <c r="I157" i="9" s="1"/>
  <c r="H153" i="9"/>
  <c r="H157" i="9" s="1"/>
  <c r="G153" i="9"/>
  <c r="G157" i="9" s="1"/>
  <c r="F153" i="9"/>
  <c r="F157" i="9" s="1"/>
  <c r="I147" i="9"/>
  <c r="H147" i="9"/>
  <c r="G147" i="9"/>
  <c r="F147" i="9"/>
  <c r="I143" i="9"/>
  <c r="H143" i="9"/>
  <c r="G143" i="9"/>
  <c r="E143" i="9" s="1"/>
  <c r="F143" i="9"/>
  <c r="I140" i="9"/>
  <c r="G140" i="9"/>
  <c r="I136" i="9"/>
  <c r="H136" i="9"/>
  <c r="G136" i="9"/>
  <c r="F136" i="9"/>
  <c r="I134" i="9"/>
  <c r="G134" i="9"/>
  <c r="I130" i="9"/>
  <c r="H130" i="9"/>
  <c r="G130" i="9"/>
  <c r="F130" i="9"/>
  <c r="I126" i="9"/>
  <c r="H126" i="9"/>
  <c r="G126" i="9"/>
  <c r="F126" i="9"/>
  <c r="I119" i="9"/>
  <c r="I129" i="9" s="1"/>
  <c r="H119" i="9"/>
  <c r="H129" i="9" s="1"/>
  <c r="G119" i="9"/>
  <c r="G129" i="9" s="1"/>
  <c r="F119" i="9"/>
  <c r="I115" i="9"/>
  <c r="H115" i="9"/>
  <c r="G115" i="9"/>
  <c r="F115" i="9"/>
  <c r="I108" i="9"/>
  <c r="H108" i="9"/>
  <c r="G108" i="9"/>
  <c r="F108" i="9"/>
  <c r="I101" i="9"/>
  <c r="I118" i="9" s="1"/>
  <c r="H101" i="9"/>
  <c r="H118" i="9" s="1"/>
  <c r="G101" i="9"/>
  <c r="G118" i="9" s="1"/>
  <c r="F101" i="9"/>
  <c r="F91" i="9"/>
  <c r="G90" i="9"/>
  <c r="I83" i="9"/>
  <c r="H83" i="9"/>
  <c r="G83" i="9"/>
  <c r="F83" i="9"/>
  <c r="I81" i="9"/>
  <c r="H81" i="9"/>
  <c r="G81" i="9"/>
  <c r="F81" i="9"/>
  <c r="F85" i="9" s="1"/>
  <c r="F74" i="9"/>
  <c r="D74" i="9" s="1"/>
  <c r="I66" i="9"/>
  <c r="G66" i="9"/>
  <c r="I57" i="9"/>
  <c r="G57" i="9"/>
  <c r="F57" i="9"/>
  <c r="G42" i="6"/>
  <c r="E42" i="6" s="1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F180" i="6" s="1"/>
  <c r="H155" i="6"/>
  <c r="F155" i="6"/>
  <c r="I154" i="6"/>
  <c r="I155" i="6" s="1"/>
  <c r="G154" i="6"/>
  <c r="G155" i="6" s="1"/>
  <c r="D154" i="6"/>
  <c r="E153" i="6"/>
  <c r="D153" i="6"/>
  <c r="E152" i="6"/>
  <c r="D152" i="6"/>
  <c r="E151" i="6"/>
  <c r="D151" i="6"/>
  <c r="E150" i="6"/>
  <c r="D150" i="6"/>
  <c r="H149" i="6"/>
  <c r="F149" i="6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F113" i="6"/>
  <c r="H110" i="6"/>
  <c r="F110" i="6"/>
  <c r="E108" i="6"/>
  <c r="D108" i="6"/>
  <c r="I105" i="6"/>
  <c r="I109" i="6" s="1"/>
  <c r="H105" i="6"/>
  <c r="H109" i="6" s="1"/>
  <c r="G105" i="6"/>
  <c r="F105" i="6"/>
  <c r="I99" i="6"/>
  <c r="H99" i="6"/>
  <c r="G99" i="6"/>
  <c r="F99" i="6"/>
  <c r="D99" i="6" s="1"/>
  <c r="I95" i="6"/>
  <c r="H95" i="6"/>
  <c r="G95" i="6"/>
  <c r="E95" i="6" s="1"/>
  <c r="F95" i="6"/>
  <c r="I92" i="6"/>
  <c r="E92" i="6" s="1"/>
  <c r="G92" i="6"/>
  <c r="D92" i="6"/>
  <c r="E91" i="6"/>
  <c r="D91" i="6"/>
  <c r="I88" i="6"/>
  <c r="H88" i="6"/>
  <c r="G88" i="6"/>
  <c r="F88" i="6"/>
  <c r="I86" i="6"/>
  <c r="G86" i="6"/>
  <c r="D86" i="6"/>
  <c r="I82" i="6"/>
  <c r="H82" i="6"/>
  <c r="G82" i="6"/>
  <c r="E82" i="6" s="1"/>
  <c r="F82" i="6"/>
  <c r="I78" i="6"/>
  <c r="H78" i="6"/>
  <c r="G78" i="6"/>
  <c r="F78" i="6"/>
  <c r="I71" i="6"/>
  <c r="I81" i="6" s="1"/>
  <c r="H71" i="6"/>
  <c r="H81" i="6" s="1"/>
  <c r="G71" i="6"/>
  <c r="E71" i="6" s="1"/>
  <c r="F71" i="6"/>
  <c r="F81" i="6" s="1"/>
  <c r="I67" i="6"/>
  <c r="H67" i="6"/>
  <c r="G67" i="6"/>
  <c r="F67" i="6"/>
  <c r="I60" i="6"/>
  <c r="H60" i="6"/>
  <c r="G60" i="6"/>
  <c r="F60" i="6"/>
  <c r="D60" i="6" s="1"/>
  <c r="I53" i="6"/>
  <c r="H53" i="6"/>
  <c r="H70" i="6" s="1"/>
  <c r="G53" i="6"/>
  <c r="E53" i="6" s="1"/>
  <c r="F53" i="6"/>
  <c r="F43" i="6"/>
  <c r="D42" i="6"/>
  <c r="E41" i="6"/>
  <c r="D41" i="6"/>
  <c r="D40" i="6"/>
  <c r="I35" i="6"/>
  <c r="H35" i="6"/>
  <c r="D35" i="6" s="1"/>
  <c r="G35" i="6"/>
  <c r="F35" i="6"/>
  <c r="I33" i="6"/>
  <c r="I37" i="6" s="1"/>
  <c r="H33" i="6"/>
  <c r="H39" i="6" s="1"/>
  <c r="H43" i="6" s="1"/>
  <c r="G33" i="6"/>
  <c r="F33" i="6"/>
  <c r="F37" i="6" s="1"/>
  <c r="E32" i="6"/>
  <c r="D32" i="6"/>
  <c r="I28" i="6"/>
  <c r="E28" i="6" s="1"/>
  <c r="D28" i="6"/>
  <c r="I26" i="6"/>
  <c r="H26" i="6"/>
  <c r="F26" i="6"/>
  <c r="E25" i="6"/>
  <c r="D25" i="6"/>
  <c r="I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F11" i="6"/>
  <c r="D11" i="6" s="1"/>
  <c r="E10" i="6"/>
  <c r="D10" i="6"/>
  <c r="E9" i="6"/>
  <c r="D9" i="6"/>
  <c r="I6" i="6"/>
  <c r="E6" i="6" s="1"/>
  <c r="D6" i="6"/>
  <c r="D78" i="6"/>
  <c r="G27" i="6"/>
  <c r="G26" i="6" s="1"/>
  <c r="G46" i="4"/>
  <c r="E46" i="4" s="1"/>
  <c r="E210" i="4"/>
  <c r="D210" i="4"/>
  <c r="E209" i="4"/>
  <c r="D209" i="4"/>
  <c r="E208" i="4"/>
  <c r="D208" i="4"/>
  <c r="E207" i="4"/>
  <c r="D207" i="4"/>
  <c r="E206" i="4"/>
  <c r="D206" i="4"/>
  <c r="I205" i="4"/>
  <c r="I199" i="4" s="1"/>
  <c r="I211" i="4" s="1"/>
  <c r="G205" i="4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 s="1"/>
  <c r="G199" i="4"/>
  <c r="G211" i="4" s="1"/>
  <c r="F199" i="4"/>
  <c r="F211" i="4" s="1"/>
  <c r="H186" i="4"/>
  <c r="F186" i="4"/>
  <c r="I185" i="4"/>
  <c r="I186" i="4" s="1"/>
  <c r="G185" i="4"/>
  <c r="G186" i="4" s="1"/>
  <c r="D185" i="4"/>
  <c r="E184" i="4"/>
  <c r="D184" i="4"/>
  <c r="E183" i="4"/>
  <c r="D183" i="4"/>
  <c r="E182" i="4"/>
  <c r="D182" i="4"/>
  <c r="E181" i="4"/>
  <c r="D181" i="4"/>
  <c r="H180" i="4"/>
  <c r="F180" i="4"/>
  <c r="I179" i="4"/>
  <c r="G179" i="4"/>
  <c r="G180" i="4" s="1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F153" i="4"/>
  <c r="I148" i="4"/>
  <c r="H148" i="4"/>
  <c r="G148" i="4"/>
  <c r="F148" i="4"/>
  <c r="I144" i="4"/>
  <c r="H144" i="4"/>
  <c r="G144" i="4"/>
  <c r="F144" i="4"/>
  <c r="H141" i="4"/>
  <c r="F141" i="4"/>
  <c r="E139" i="4"/>
  <c r="D139" i="4"/>
  <c r="I136" i="4"/>
  <c r="I140" i="4" s="1"/>
  <c r="H136" i="4"/>
  <c r="H140" i="4" s="1"/>
  <c r="G136" i="4"/>
  <c r="F136" i="4"/>
  <c r="F140" i="4" s="1"/>
  <c r="I130" i="4"/>
  <c r="H130" i="4"/>
  <c r="G130" i="4"/>
  <c r="F130" i="4"/>
  <c r="I126" i="4"/>
  <c r="H126" i="4"/>
  <c r="G126" i="4"/>
  <c r="F126" i="4"/>
  <c r="I123" i="4"/>
  <c r="G123" i="4"/>
  <c r="D123" i="4"/>
  <c r="E122" i="4"/>
  <c r="D122" i="4"/>
  <c r="I119" i="4"/>
  <c r="H119" i="4"/>
  <c r="G119" i="4"/>
  <c r="F119" i="4"/>
  <c r="I117" i="4"/>
  <c r="G117" i="4"/>
  <c r="D117" i="4"/>
  <c r="I113" i="4"/>
  <c r="H113" i="4"/>
  <c r="G113" i="4"/>
  <c r="F113" i="4"/>
  <c r="I109" i="4"/>
  <c r="H109" i="4"/>
  <c r="G109" i="4"/>
  <c r="F109" i="4"/>
  <c r="I102" i="4"/>
  <c r="H102" i="4"/>
  <c r="G102" i="4"/>
  <c r="F102" i="4"/>
  <c r="I98" i="4"/>
  <c r="H98" i="4"/>
  <c r="G98" i="4"/>
  <c r="F98" i="4"/>
  <c r="I91" i="4"/>
  <c r="H91" i="4"/>
  <c r="G91" i="4"/>
  <c r="F91" i="4"/>
  <c r="I84" i="4"/>
  <c r="I101" i="4" s="1"/>
  <c r="H84" i="4"/>
  <c r="G84" i="4"/>
  <c r="F84" i="4"/>
  <c r="F101" i="4" s="1"/>
  <c r="F74" i="4"/>
  <c r="D73" i="4"/>
  <c r="E72" i="4"/>
  <c r="D72" i="4"/>
  <c r="D71" i="4"/>
  <c r="I66" i="4"/>
  <c r="H66" i="4"/>
  <c r="G66" i="4"/>
  <c r="F66" i="4"/>
  <c r="I64" i="4"/>
  <c r="H64" i="4"/>
  <c r="H70" i="4" s="1"/>
  <c r="H74" i="4" s="1"/>
  <c r="G64" i="4"/>
  <c r="F64" i="4"/>
  <c r="F68" i="4" s="1"/>
  <c r="E63" i="4"/>
  <c r="D63" i="4"/>
  <c r="I59" i="4"/>
  <c r="E59" i="4"/>
  <c r="D59" i="4"/>
  <c r="I57" i="4"/>
  <c r="H57" i="4"/>
  <c r="H62" i="4"/>
  <c r="F57" i="4"/>
  <c r="E56" i="4"/>
  <c r="D56" i="4"/>
  <c r="I53" i="4"/>
  <c r="D53" i="4"/>
  <c r="E52" i="4"/>
  <c r="D52" i="4"/>
  <c r="E51" i="4"/>
  <c r="D51" i="4"/>
  <c r="G73" i="4"/>
  <c r="E73" i="4" s="1"/>
  <c r="I49" i="4"/>
  <c r="G49" i="4"/>
  <c r="D49" i="4"/>
  <c r="D46" i="4"/>
  <c r="E45" i="4"/>
  <c r="D45" i="4"/>
  <c r="I42" i="4"/>
  <c r="G42" i="4"/>
  <c r="F42" i="4"/>
  <c r="D42" i="4" s="1"/>
  <c r="E41" i="4"/>
  <c r="D41" i="4"/>
  <c r="E40" i="4"/>
  <c r="D40" i="4"/>
  <c r="I6" i="4"/>
  <c r="D6" i="4"/>
  <c r="D183" i="1"/>
  <c r="E183" i="1"/>
  <c r="D181" i="1"/>
  <c r="E181" i="1"/>
  <c r="I180" i="1"/>
  <c r="I174" i="1" s="1"/>
  <c r="I186" i="1" s="1"/>
  <c r="G180" i="1"/>
  <c r="G174" i="1" s="1"/>
  <c r="G186" i="1" s="1"/>
  <c r="D179" i="1"/>
  <c r="E179" i="1"/>
  <c r="E185" i="1"/>
  <c r="D185" i="1"/>
  <c r="F174" i="1"/>
  <c r="F186" i="1" s="1"/>
  <c r="H174" i="1"/>
  <c r="H186" i="1" s="1"/>
  <c r="E175" i="1"/>
  <c r="E176" i="1"/>
  <c r="E177" i="1"/>
  <c r="E178" i="1"/>
  <c r="E182" i="1"/>
  <c r="E184" i="1"/>
  <c r="D176" i="1"/>
  <c r="D177" i="1"/>
  <c r="D178" i="1"/>
  <c r="D180" i="1"/>
  <c r="D182" i="1"/>
  <c r="D184" i="1"/>
  <c r="D175" i="1"/>
  <c r="F161" i="1"/>
  <c r="H161" i="1"/>
  <c r="E158" i="1"/>
  <c r="D156" i="1"/>
  <c r="D160" i="1"/>
  <c r="E159" i="1"/>
  <c r="D159" i="1"/>
  <c r="D158" i="1"/>
  <c r="E157" i="1"/>
  <c r="D157" i="1"/>
  <c r="E156" i="1"/>
  <c r="I160" i="1"/>
  <c r="I161" i="1" s="1"/>
  <c r="G160" i="1"/>
  <c r="G161" i="1" s="1"/>
  <c r="I154" i="1"/>
  <c r="I155" i="1" s="1"/>
  <c r="G154" i="1"/>
  <c r="G155" i="1" s="1"/>
  <c r="F155" i="1"/>
  <c r="H155" i="1"/>
  <c r="E147" i="1"/>
  <c r="E148" i="1"/>
  <c r="E149" i="1"/>
  <c r="E150" i="1"/>
  <c r="E151" i="1"/>
  <c r="E152" i="1"/>
  <c r="E153" i="1"/>
  <c r="D148" i="1"/>
  <c r="D149" i="1"/>
  <c r="D150" i="1"/>
  <c r="D151" i="1"/>
  <c r="D152" i="1"/>
  <c r="D153" i="1"/>
  <c r="D154" i="1"/>
  <c r="D147" i="1"/>
  <c r="G131" i="1"/>
  <c r="E131" i="1" s="1"/>
  <c r="H131" i="1"/>
  <c r="I131" i="1"/>
  <c r="F131" i="1"/>
  <c r="G128" i="1"/>
  <c r="H128" i="1"/>
  <c r="I128" i="1"/>
  <c r="F128" i="1"/>
  <c r="G123" i="1"/>
  <c r="H123" i="1"/>
  <c r="I123" i="1"/>
  <c r="F123" i="1"/>
  <c r="G119" i="1"/>
  <c r="H119" i="1"/>
  <c r="I119" i="1"/>
  <c r="F119" i="1"/>
  <c r="H116" i="1"/>
  <c r="F116" i="1"/>
  <c r="G111" i="1"/>
  <c r="G115" i="1" s="1"/>
  <c r="H111" i="1"/>
  <c r="H115" i="1" s="1"/>
  <c r="I111" i="1"/>
  <c r="F111" i="1"/>
  <c r="F115" i="1" s="1"/>
  <c r="E114" i="1"/>
  <c r="D114" i="1"/>
  <c r="G101" i="1"/>
  <c r="H101" i="1"/>
  <c r="I101" i="1"/>
  <c r="F101" i="1"/>
  <c r="D101" i="1" s="1"/>
  <c r="G105" i="1"/>
  <c r="H105" i="1"/>
  <c r="I105" i="1"/>
  <c r="F105" i="1"/>
  <c r="D105" i="1" s="1"/>
  <c r="D98" i="1"/>
  <c r="I98" i="1"/>
  <c r="G98" i="1"/>
  <c r="E98" i="1" s="1"/>
  <c r="E97" i="1"/>
  <c r="D97" i="1"/>
  <c r="E144" i="4"/>
  <c r="E180" i="1"/>
  <c r="G94" i="1"/>
  <c r="E94" i="1" s="1"/>
  <c r="H94" i="1"/>
  <c r="I94" i="1"/>
  <c r="F94" i="1"/>
  <c r="D94" i="1" s="1"/>
  <c r="D92" i="1"/>
  <c r="I92" i="1"/>
  <c r="E92" i="1" s="1"/>
  <c r="G92" i="1"/>
  <c r="G88" i="1"/>
  <c r="E88" i="1" s="1"/>
  <c r="H88" i="1"/>
  <c r="I88" i="1"/>
  <c r="F88" i="1"/>
  <c r="G84" i="1"/>
  <c r="E84" i="1" s="1"/>
  <c r="H84" i="1"/>
  <c r="D84" i="1" s="1"/>
  <c r="I84" i="1"/>
  <c r="F84" i="1"/>
  <c r="H77" i="1"/>
  <c r="I77" i="1"/>
  <c r="G77" i="1"/>
  <c r="F77" i="1"/>
  <c r="F87" i="1" s="1"/>
  <c r="G73" i="1"/>
  <c r="H73" i="1"/>
  <c r="I73" i="1"/>
  <c r="F73" i="1"/>
  <c r="H66" i="1"/>
  <c r="I66" i="1"/>
  <c r="G66" i="1"/>
  <c r="F66" i="1"/>
  <c r="G59" i="1"/>
  <c r="H59" i="1"/>
  <c r="I59" i="1"/>
  <c r="F59" i="1"/>
  <c r="F52" i="1"/>
  <c r="E50" i="1"/>
  <c r="D49" i="1"/>
  <c r="D50" i="1"/>
  <c r="D51" i="1"/>
  <c r="G44" i="1"/>
  <c r="H44" i="1"/>
  <c r="I44" i="1"/>
  <c r="F44" i="1"/>
  <c r="G42" i="1"/>
  <c r="H42" i="1"/>
  <c r="H48" i="1" s="1"/>
  <c r="D48" i="1" s="1"/>
  <c r="I42" i="1"/>
  <c r="I46" i="1" s="1"/>
  <c r="F42" i="1"/>
  <c r="F46" i="1" s="1"/>
  <c r="E41" i="1"/>
  <c r="D41" i="1"/>
  <c r="D37" i="1"/>
  <c r="I37" i="1"/>
  <c r="E37" i="1" s="1"/>
  <c r="H35" i="1"/>
  <c r="I35" i="1"/>
  <c r="F35" i="1"/>
  <c r="E34" i="1"/>
  <c r="D34" i="1"/>
  <c r="D31" i="1"/>
  <c r="I31" i="1"/>
  <c r="D30" i="1"/>
  <c r="E30" i="1"/>
  <c r="E29" i="1"/>
  <c r="D29" i="1"/>
  <c r="I27" i="1"/>
  <c r="D27" i="1"/>
  <c r="G28" i="1"/>
  <c r="E26" i="1"/>
  <c r="D26" i="1"/>
  <c r="E25" i="1"/>
  <c r="D25" i="1"/>
  <c r="I22" i="1"/>
  <c r="G22" i="1"/>
  <c r="E22" i="1" s="1"/>
  <c r="F22" i="1"/>
  <c r="D22" i="1" s="1"/>
  <c r="E21" i="1"/>
  <c r="D21" i="1"/>
  <c r="I6" i="1"/>
  <c r="E20" i="1"/>
  <c r="D20" i="1"/>
  <c r="G6" i="1"/>
  <c r="D44" i="1"/>
  <c r="D6" i="1"/>
  <c r="H52" i="1"/>
  <c r="J98" i="26"/>
  <c r="D17" i="23"/>
  <c r="Q20" i="11" l="1"/>
  <c r="L93" i="10"/>
  <c r="N100" i="10"/>
  <c r="U6" i="10"/>
  <c r="I20" i="11"/>
  <c r="U20" i="11"/>
  <c r="I7" i="24"/>
  <c r="U8" i="24"/>
  <c r="I8" i="24"/>
  <c r="I16" i="24"/>
  <c r="U17" i="24"/>
  <c r="I17" i="24"/>
  <c r="U16" i="24"/>
  <c r="I6" i="24"/>
  <c r="L55" i="10"/>
  <c r="I75" i="10"/>
  <c r="S42" i="11"/>
  <c r="S75" i="10"/>
  <c r="G42" i="11"/>
  <c r="G39" i="11" s="1"/>
  <c r="G75" i="10"/>
  <c r="G62" i="10" s="1"/>
  <c r="G6" i="10"/>
  <c r="H18" i="24"/>
  <c r="U7" i="24"/>
  <c r="U6" i="24"/>
  <c r="U5" i="24"/>
  <c r="V74" i="30"/>
  <c r="D18" i="36"/>
  <c r="J80" i="30"/>
  <c r="H22" i="23"/>
  <c r="J7" i="30"/>
  <c r="G22" i="23"/>
  <c r="F32" i="30"/>
  <c r="R33" i="30"/>
  <c r="J33" i="30"/>
  <c r="V33" i="30"/>
  <c r="F33" i="30"/>
  <c r="V32" i="30"/>
  <c r="R32" i="30"/>
  <c r="P6" i="24"/>
  <c r="P16" i="24"/>
  <c r="H42" i="11"/>
  <c r="H75" i="10"/>
  <c r="K75" i="10"/>
  <c r="M67" i="10"/>
  <c r="N67" i="10" s="1"/>
  <c r="Q67" i="10"/>
  <c r="F46" i="10"/>
  <c r="M6" i="10"/>
  <c r="N32" i="10"/>
  <c r="N78" i="10"/>
  <c r="O93" i="10"/>
  <c r="K67" i="10"/>
  <c r="K7" i="10"/>
  <c r="K6" i="10" s="1"/>
  <c r="V29" i="10"/>
  <c r="F22" i="23"/>
  <c r="N6" i="30"/>
  <c r="F69" i="30"/>
  <c r="J50" i="30"/>
  <c r="F42" i="30"/>
  <c r="N42" i="30"/>
  <c r="R43" i="30"/>
  <c r="H15" i="23"/>
  <c r="J15" i="23" s="1"/>
  <c r="V42" i="30"/>
  <c r="J42" i="30"/>
  <c r="R20" i="30"/>
  <c r="N74" i="30"/>
  <c r="G22" i="5"/>
  <c r="N9" i="5"/>
  <c r="Q9" i="7"/>
  <c r="H11" i="18"/>
  <c r="Q20" i="12"/>
  <c r="I22" i="12"/>
  <c r="Q9" i="12"/>
  <c r="G22" i="12"/>
  <c r="J39" i="30"/>
  <c r="E39" i="18"/>
  <c r="D64" i="4"/>
  <c r="H110" i="1"/>
  <c r="I39" i="6"/>
  <c r="I43" i="6" s="1"/>
  <c r="O129" i="9"/>
  <c r="O160" i="9" s="1"/>
  <c r="O158" i="9" s="1"/>
  <c r="O178" i="9" s="1"/>
  <c r="O179" i="9" s="1"/>
  <c r="O180" i="9" s="1"/>
  <c r="O206" i="9" s="1"/>
  <c r="J32" i="17"/>
  <c r="J33" i="17" s="1"/>
  <c r="J39" i="17" s="1"/>
  <c r="Q30" i="19"/>
  <c r="Q40" i="19" s="1"/>
  <c r="O40" i="19"/>
  <c r="O46" i="19" s="1"/>
  <c r="D69" i="19"/>
  <c r="D24" i="26"/>
  <c r="D26" i="26" s="1"/>
  <c r="C27" i="26"/>
  <c r="BK34" i="26"/>
  <c r="C48" i="26"/>
  <c r="C53" i="26" s="1"/>
  <c r="F26" i="26"/>
  <c r="D19" i="31"/>
  <c r="L9" i="23"/>
  <c r="N9" i="23" s="1"/>
  <c r="D59" i="1"/>
  <c r="D73" i="1"/>
  <c r="E42" i="4"/>
  <c r="E64" i="4"/>
  <c r="D84" i="4"/>
  <c r="D98" i="4"/>
  <c r="D102" i="4"/>
  <c r="D113" i="4"/>
  <c r="D126" i="4"/>
  <c r="D141" i="4"/>
  <c r="H161" i="4"/>
  <c r="D153" i="4"/>
  <c r="D156" i="4"/>
  <c r="D180" i="4"/>
  <c r="F187" i="4"/>
  <c r="H156" i="6"/>
  <c r="R85" i="9"/>
  <c r="R118" i="9"/>
  <c r="M204" i="9"/>
  <c r="H46" i="19"/>
  <c r="E57" i="15"/>
  <c r="E92" i="15"/>
  <c r="J148" i="17"/>
  <c r="N131" i="19"/>
  <c r="F72" i="19"/>
  <c r="D118" i="19"/>
  <c r="T192" i="19"/>
  <c r="H192" i="19"/>
  <c r="K192" i="19"/>
  <c r="L166" i="19"/>
  <c r="E26" i="26"/>
  <c r="P34" i="26"/>
  <c r="G72" i="19"/>
  <c r="E96" i="19"/>
  <c r="O45" i="19"/>
  <c r="N9" i="8"/>
  <c r="N23" i="5"/>
  <c r="N20" i="2"/>
  <c r="D119" i="1"/>
  <c r="D128" i="1"/>
  <c r="E53" i="4"/>
  <c r="D66" i="4"/>
  <c r="E98" i="4"/>
  <c r="D88" i="6"/>
  <c r="P178" i="9"/>
  <c r="E42" i="15"/>
  <c r="E44" i="15" s="1"/>
  <c r="H108" i="15"/>
  <c r="K74" i="15"/>
  <c r="F62" i="17"/>
  <c r="D74" i="17"/>
  <c r="D87" i="17"/>
  <c r="R166" i="19"/>
  <c r="M166" i="19"/>
  <c r="C6" i="26"/>
  <c r="C10" i="26"/>
  <c r="DQ44" i="26"/>
  <c r="C39" i="26"/>
  <c r="D91" i="26"/>
  <c r="F52" i="26"/>
  <c r="F53" i="26" s="1"/>
  <c r="D75" i="26"/>
  <c r="D93" i="26"/>
  <c r="K32" i="17"/>
  <c r="K33" i="17" s="1"/>
  <c r="U166" i="19"/>
  <c r="O22" i="37"/>
  <c r="Q20" i="7"/>
  <c r="N27" i="24"/>
  <c r="H93" i="10"/>
  <c r="J36" i="10"/>
  <c r="R94" i="10"/>
  <c r="R78" i="10"/>
  <c r="J31" i="24"/>
  <c r="G32" i="24"/>
  <c r="F33" i="24"/>
  <c r="F29" i="24"/>
  <c r="I21" i="16" s="1"/>
  <c r="P32" i="24"/>
  <c r="J27" i="24"/>
  <c r="I32" i="24"/>
  <c r="H26" i="24"/>
  <c r="M17" i="23"/>
  <c r="M12" i="23" s="1"/>
  <c r="M9" i="24" s="1"/>
  <c r="I17" i="11"/>
  <c r="D25" i="20"/>
  <c r="J21" i="20"/>
  <c r="J17" i="20"/>
  <c r="U25" i="20"/>
  <c r="N44" i="20"/>
  <c r="Q28" i="12"/>
  <c r="H11" i="12"/>
  <c r="F8" i="12"/>
  <c r="L22" i="12"/>
  <c r="K9" i="2"/>
  <c r="Q23" i="2"/>
  <c r="I22" i="2"/>
  <c r="H11" i="5"/>
  <c r="Q9" i="5"/>
  <c r="H20" i="7"/>
  <c r="H20" i="18"/>
  <c r="I22" i="18"/>
  <c r="H23" i="18"/>
  <c r="P22" i="18"/>
  <c r="E20" i="18"/>
  <c r="F8" i="18"/>
  <c r="K11" i="14"/>
  <c r="Q11" i="14"/>
  <c r="K28" i="14"/>
  <c r="N79" i="30"/>
  <c r="C36" i="8"/>
  <c r="I22" i="8"/>
  <c r="D22" i="37"/>
  <c r="O8" i="37"/>
  <c r="H9" i="37"/>
  <c r="J8" i="37"/>
  <c r="N9" i="37"/>
  <c r="D35" i="1"/>
  <c r="D40" i="1" s="1"/>
  <c r="H101" i="4"/>
  <c r="E148" i="4"/>
  <c r="G40" i="6"/>
  <c r="E40" i="6" s="1"/>
  <c r="F70" i="6"/>
  <c r="F131" i="6" s="1"/>
  <c r="F132" i="6" s="1"/>
  <c r="F158" i="6" s="1"/>
  <c r="D113" i="6"/>
  <c r="D125" i="6"/>
  <c r="D149" i="6"/>
  <c r="D156" i="6" s="1"/>
  <c r="D119" i="9"/>
  <c r="D129" i="9" s="1"/>
  <c r="D66" i="9"/>
  <c r="D134" i="9"/>
  <c r="O152" i="9"/>
  <c r="I46" i="15"/>
  <c r="I50" i="15" s="1"/>
  <c r="E121" i="15"/>
  <c r="I160" i="15"/>
  <c r="J44" i="15"/>
  <c r="J45" i="15" s="1"/>
  <c r="J51" i="15" s="1"/>
  <c r="J85" i="15"/>
  <c r="K148" i="17"/>
  <c r="D16" i="19"/>
  <c r="R192" i="19"/>
  <c r="D89" i="19"/>
  <c r="D24" i="19"/>
  <c r="S166" i="19"/>
  <c r="D42" i="26"/>
  <c r="K16" i="24"/>
  <c r="I37" i="37"/>
  <c r="K37" i="37" s="1"/>
  <c r="N39" i="30"/>
  <c r="O13" i="11"/>
  <c r="R13" i="11" s="1"/>
  <c r="R32" i="10"/>
  <c r="F39" i="8"/>
  <c r="H39" i="8" s="1"/>
  <c r="J38" i="30"/>
  <c r="F37" i="7"/>
  <c r="F36" i="7" s="1"/>
  <c r="U6" i="11"/>
  <c r="V6" i="11" s="1"/>
  <c r="V7" i="10"/>
  <c r="R28" i="24"/>
  <c r="I25" i="17"/>
  <c r="I24" i="17" s="1"/>
  <c r="E6" i="17"/>
  <c r="J32" i="10"/>
  <c r="I42" i="11"/>
  <c r="I39" i="11" s="1"/>
  <c r="K21" i="11"/>
  <c r="N21" i="11" s="1"/>
  <c r="N18" i="20"/>
  <c r="N38" i="2"/>
  <c r="V78" i="10"/>
  <c r="H87" i="1"/>
  <c r="D66" i="1"/>
  <c r="D71" i="6"/>
  <c r="D81" i="6" s="1"/>
  <c r="I31" i="6"/>
  <c r="G70" i="6"/>
  <c r="F156" i="6"/>
  <c r="E140" i="9"/>
  <c r="F39" i="19"/>
  <c r="E27" i="15"/>
  <c r="I32" i="17"/>
  <c r="H122" i="17"/>
  <c r="F148" i="17"/>
  <c r="D147" i="17"/>
  <c r="M192" i="19"/>
  <c r="H112" i="4"/>
  <c r="E101" i="1"/>
  <c r="I162" i="1"/>
  <c r="D155" i="6"/>
  <c r="J178" i="9"/>
  <c r="J204" i="9"/>
  <c r="L79" i="9"/>
  <c r="P118" i="9"/>
  <c r="P152" i="9"/>
  <c r="P204" i="9"/>
  <c r="R129" i="9"/>
  <c r="M129" i="9"/>
  <c r="M178" i="9"/>
  <c r="O118" i="9"/>
  <c r="D42" i="15"/>
  <c r="E109" i="17"/>
  <c r="D62" i="19"/>
  <c r="N40" i="19"/>
  <c r="N46" i="19" s="1"/>
  <c r="P72" i="19"/>
  <c r="C23" i="11"/>
  <c r="F23" i="11" s="1"/>
  <c r="F20" i="20"/>
  <c r="D67" i="10"/>
  <c r="D36" i="11"/>
  <c r="D34" i="11" s="1"/>
  <c r="C43" i="10"/>
  <c r="C19" i="11" s="1"/>
  <c r="F44" i="10"/>
  <c r="C26" i="10"/>
  <c r="F27" i="10"/>
  <c r="H22" i="11"/>
  <c r="J22" i="11" s="1"/>
  <c r="H41" i="10"/>
  <c r="H28" i="11"/>
  <c r="H26" i="11" s="1"/>
  <c r="H55" i="10"/>
  <c r="Q28" i="18"/>
  <c r="Q25" i="12"/>
  <c r="DJ44" i="26"/>
  <c r="D17" i="26"/>
  <c r="E70" i="9"/>
  <c r="C8" i="37"/>
  <c r="D22" i="18"/>
  <c r="F11" i="20"/>
  <c r="H31" i="23"/>
  <c r="F100" i="10"/>
  <c r="F29" i="10"/>
  <c r="C93" i="10"/>
  <c r="C92" i="10" s="1"/>
  <c r="H9" i="14"/>
  <c r="F22" i="5"/>
  <c r="H28" i="2"/>
  <c r="I25" i="20"/>
  <c r="G93" i="10"/>
  <c r="G92" i="10" s="1"/>
  <c r="G4" i="30"/>
  <c r="H43" i="12"/>
  <c r="K11" i="37"/>
  <c r="K28" i="18"/>
  <c r="J8" i="7"/>
  <c r="I8" i="2"/>
  <c r="N20" i="10"/>
  <c r="M22" i="7"/>
  <c r="N28" i="12"/>
  <c r="E4" i="29"/>
  <c r="O19" i="23" s="1"/>
  <c r="R19" i="23" s="1"/>
  <c r="F34" i="29"/>
  <c r="Q48" i="25" s="1"/>
  <c r="V63" i="10"/>
  <c r="S93" i="10"/>
  <c r="S92" i="10" s="1"/>
  <c r="T72" i="19"/>
  <c r="P166" i="19"/>
  <c r="C4" i="26"/>
  <c r="C8" i="26"/>
  <c r="C16" i="26"/>
  <c r="AA38" i="26"/>
  <c r="AA43" i="26" s="1"/>
  <c r="BI38" i="26"/>
  <c r="BI43" i="26" s="1"/>
  <c r="C52" i="26"/>
  <c r="D63" i="26"/>
  <c r="D99" i="26"/>
  <c r="D64" i="26"/>
  <c r="E69" i="19"/>
  <c r="E100" i="19"/>
  <c r="E84" i="19"/>
  <c r="U83" i="19"/>
  <c r="E114" i="19"/>
  <c r="L33" i="17"/>
  <c r="L39" i="17" s="1"/>
  <c r="L32" i="17"/>
  <c r="L62" i="17"/>
  <c r="E9" i="7"/>
  <c r="D8" i="7"/>
  <c r="E28" i="7"/>
  <c r="D8" i="5"/>
  <c r="D22" i="2"/>
  <c r="F41" i="23"/>
  <c r="E32" i="24"/>
  <c r="F43" i="10"/>
  <c r="J33" i="24"/>
  <c r="H54" i="11"/>
  <c r="H47" i="11" s="1"/>
  <c r="H46" i="11" s="1"/>
  <c r="G22" i="7"/>
  <c r="H25" i="2"/>
  <c r="J30" i="10"/>
  <c r="J63" i="10"/>
  <c r="G46" i="10"/>
  <c r="J22" i="7"/>
  <c r="J22" i="12"/>
  <c r="N28" i="20"/>
  <c r="N31" i="20"/>
  <c r="L92" i="10"/>
  <c r="Q11" i="37"/>
  <c r="Q23" i="14"/>
  <c r="N23" i="18"/>
  <c r="M8" i="7"/>
  <c r="P8" i="5"/>
  <c r="Q23" i="5"/>
  <c r="N20" i="12"/>
  <c r="S31" i="23"/>
  <c r="P93" i="10"/>
  <c r="P92" i="10" s="1"/>
  <c r="R105" i="10"/>
  <c r="T32" i="24"/>
  <c r="E23" i="37"/>
  <c r="E28" i="14"/>
  <c r="D8" i="18"/>
  <c r="C8" i="12"/>
  <c r="F7" i="10"/>
  <c r="H20" i="37"/>
  <c r="J28" i="20"/>
  <c r="F38" i="8"/>
  <c r="H38" i="8" s="1"/>
  <c r="K11" i="7"/>
  <c r="K28" i="2"/>
  <c r="N20" i="20"/>
  <c r="Q20" i="8"/>
  <c r="N9" i="18"/>
  <c r="N28" i="2"/>
  <c r="N25" i="12"/>
  <c r="F7" i="11"/>
  <c r="E75" i="10"/>
  <c r="E62" i="10" s="1"/>
  <c r="M75" i="10"/>
  <c r="N82" i="10"/>
  <c r="L75" i="10"/>
  <c r="L62" i="10" s="1"/>
  <c r="E36" i="11"/>
  <c r="E34" i="11" s="1"/>
  <c r="R69" i="10"/>
  <c r="D20" i="11"/>
  <c r="N51" i="10"/>
  <c r="L20" i="11"/>
  <c r="V15" i="11"/>
  <c r="F56" i="11"/>
  <c r="C20" i="16" s="1"/>
  <c r="E40" i="15"/>
  <c r="I44" i="15"/>
  <c r="H40" i="1"/>
  <c r="I76" i="1"/>
  <c r="E66" i="1"/>
  <c r="E160" i="1"/>
  <c r="E161" i="1" s="1"/>
  <c r="D111" i="1"/>
  <c r="D115" i="1" s="1"/>
  <c r="D123" i="1"/>
  <c r="H162" i="1"/>
  <c r="E119" i="4"/>
  <c r="G187" i="4"/>
  <c r="E205" i="4"/>
  <c r="R152" i="9"/>
  <c r="R178" i="9"/>
  <c r="E152" i="15"/>
  <c r="E153" i="15" s="1"/>
  <c r="E160" i="15" s="1"/>
  <c r="G153" i="15"/>
  <c r="E158" i="15"/>
  <c r="D22" i="26"/>
  <c r="E81" i="9"/>
  <c r="I85" i="9"/>
  <c r="D55" i="26"/>
  <c r="G39" i="19"/>
  <c r="E34" i="19"/>
  <c r="E73" i="19"/>
  <c r="G83" i="19"/>
  <c r="O105" i="19"/>
  <c r="E93" i="19"/>
  <c r="I110" i="1"/>
  <c r="H187" i="4"/>
  <c r="E26" i="6"/>
  <c r="E33" i="6"/>
  <c r="E60" i="6"/>
  <c r="E70" i="6" s="1"/>
  <c r="E67" i="6"/>
  <c r="I104" i="6"/>
  <c r="E88" i="6"/>
  <c r="E113" i="6"/>
  <c r="G149" i="6"/>
  <c r="E148" i="6"/>
  <c r="E149" i="6" s="1"/>
  <c r="E83" i="9"/>
  <c r="D136" i="9"/>
  <c r="Q105" i="19"/>
  <c r="Q113" i="19" s="1"/>
  <c r="Q111" i="19" s="1"/>
  <c r="Q131" i="19" s="1"/>
  <c r="Q132" i="19" s="1"/>
  <c r="AK44" i="26"/>
  <c r="CG44" i="26"/>
  <c r="CG107" i="26" s="1"/>
  <c r="D71" i="26"/>
  <c r="L34" i="26"/>
  <c r="F32" i="26"/>
  <c r="D32" i="26" s="1"/>
  <c r="K39" i="17"/>
  <c r="F15" i="20"/>
  <c r="AI53" i="26"/>
  <c r="E52" i="26"/>
  <c r="E53" i="26" s="1"/>
  <c r="D77" i="26"/>
  <c r="H68" i="4"/>
  <c r="H69" i="4" s="1"/>
  <c r="H75" i="4" s="1"/>
  <c r="E105" i="1"/>
  <c r="E110" i="1" s="1"/>
  <c r="G162" i="1"/>
  <c r="F162" i="1"/>
  <c r="I62" i="4"/>
  <c r="F62" i="4"/>
  <c r="F69" i="4" s="1"/>
  <c r="F75" i="4" s="1"/>
  <c r="E117" i="4"/>
  <c r="H87" i="9"/>
  <c r="D87" i="9" s="1"/>
  <c r="D91" i="9" s="1"/>
  <c r="D197" i="9"/>
  <c r="K88" i="9"/>
  <c r="K79" i="9"/>
  <c r="K86" i="9" s="1"/>
  <c r="E103" i="15"/>
  <c r="K160" i="15"/>
  <c r="H33" i="17"/>
  <c r="H39" i="17" s="1"/>
  <c r="G73" i="17"/>
  <c r="E87" i="17"/>
  <c r="D97" i="17"/>
  <c r="D101" i="17" s="1"/>
  <c r="G148" i="17"/>
  <c r="H166" i="19"/>
  <c r="N166" i="19"/>
  <c r="J166" i="19"/>
  <c r="O38" i="26"/>
  <c r="O43" i="26" s="1"/>
  <c r="D29" i="26"/>
  <c r="D82" i="26"/>
  <c r="D86" i="26"/>
  <c r="D103" i="26"/>
  <c r="D101" i="26"/>
  <c r="D105" i="26"/>
  <c r="Q152" i="9"/>
  <c r="D186" i="4"/>
  <c r="E199" i="4"/>
  <c r="E211" i="4" s="1"/>
  <c r="D82" i="6"/>
  <c r="D104" i="6" s="1"/>
  <c r="D95" i="6"/>
  <c r="E136" i="9"/>
  <c r="J79" i="9"/>
  <c r="J86" i="9" s="1"/>
  <c r="J92" i="9" s="1"/>
  <c r="J118" i="9"/>
  <c r="L118" i="9"/>
  <c r="P79" i="9"/>
  <c r="R204" i="9"/>
  <c r="D75" i="15"/>
  <c r="D85" i="15" s="1"/>
  <c r="F108" i="15"/>
  <c r="D103" i="15"/>
  <c r="D129" i="15"/>
  <c r="J74" i="15"/>
  <c r="K85" i="15"/>
  <c r="K108" i="15"/>
  <c r="J134" i="15"/>
  <c r="I34" i="17"/>
  <c r="I38" i="17" s="1"/>
  <c r="E28" i="17"/>
  <c r="D45" i="17"/>
  <c r="D52" i="17"/>
  <c r="J62" i="17"/>
  <c r="D63" i="17"/>
  <c r="J73" i="17"/>
  <c r="E166" i="17"/>
  <c r="E160" i="17" s="1"/>
  <c r="D123" i="19"/>
  <c r="S192" i="19"/>
  <c r="R40" i="19"/>
  <c r="R46" i="19" s="1"/>
  <c r="M132" i="19"/>
  <c r="I132" i="19"/>
  <c r="L192" i="19"/>
  <c r="T83" i="19"/>
  <c r="T131" i="19"/>
  <c r="C13" i="26"/>
  <c r="C17" i="26"/>
  <c r="E33" i="26"/>
  <c r="C88" i="26"/>
  <c r="E106" i="26"/>
  <c r="D11" i="26"/>
  <c r="D15" i="26"/>
  <c r="F23" i="26"/>
  <c r="D31" i="26"/>
  <c r="D70" i="26"/>
  <c r="D76" i="26"/>
  <c r="D81" i="26"/>
  <c r="D85" i="26"/>
  <c r="D90" i="26"/>
  <c r="D94" i="26"/>
  <c r="DV107" i="26"/>
  <c r="E62" i="19"/>
  <c r="U105" i="19"/>
  <c r="Q86" i="9"/>
  <c r="Q92" i="9" s="1"/>
  <c r="Q180" i="9" s="1"/>
  <c r="Q206" i="9" s="1"/>
  <c r="C25" i="11"/>
  <c r="F22" i="20"/>
  <c r="C18" i="23"/>
  <c r="F18" i="23" s="1"/>
  <c r="E18" i="6"/>
  <c r="I88" i="9"/>
  <c r="E61" i="9"/>
  <c r="O86" i="9"/>
  <c r="O92" i="9" s="1"/>
  <c r="E31" i="15"/>
  <c r="D64" i="15"/>
  <c r="D71" i="15"/>
  <c r="D153" i="15"/>
  <c r="D80" i="17"/>
  <c r="F101" i="17"/>
  <c r="H148" i="17"/>
  <c r="E44" i="19"/>
  <c r="I192" i="19"/>
  <c r="K40" i="19"/>
  <c r="K46" i="19" s="1"/>
  <c r="K142" i="19" s="1"/>
  <c r="C7" i="26"/>
  <c r="C11" i="26"/>
  <c r="C15" i="26"/>
  <c r="C25" i="26"/>
  <c r="M38" i="26"/>
  <c r="M43" i="26" s="1"/>
  <c r="C28" i="26"/>
  <c r="G33" i="26"/>
  <c r="Q38" i="26"/>
  <c r="Q43" i="26" s="1"/>
  <c r="DS44" i="26"/>
  <c r="DS107" i="26" s="1"/>
  <c r="C42" i="26"/>
  <c r="C64" i="26"/>
  <c r="D95" i="26"/>
  <c r="D97" i="26"/>
  <c r="AR38" i="26"/>
  <c r="AR43" i="26" s="1"/>
  <c r="DP38" i="26"/>
  <c r="DP43" i="26" s="1"/>
  <c r="BJ38" i="26"/>
  <c r="BJ43" i="26" s="1"/>
  <c r="BL38" i="26"/>
  <c r="BL43" i="26" s="1"/>
  <c r="BL44" i="26" s="1"/>
  <c r="BL107" i="26" s="1"/>
  <c r="BX44" i="26"/>
  <c r="BX107" i="26" s="1"/>
  <c r="CB44" i="26"/>
  <c r="CX44" i="26"/>
  <c r="CX107" i="26" s="1"/>
  <c r="DD44" i="26"/>
  <c r="DD107" i="26" s="1"/>
  <c r="DF44" i="26"/>
  <c r="DL44" i="26"/>
  <c r="DT44" i="26"/>
  <c r="DT107" i="26" s="1"/>
  <c r="DN44" i="26"/>
  <c r="DN107" i="26" s="1"/>
  <c r="Q45" i="19"/>
  <c r="Q46" i="19" s="1"/>
  <c r="AF38" i="26"/>
  <c r="AF43" i="26" s="1"/>
  <c r="Z44" i="26"/>
  <c r="J18" i="10"/>
  <c r="M14" i="20"/>
  <c r="M8" i="20" s="1"/>
  <c r="I39" i="18"/>
  <c r="K39" i="18" s="1"/>
  <c r="N23" i="14"/>
  <c r="Q28" i="14"/>
  <c r="Q25" i="18"/>
  <c r="N9" i="7"/>
  <c r="N20" i="5"/>
  <c r="P22" i="12"/>
  <c r="V17" i="20"/>
  <c r="R36" i="10"/>
  <c r="V34" i="24"/>
  <c r="R31" i="11"/>
  <c r="V57" i="11"/>
  <c r="F24" i="16" s="1"/>
  <c r="D23" i="35"/>
  <c r="D34" i="35" s="1"/>
  <c r="D3" i="35" s="1"/>
  <c r="E11" i="37"/>
  <c r="F23" i="20"/>
  <c r="F31" i="20"/>
  <c r="D19" i="11"/>
  <c r="E6" i="11"/>
  <c r="E5" i="11" s="1"/>
  <c r="E42" i="11"/>
  <c r="E39" i="11" s="1"/>
  <c r="D28" i="11"/>
  <c r="F28" i="11" s="1"/>
  <c r="E6" i="10"/>
  <c r="E93" i="10"/>
  <c r="E92" i="10" s="1"/>
  <c r="D41" i="10"/>
  <c r="D25" i="10"/>
  <c r="G22" i="8"/>
  <c r="F22" i="8"/>
  <c r="G22" i="18"/>
  <c r="G8" i="12"/>
  <c r="H25" i="12"/>
  <c r="F22" i="12"/>
  <c r="H22" i="12" s="1"/>
  <c r="J20" i="30"/>
  <c r="H25" i="20"/>
  <c r="J41" i="23"/>
  <c r="I41" i="10"/>
  <c r="F39" i="37"/>
  <c r="H39" i="37" s="1"/>
  <c r="K28" i="37"/>
  <c r="K20" i="7"/>
  <c r="J8" i="2"/>
  <c r="K11" i="12"/>
  <c r="M25" i="20"/>
  <c r="L32" i="24"/>
  <c r="N34" i="24"/>
  <c r="P8" i="8"/>
  <c r="N9" i="14"/>
  <c r="Q20" i="14"/>
  <c r="M8" i="18"/>
  <c r="O22" i="5"/>
  <c r="N25" i="2"/>
  <c r="R9" i="20"/>
  <c r="R17" i="20"/>
  <c r="V94" i="10"/>
  <c r="E28" i="37"/>
  <c r="F57" i="11"/>
  <c r="C24" i="16" s="1"/>
  <c r="F28" i="24"/>
  <c r="F31" i="24"/>
  <c r="F34" i="24"/>
  <c r="H25" i="14"/>
  <c r="J9" i="20"/>
  <c r="G9" i="11" s="1"/>
  <c r="K25" i="7"/>
  <c r="K11" i="2"/>
  <c r="K9" i="7"/>
  <c r="K26" i="24"/>
  <c r="N36" i="10"/>
  <c r="N28" i="8"/>
  <c r="N20" i="7"/>
  <c r="N25" i="7"/>
  <c r="P22" i="7"/>
  <c r="T25" i="20"/>
  <c r="V11" i="20"/>
  <c r="V26" i="20"/>
  <c r="U93" i="10"/>
  <c r="U92" i="10" s="1"/>
  <c r="V105" i="10"/>
  <c r="V28" i="24"/>
  <c r="D22" i="5"/>
  <c r="C8" i="2"/>
  <c r="E25" i="2"/>
  <c r="E28" i="2"/>
  <c r="E11" i="12"/>
  <c r="F102" i="10"/>
  <c r="F27" i="24"/>
  <c r="D32" i="24"/>
  <c r="F37" i="11"/>
  <c r="H25" i="7"/>
  <c r="G8" i="5"/>
  <c r="G30" i="5" s="1"/>
  <c r="H9" i="11"/>
  <c r="G41" i="10"/>
  <c r="H20" i="11"/>
  <c r="G36" i="11"/>
  <c r="G34" i="11" s="1"/>
  <c r="J22" i="37"/>
  <c r="K20" i="8"/>
  <c r="J22" i="8"/>
  <c r="K20" i="14"/>
  <c r="I22" i="14"/>
  <c r="K11" i="18"/>
  <c r="N28" i="24"/>
  <c r="L26" i="24"/>
  <c r="Q28" i="37"/>
  <c r="L8" i="18"/>
  <c r="L8" i="5"/>
  <c r="P22" i="5"/>
  <c r="Q25" i="2"/>
  <c r="V41" i="23"/>
  <c r="T31" i="23"/>
  <c r="R82" i="10"/>
  <c r="C5" i="28"/>
  <c r="C49" i="28" s="1"/>
  <c r="N28" i="30"/>
  <c r="D42" i="12"/>
  <c r="E44" i="12"/>
  <c r="K25" i="8"/>
  <c r="N23" i="8"/>
  <c r="E20" i="8"/>
  <c r="E25" i="8"/>
  <c r="D76" i="1"/>
  <c r="N17" i="20"/>
  <c r="K14" i="20"/>
  <c r="K8" i="20" s="1"/>
  <c r="L6" i="10"/>
  <c r="N18" i="10"/>
  <c r="L9" i="11"/>
  <c r="L5" i="11" s="1"/>
  <c r="M62" i="10"/>
  <c r="Q11" i="2"/>
  <c r="D52" i="1"/>
  <c r="H104" i="6"/>
  <c r="F130" i="6"/>
  <c r="M88" i="9"/>
  <c r="M79" i="9"/>
  <c r="E106" i="19"/>
  <c r="E110" i="19" s="1"/>
  <c r="D80" i="19"/>
  <c r="F105" i="19"/>
  <c r="D96" i="19"/>
  <c r="G34" i="26"/>
  <c r="AU44" i="26"/>
  <c r="AU107" i="26" s="1"/>
  <c r="F2" i="26"/>
  <c r="R18" i="26"/>
  <c r="R19" i="26"/>
  <c r="AF18" i="26"/>
  <c r="AF107" i="26" s="1"/>
  <c r="AF19" i="26"/>
  <c r="DH34" i="26"/>
  <c r="H32" i="26"/>
  <c r="E11" i="18"/>
  <c r="D18" i="11"/>
  <c r="D14" i="20"/>
  <c r="D8" i="20" s="1"/>
  <c r="D33" i="20" s="1"/>
  <c r="J20" i="20"/>
  <c r="G23" i="11"/>
  <c r="J23" i="11" s="1"/>
  <c r="I36" i="11"/>
  <c r="I34" i="11" s="1"/>
  <c r="I67" i="10"/>
  <c r="I47" i="11"/>
  <c r="I46" i="11" s="1"/>
  <c r="I93" i="10"/>
  <c r="I92" i="10" s="1"/>
  <c r="J100" i="10"/>
  <c r="G27" i="1"/>
  <c r="G40" i="1" s="1"/>
  <c r="G51" i="1"/>
  <c r="E51" i="1" s="1"/>
  <c r="H37" i="26"/>
  <c r="D35" i="26"/>
  <c r="U42" i="19"/>
  <c r="U45" i="19" s="1"/>
  <c r="U39" i="19"/>
  <c r="U40" i="19" s="1"/>
  <c r="K6" i="11"/>
  <c r="K5" i="11" s="1"/>
  <c r="L18" i="11"/>
  <c r="N18" i="11" s="1"/>
  <c r="N15" i="20"/>
  <c r="I48" i="1"/>
  <c r="I52" i="1" s="1"/>
  <c r="E174" i="1"/>
  <c r="E186" i="1" s="1"/>
  <c r="E49" i="4"/>
  <c r="G71" i="4"/>
  <c r="E71" i="4" s="1"/>
  <c r="I68" i="4"/>
  <c r="I69" i="4" s="1"/>
  <c r="G140" i="4"/>
  <c r="E136" i="4"/>
  <c r="E140" i="4" s="1"/>
  <c r="E174" i="6"/>
  <c r="E168" i="6" s="1"/>
  <c r="E180" i="6" s="1"/>
  <c r="G168" i="6"/>
  <c r="G180" i="6" s="1"/>
  <c r="D115" i="9"/>
  <c r="E222" i="9"/>
  <c r="E216" i="9" s="1"/>
  <c r="E228" i="9" s="1"/>
  <c r="G216" i="9"/>
  <c r="G228" i="9" s="1"/>
  <c r="G75" i="9"/>
  <c r="G74" i="9" s="1"/>
  <c r="E74" i="9" s="1"/>
  <c r="E6" i="9"/>
  <c r="E72" i="19"/>
  <c r="F96" i="17"/>
  <c r="F38" i="15"/>
  <c r="D22" i="15"/>
  <c r="D102" i="17"/>
  <c r="I147" i="17"/>
  <c r="E146" i="17"/>
  <c r="E147" i="17" s="1"/>
  <c r="E159" i="15"/>
  <c r="G165" i="19"/>
  <c r="E164" i="19"/>
  <c r="E186" i="19"/>
  <c r="G180" i="19"/>
  <c r="G192" i="19" s="1"/>
  <c r="S40" i="19"/>
  <c r="S46" i="19" s="1"/>
  <c r="M42" i="19"/>
  <c r="M45" i="19" s="1"/>
  <c r="M39" i="19"/>
  <c r="M40" i="19" s="1"/>
  <c r="BW107" i="26"/>
  <c r="BC44" i="26"/>
  <c r="CI38" i="26"/>
  <c r="CI43" i="26" s="1"/>
  <c r="CI44" i="26" s="1"/>
  <c r="CI107" i="26" s="1"/>
  <c r="DO38" i="26"/>
  <c r="DO43" i="26" s="1"/>
  <c r="CW44" i="26"/>
  <c r="CW107" i="26" s="1"/>
  <c r="E154" i="19"/>
  <c r="G158" i="19"/>
  <c r="G159" i="19" s="1"/>
  <c r="E9" i="18"/>
  <c r="C8" i="18"/>
  <c r="E23" i="18"/>
  <c r="C22" i="5"/>
  <c r="J18" i="20"/>
  <c r="G21" i="11"/>
  <c r="J21" i="11" s="1"/>
  <c r="G14" i="20"/>
  <c r="G8" i="20" s="1"/>
  <c r="G109" i="6"/>
  <c r="E105" i="6"/>
  <c r="E109" i="6" s="1"/>
  <c r="E16" i="19"/>
  <c r="E30" i="19" s="1"/>
  <c r="G42" i="19"/>
  <c r="G30" i="19"/>
  <c r="G40" i="19" s="1"/>
  <c r="I8" i="5"/>
  <c r="K11" i="5"/>
  <c r="M11" i="11"/>
  <c r="M25" i="10"/>
  <c r="O8" i="5"/>
  <c r="Q11" i="5"/>
  <c r="Q28" i="2"/>
  <c r="D77" i="1"/>
  <c r="I115" i="1"/>
  <c r="E111" i="1"/>
  <c r="E115" i="1" s="1"/>
  <c r="F76" i="1"/>
  <c r="H136" i="1"/>
  <c r="D174" i="1"/>
  <c r="D186" i="1" s="1"/>
  <c r="I112" i="4"/>
  <c r="F31" i="6"/>
  <c r="F38" i="6" s="1"/>
  <c r="F44" i="6" s="1"/>
  <c r="D26" i="6"/>
  <c r="D31" i="6" s="1"/>
  <c r="F109" i="6"/>
  <c r="D105" i="6"/>
  <c r="D109" i="6" s="1"/>
  <c r="D168" i="6"/>
  <c r="D180" i="6" s="1"/>
  <c r="H178" i="9"/>
  <c r="E161" i="9"/>
  <c r="E170" i="9"/>
  <c r="L85" i="9"/>
  <c r="L152" i="9"/>
  <c r="L204" i="9"/>
  <c r="N118" i="9"/>
  <c r="N178" i="9"/>
  <c r="N204" i="9"/>
  <c r="D203" i="9"/>
  <c r="D204" i="9" s="1"/>
  <c r="D216" i="9"/>
  <c r="D228" i="9" s="1"/>
  <c r="D92" i="15"/>
  <c r="J108" i="15"/>
  <c r="D91" i="17"/>
  <c r="E97" i="17"/>
  <c r="E101" i="17" s="1"/>
  <c r="I141" i="17"/>
  <c r="E140" i="17"/>
  <c r="E141" i="17" s="1"/>
  <c r="E172" i="17"/>
  <c r="D111" i="19"/>
  <c r="L132" i="19"/>
  <c r="U72" i="19"/>
  <c r="U113" i="19" s="1"/>
  <c r="U111" i="19" s="1"/>
  <c r="U131" i="19" s="1"/>
  <c r="D34" i="19"/>
  <c r="H79" i="26"/>
  <c r="C22" i="18"/>
  <c r="F36" i="10"/>
  <c r="C67" i="10"/>
  <c r="F67" i="10" s="1"/>
  <c r="F69" i="10"/>
  <c r="M87" i="9"/>
  <c r="M91" i="9" s="1"/>
  <c r="E165" i="9"/>
  <c r="H160" i="15"/>
  <c r="E24" i="17"/>
  <c r="E80" i="17"/>
  <c r="I96" i="17"/>
  <c r="I122" i="17"/>
  <c r="K122" i="17"/>
  <c r="E83" i="19"/>
  <c r="E180" i="19"/>
  <c r="E192" i="19" s="1"/>
  <c r="D159" i="19"/>
  <c r="D165" i="19"/>
  <c r="D180" i="19"/>
  <c r="D192" i="19" s="1"/>
  <c r="K132" i="19"/>
  <c r="L40" i="19"/>
  <c r="L46" i="19" s="1"/>
  <c r="P30" i="19"/>
  <c r="P40" i="19" s="1"/>
  <c r="P46" i="19" s="1"/>
  <c r="AC38" i="26"/>
  <c r="AC43" i="26" s="1"/>
  <c r="S44" i="26"/>
  <c r="S107" i="26" s="1"/>
  <c r="BQ44" i="26"/>
  <c r="BQ107" i="26" s="1"/>
  <c r="BY44" i="26"/>
  <c r="H106" i="26"/>
  <c r="G106" i="26"/>
  <c r="D12" i="26"/>
  <c r="D16" i="26"/>
  <c r="CB107" i="26"/>
  <c r="L73" i="26"/>
  <c r="L74" i="26" s="1"/>
  <c r="F67" i="26"/>
  <c r="D67" i="26" s="1"/>
  <c r="C59" i="26"/>
  <c r="E11" i="14"/>
  <c r="E25" i="14"/>
  <c r="C22" i="7"/>
  <c r="E25" i="5"/>
  <c r="E28" i="5"/>
  <c r="C22" i="12"/>
  <c r="E28" i="12"/>
  <c r="E25" i="10"/>
  <c r="E13" i="11"/>
  <c r="F32" i="10"/>
  <c r="F22" i="7"/>
  <c r="H23" i="7"/>
  <c r="J31" i="20"/>
  <c r="H11" i="11"/>
  <c r="H10" i="11" s="1"/>
  <c r="H25" i="10"/>
  <c r="F37" i="18"/>
  <c r="H37" i="18" s="1"/>
  <c r="J36" i="30"/>
  <c r="F37" i="8"/>
  <c r="H37" i="8" s="1"/>
  <c r="K9" i="14"/>
  <c r="N41" i="20"/>
  <c r="N20" i="30"/>
  <c r="I37" i="8"/>
  <c r="K37" i="8" s="1"/>
  <c r="I37" i="7"/>
  <c r="I36" i="7" s="1"/>
  <c r="N25" i="14"/>
  <c r="M118" i="9"/>
  <c r="D131" i="1"/>
  <c r="D130" i="4"/>
  <c r="E153" i="4"/>
  <c r="E156" i="4"/>
  <c r="F104" i="6"/>
  <c r="E125" i="6"/>
  <c r="F79" i="9"/>
  <c r="F86" i="9" s="1"/>
  <c r="F92" i="9" s="1"/>
  <c r="D126" i="9"/>
  <c r="E134" i="9"/>
  <c r="H152" i="9"/>
  <c r="H179" i="9" s="1"/>
  <c r="D143" i="9"/>
  <c r="D147" i="9"/>
  <c r="F178" i="9"/>
  <c r="D165" i="9"/>
  <c r="D170" i="9"/>
  <c r="D173" i="9"/>
  <c r="E196" i="9"/>
  <c r="E197" i="9" s="1"/>
  <c r="D140" i="9"/>
  <c r="N79" i="9"/>
  <c r="N152" i="9"/>
  <c r="D61" i="9"/>
  <c r="E108" i="9"/>
  <c r="D38" i="17"/>
  <c r="F30" i="19"/>
  <c r="F40" i="19" s="1"/>
  <c r="F46" i="19" s="1"/>
  <c r="H44" i="15"/>
  <c r="F73" i="17"/>
  <c r="I38" i="15"/>
  <c r="I45" i="15" s="1"/>
  <c r="I51" i="15" s="1"/>
  <c r="E22" i="15"/>
  <c r="H45" i="15"/>
  <c r="E36" i="15"/>
  <c r="E82" i="15"/>
  <c r="D86" i="15"/>
  <c r="D99" i="15"/>
  <c r="E109" i="15"/>
  <c r="E113" i="15" s="1"/>
  <c r="F134" i="15"/>
  <c r="D121" i="15"/>
  <c r="D126" i="15"/>
  <c r="K134" i="15"/>
  <c r="K135" i="15" s="1"/>
  <c r="D28" i="17"/>
  <c r="E30" i="17"/>
  <c r="E32" i="17" s="1"/>
  <c r="I62" i="17"/>
  <c r="K62" i="17"/>
  <c r="E59" i="17"/>
  <c r="E63" i="17"/>
  <c r="K73" i="17"/>
  <c r="E70" i="17"/>
  <c r="G96" i="17"/>
  <c r="K96" i="17"/>
  <c r="D105" i="17"/>
  <c r="P192" i="19"/>
  <c r="D141" i="19"/>
  <c r="D84" i="19"/>
  <c r="D100" i="19"/>
  <c r="H18" i="26"/>
  <c r="AE38" i="26"/>
  <c r="AE43" i="26" s="1"/>
  <c r="AE44" i="26" s="1"/>
  <c r="AW44" i="26"/>
  <c r="AW107" i="26" s="1"/>
  <c r="BE38" i="26"/>
  <c r="BE43" i="26" s="1"/>
  <c r="BM44" i="26"/>
  <c r="BM107" i="26" s="1"/>
  <c r="CK44" i="26"/>
  <c r="CK107" i="26" s="1"/>
  <c r="CS44" i="26"/>
  <c r="CS107" i="26" s="1"/>
  <c r="DA44" i="26"/>
  <c r="DA107" i="26" s="1"/>
  <c r="DI44" i="26"/>
  <c r="C24" i="26"/>
  <c r="D46" i="26"/>
  <c r="D89" i="26"/>
  <c r="AJ44" i="26"/>
  <c r="AJ107" i="26" s="1"/>
  <c r="BT66" i="26"/>
  <c r="BZ44" i="26"/>
  <c r="CD44" i="26"/>
  <c r="CD107" i="26" s="1"/>
  <c r="CN44" i="26"/>
  <c r="CN107" i="26" s="1"/>
  <c r="CP44" i="26"/>
  <c r="CR44" i="26"/>
  <c r="CR107" i="26" s="1"/>
  <c r="CV44" i="26"/>
  <c r="CV107" i="26" s="1"/>
  <c r="DF53" i="26"/>
  <c r="DF107" i="26" s="1"/>
  <c r="H50" i="26"/>
  <c r="D50" i="26" s="1"/>
  <c r="C50" i="26"/>
  <c r="E36" i="19"/>
  <c r="H33" i="26"/>
  <c r="D33" i="26" s="1"/>
  <c r="BP34" i="26"/>
  <c r="D32" i="31"/>
  <c r="D3" i="31" s="1"/>
  <c r="F18" i="10"/>
  <c r="D21" i="11"/>
  <c r="F21" i="11" s="1"/>
  <c r="F18" i="20"/>
  <c r="D24" i="11"/>
  <c r="F24" i="11" s="1"/>
  <c r="F21" i="20"/>
  <c r="C13" i="11"/>
  <c r="H28" i="5"/>
  <c r="H9" i="12"/>
  <c r="N36" i="30"/>
  <c r="M152" i="9"/>
  <c r="E147" i="9"/>
  <c r="E44" i="1"/>
  <c r="G110" i="1"/>
  <c r="D155" i="1"/>
  <c r="D161" i="1"/>
  <c r="D98" i="26"/>
  <c r="I40" i="1"/>
  <c r="I47" i="1" s="1"/>
  <c r="F40" i="1"/>
  <c r="F47" i="1" s="1"/>
  <c r="F53" i="1" s="1"/>
  <c r="D42" i="1"/>
  <c r="D46" i="1" s="1"/>
  <c r="H76" i="1"/>
  <c r="H137" i="1" s="1"/>
  <c r="E73" i="1"/>
  <c r="I87" i="1"/>
  <c r="I118" i="1" s="1"/>
  <c r="I116" i="1" s="1"/>
  <c r="I136" i="1" s="1"/>
  <c r="I137" i="1" s="1"/>
  <c r="E119" i="1"/>
  <c r="E123" i="1"/>
  <c r="E128" i="1"/>
  <c r="E91" i="4"/>
  <c r="E109" i="4"/>
  <c r="G135" i="4"/>
  <c r="H135" i="4"/>
  <c r="E130" i="4"/>
  <c r="D148" i="4"/>
  <c r="D110" i="6"/>
  <c r="D67" i="6"/>
  <c r="E78" i="6"/>
  <c r="E81" i="6" s="1"/>
  <c r="G104" i="6"/>
  <c r="E86" i="6"/>
  <c r="D117" i="6"/>
  <c r="E119" i="9"/>
  <c r="I152" i="9"/>
  <c r="I160" i="9" s="1"/>
  <c r="I158" i="9" s="1"/>
  <c r="I178" i="9" s="1"/>
  <c r="I179" i="9" s="1"/>
  <c r="D101" i="9"/>
  <c r="L129" i="9"/>
  <c r="P129" i="9"/>
  <c r="K204" i="9"/>
  <c r="O204" i="9"/>
  <c r="I45" i="19"/>
  <c r="I46" i="19" s="1"/>
  <c r="H74" i="15"/>
  <c r="G74" i="15"/>
  <c r="E71" i="15"/>
  <c r="D82" i="15"/>
  <c r="E86" i="15"/>
  <c r="H134" i="15"/>
  <c r="E117" i="15"/>
  <c r="E126" i="15"/>
  <c r="E129" i="15"/>
  <c r="F160" i="15"/>
  <c r="D159" i="15"/>
  <c r="D160" i="15" s="1"/>
  <c r="E37" i="17"/>
  <c r="D22" i="17"/>
  <c r="E91" i="17"/>
  <c r="E114" i="17"/>
  <c r="E117" i="17"/>
  <c r="D141" i="17"/>
  <c r="D160" i="17"/>
  <c r="D172" i="17" s="1"/>
  <c r="F131" i="19"/>
  <c r="D28" i="19"/>
  <c r="F83" i="19"/>
  <c r="F132" i="19" s="1"/>
  <c r="F142" i="19" s="1"/>
  <c r="D126" i="19"/>
  <c r="N83" i="19"/>
  <c r="N105" i="19"/>
  <c r="BE44" i="26"/>
  <c r="BE107" i="26" s="1"/>
  <c r="DQ107" i="26"/>
  <c r="E19" i="26"/>
  <c r="C19" i="26" s="1"/>
  <c r="G23" i="26"/>
  <c r="K38" i="26"/>
  <c r="K43" i="26" s="1"/>
  <c r="K44" i="26" s="1"/>
  <c r="K107" i="26" s="1"/>
  <c r="AA44" i="26"/>
  <c r="AA107" i="26" s="1"/>
  <c r="G37" i="26"/>
  <c r="C35" i="26"/>
  <c r="C40" i="26"/>
  <c r="Y44" i="26"/>
  <c r="Y107" i="26" s="1"/>
  <c r="DC44" i="26"/>
  <c r="DC107" i="26" s="1"/>
  <c r="D69" i="26"/>
  <c r="F88" i="26"/>
  <c r="D80" i="26"/>
  <c r="D84" i="26"/>
  <c r="F106" i="26"/>
  <c r="AL44" i="26"/>
  <c r="AL107" i="26" s="1"/>
  <c r="AT44" i="26"/>
  <c r="AT107" i="26" s="1"/>
  <c r="AX44" i="26"/>
  <c r="AX107" i="26" s="1"/>
  <c r="AV44" i="26"/>
  <c r="AV107" i="26" s="1"/>
  <c r="AZ44" i="26"/>
  <c r="AZ107" i="26" s="1"/>
  <c r="BD44" i="26"/>
  <c r="BD107" i="26" s="1"/>
  <c r="BH44" i="26"/>
  <c r="BH107" i="26" s="1"/>
  <c r="G41" i="19"/>
  <c r="G45" i="19" s="1"/>
  <c r="L73" i="17"/>
  <c r="C3" i="31"/>
  <c r="D8" i="8"/>
  <c r="E9" i="8"/>
  <c r="E11" i="8"/>
  <c r="D22" i="8"/>
  <c r="F20" i="10"/>
  <c r="C18" i="11"/>
  <c r="C14" i="20"/>
  <c r="C8" i="20" s="1"/>
  <c r="F54" i="11"/>
  <c r="C19" i="16" s="1"/>
  <c r="C18" i="16" s="1"/>
  <c r="H28" i="37"/>
  <c r="G8" i="8"/>
  <c r="H43" i="11"/>
  <c r="J43" i="11" s="1"/>
  <c r="J82" i="10"/>
  <c r="N192" i="19"/>
  <c r="D4" i="26"/>
  <c r="D8" i="26"/>
  <c r="C12" i="26"/>
  <c r="C14" i="26"/>
  <c r="AY44" i="26"/>
  <c r="AY107" i="26" s="1"/>
  <c r="BG44" i="26"/>
  <c r="CM44" i="26"/>
  <c r="CM107" i="26" s="1"/>
  <c r="D28" i="26"/>
  <c r="C30" i="26"/>
  <c r="M44" i="26"/>
  <c r="U44" i="26"/>
  <c r="BS44" i="26"/>
  <c r="CA44" i="26"/>
  <c r="CQ44" i="26"/>
  <c r="CQ107" i="26" s="1"/>
  <c r="CY44" i="26"/>
  <c r="DG44" i="26"/>
  <c r="D40" i="26"/>
  <c r="AS44" i="26"/>
  <c r="AS107" i="26" s="1"/>
  <c r="DM44" i="26"/>
  <c r="DM107" i="26" s="1"/>
  <c r="E73" i="26"/>
  <c r="E74" i="26" s="1"/>
  <c r="D102" i="26"/>
  <c r="F34" i="26"/>
  <c r="L38" i="26"/>
  <c r="T44" i="26"/>
  <c r="T107" i="26" s="1"/>
  <c r="V44" i="26"/>
  <c r="V107" i="26" s="1"/>
  <c r="AB44" i="26"/>
  <c r="AB107" i="26" s="1"/>
  <c r="BN44" i="26"/>
  <c r="BN107" i="26" s="1"/>
  <c r="BR44" i="26"/>
  <c r="BR107" i="26" s="1"/>
  <c r="CF44" i="26"/>
  <c r="CF107" i="26" s="1"/>
  <c r="CH44" i="26"/>
  <c r="CH107" i="26" s="1"/>
  <c r="C19" i="36"/>
  <c r="L122" i="17"/>
  <c r="L148" i="17"/>
  <c r="G6" i="4"/>
  <c r="G58" i="4" s="1"/>
  <c r="G57" i="4" s="1"/>
  <c r="E57" i="4" s="1"/>
  <c r="E9" i="37"/>
  <c r="E20" i="14"/>
  <c r="D22" i="14"/>
  <c r="E28" i="18"/>
  <c r="E23" i="7"/>
  <c r="E25" i="7"/>
  <c r="E11" i="5"/>
  <c r="E23" i="5"/>
  <c r="E20" i="2"/>
  <c r="F28" i="20"/>
  <c r="F31" i="11"/>
  <c r="E14" i="11"/>
  <c r="E30" i="11"/>
  <c r="G22" i="37"/>
  <c r="J55" i="10"/>
  <c r="I9" i="11"/>
  <c r="I6" i="10"/>
  <c r="G20" i="11"/>
  <c r="J46" i="10"/>
  <c r="J55" i="30"/>
  <c r="N46" i="10"/>
  <c r="K20" i="11"/>
  <c r="J8" i="8"/>
  <c r="R30" i="24"/>
  <c r="S43" i="11"/>
  <c r="S39" i="11" s="1"/>
  <c r="V82" i="10"/>
  <c r="Q39" i="2"/>
  <c r="J132" i="19"/>
  <c r="P83" i="19"/>
  <c r="R132" i="19"/>
  <c r="R142" i="19" s="1"/>
  <c r="R168" i="19" s="1"/>
  <c r="H132" i="19"/>
  <c r="H142" i="19" s="1"/>
  <c r="H168" i="19" s="1"/>
  <c r="D93" i="19"/>
  <c r="U192" i="19"/>
  <c r="Q192" i="19"/>
  <c r="I166" i="19"/>
  <c r="O166" i="19"/>
  <c r="D45" i="19"/>
  <c r="D7" i="26"/>
  <c r="H34" i="26"/>
  <c r="C29" i="26"/>
  <c r="C31" i="26"/>
  <c r="C41" i="26"/>
  <c r="G59" i="26"/>
  <c r="D48" i="26"/>
  <c r="D57" i="26"/>
  <c r="D61" i="26"/>
  <c r="F79" i="26"/>
  <c r="D100" i="26"/>
  <c r="D104" i="26"/>
  <c r="BT44" i="26"/>
  <c r="BV44" i="26"/>
  <c r="AF44" i="26"/>
  <c r="Q179" i="9"/>
  <c r="M32" i="17"/>
  <c r="M33" i="17" s="1"/>
  <c r="M39" i="17" s="1"/>
  <c r="M73" i="17"/>
  <c r="M96" i="17"/>
  <c r="M104" i="17" s="1"/>
  <c r="M102" i="17" s="1"/>
  <c r="M122" i="17" s="1"/>
  <c r="M148" i="17"/>
  <c r="C5" i="35"/>
  <c r="C18" i="35" s="1"/>
  <c r="C3" i="35" s="1"/>
  <c r="C8" i="8"/>
  <c r="E25" i="18"/>
  <c r="E11" i="7"/>
  <c r="D45" i="20"/>
  <c r="F9" i="20"/>
  <c r="H25" i="8"/>
  <c r="H9" i="18"/>
  <c r="G8" i="18"/>
  <c r="I45" i="20"/>
  <c r="H92" i="10"/>
  <c r="J105" i="10"/>
  <c r="J20" i="10"/>
  <c r="J57" i="11"/>
  <c r="H38" i="12"/>
  <c r="K23" i="37"/>
  <c r="I22" i="37"/>
  <c r="K25" i="37"/>
  <c r="J8" i="18"/>
  <c r="K20" i="5"/>
  <c r="K93" i="10"/>
  <c r="K11" i="11"/>
  <c r="N26" i="10"/>
  <c r="M19" i="11"/>
  <c r="M41" i="10"/>
  <c r="L36" i="11"/>
  <c r="N36" i="11" s="1"/>
  <c r="N69" i="10"/>
  <c r="M22" i="8"/>
  <c r="P30" i="5"/>
  <c r="F105" i="10"/>
  <c r="F55" i="10"/>
  <c r="D93" i="10"/>
  <c r="D92" i="10" s="1"/>
  <c r="H9" i="8"/>
  <c r="H28" i="8"/>
  <c r="F22" i="18"/>
  <c r="G8" i="7"/>
  <c r="H20" i="5"/>
  <c r="H25" i="5"/>
  <c r="J23" i="20"/>
  <c r="G25" i="20"/>
  <c r="J78" i="10"/>
  <c r="J28" i="24"/>
  <c r="J34" i="24"/>
  <c r="J51" i="10"/>
  <c r="J22" i="20"/>
  <c r="G26" i="11"/>
  <c r="H11" i="23"/>
  <c r="H8" i="24" s="1"/>
  <c r="K28" i="8"/>
  <c r="K25" i="18"/>
  <c r="I22" i="7"/>
  <c r="K23" i="7"/>
  <c r="K25" i="5"/>
  <c r="J22" i="2"/>
  <c r="L25" i="20"/>
  <c r="N47" i="20"/>
  <c r="M93" i="10"/>
  <c r="M92" i="10" s="1"/>
  <c r="N7" i="11"/>
  <c r="L23" i="11"/>
  <c r="N23" i="11" s="1"/>
  <c r="M22" i="37"/>
  <c r="N23" i="37"/>
  <c r="M8" i="8"/>
  <c r="O22" i="14"/>
  <c r="Q20" i="18"/>
  <c r="Q25" i="5"/>
  <c r="V36" i="10"/>
  <c r="T9" i="11"/>
  <c r="T5" i="11" s="1"/>
  <c r="V18" i="10"/>
  <c r="T36" i="11"/>
  <c r="V69" i="10"/>
  <c r="H23" i="8"/>
  <c r="H25" i="18"/>
  <c r="H11" i="7"/>
  <c r="H28" i="7"/>
  <c r="H23" i="5"/>
  <c r="H9" i="2"/>
  <c r="H28" i="12"/>
  <c r="J94" i="10"/>
  <c r="H32" i="24"/>
  <c r="I14" i="20"/>
  <c r="I8" i="20" s="1"/>
  <c r="I33" i="20" s="1"/>
  <c r="K9" i="37"/>
  <c r="K20" i="37"/>
  <c r="K9" i="8"/>
  <c r="K23" i="8"/>
  <c r="K23" i="14"/>
  <c r="J8" i="14"/>
  <c r="K9" i="18"/>
  <c r="K20" i="18"/>
  <c r="J22" i="18"/>
  <c r="K20" i="2"/>
  <c r="N23" i="20"/>
  <c r="N30" i="24"/>
  <c r="N44" i="10"/>
  <c r="K43" i="10"/>
  <c r="K39" i="12"/>
  <c r="N13" i="30"/>
  <c r="R79" i="30"/>
  <c r="Q9" i="37"/>
  <c r="Q23" i="37"/>
  <c r="P22" i="8"/>
  <c r="Q23" i="8"/>
  <c r="Q28" i="8"/>
  <c r="O8" i="14"/>
  <c r="Q25" i="7"/>
  <c r="R18" i="20"/>
  <c r="R21" i="11"/>
  <c r="P25" i="11"/>
  <c r="R25" i="11" s="1"/>
  <c r="R22" i="20"/>
  <c r="O25" i="20"/>
  <c r="R26" i="20"/>
  <c r="T21" i="11"/>
  <c r="V21" i="11" s="1"/>
  <c r="V18" i="20"/>
  <c r="V9" i="20"/>
  <c r="P9" i="11"/>
  <c r="P5" i="11" s="1"/>
  <c r="R18" i="10"/>
  <c r="U43" i="11"/>
  <c r="U39" i="11" s="1"/>
  <c r="U75" i="10"/>
  <c r="U62" i="10" s="1"/>
  <c r="J22" i="14"/>
  <c r="K23" i="18"/>
  <c r="K23" i="5"/>
  <c r="K25" i="12"/>
  <c r="N11" i="20"/>
  <c r="E5" i="35"/>
  <c r="E18" i="35" s="1"/>
  <c r="E3" i="35" s="1"/>
  <c r="N41" i="23"/>
  <c r="N63" i="10"/>
  <c r="N94" i="10"/>
  <c r="K44" i="12"/>
  <c r="L15" i="23"/>
  <c r="N15" i="23" s="1"/>
  <c r="N28" i="37"/>
  <c r="L8" i="37"/>
  <c r="Q20" i="37"/>
  <c r="M22" i="14"/>
  <c r="L8" i="14"/>
  <c r="P8" i="7"/>
  <c r="M22" i="5"/>
  <c r="P8" i="12"/>
  <c r="R21" i="20"/>
  <c r="R31" i="20"/>
  <c r="P18" i="24"/>
  <c r="V23" i="20"/>
  <c r="V31" i="20"/>
  <c r="V28" i="20"/>
  <c r="R20" i="10"/>
  <c r="Q75" i="10"/>
  <c r="Q62" i="10" s="1"/>
  <c r="R100" i="10"/>
  <c r="V100" i="10"/>
  <c r="T41" i="10"/>
  <c r="Q32" i="24"/>
  <c r="R32" i="24" s="1"/>
  <c r="K20" i="16" s="1"/>
  <c r="P26" i="24"/>
  <c r="P25" i="24" s="1"/>
  <c r="R34" i="24"/>
  <c r="V31" i="24"/>
  <c r="T26" i="24"/>
  <c r="J22" i="5"/>
  <c r="K23" i="2"/>
  <c r="J8" i="12"/>
  <c r="J42" i="12"/>
  <c r="N20" i="37"/>
  <c r="P22" i="37"/>
  <c r="N20" i="8"/>
  <c r="O8" i="8"/>
  <c r="O22" i="8"/>
  <c r="M8" i="14"/>
  <c r="Q11" i="7"/>
  <c r="O22" i="7"/>
  <c r="Q11" i="12"/>
  <c r="P25" i="20"/>
  <c r="R41" i="23"/>
  <c r="U25" i="10"/>
  <c r="S26" i="24"/>
  <c r="R7" i="11"/>
  <c r="U12" i="11"/>
  <c r="V12" i="11" s="1"/>
  <c r="N23" i="7"/>
  <c r="N28" i="7"/>
  <c r="Q28" i="7"/>
  <c r="L22" i="5"/>
  <c r="Q28" i="5"/>
  <c r="Q20" i="5"/>
  <c r="M22" i="2"/>
  <c r="P8" i="2"/>
  <c r="Q20" i="2"/>
  <c r="R28" i="20"/>
  <c r="P31" i="23"/>
  <c r="Q93" i="10"/>
  <c r="Q92" i="10" s="1"/>
  <c r="R63" i="10"/>
  <c r="R31" i="24"/>
  <c r="O26" i="24"/>
  <c r="O25" i="24" s="1"/>
  <c r="S32" i="24"/>
  <c r="V32" i="24" s="1"/>
  <c r="L20" i="16" s="1"/>
  <c r="Q30" i="11"/>
  <c r="E26" i="11"/>
  <c r="F40" i="11"/>
  <c r="F9" i="11"/>
  <c r="Q14" i="11"/>
  <c r="Q10" i="11" s="1"/>
  <c r="R8" i="11"/>
  <c r="R32" i="11"/>
  <c r="F94" i="10"/>
  <c r="V49" i="11"/>
  <c r="V41" i="11"/>
  <c r="F49" i="11"/>
  <c r="F15" i="11"/>
  <c r="F33" i="11"/>
  <c r="R35" i="11"/>
  <c r="V33" i="11"/>
  <c r="V37" i="11"/>
  <c r="J42" i="11"/>
  <c r="N28" i="11"/>
  <c r="P14" i="11"/>
  <c r="P10" i="11" s="1"/>
  <c r="J15" i="11"/>
  <c r="M26" i="11"/>
  <c r="N42" i="11"/>
  <c r="L26" i="11"/>
  <c r="R40" i="11"/>
  <c r="P30" i="11"/>
  <c r="R56" i="11"/>
  <c r="E20" i="16" s="1"/>
  <c r="F12" i="11"/>
  <c r="N8" i="11"/>
  <c r="F8" i="11"/>
  <c r="F32" i="11"/>
  <c r="F38" i="11"/>
  <c r="J32" i="11"/>
  <c r="H30" i="11"/>
  <c r="J56" i="11"/>
  <c r="D20" i="16" s="1"/>
  <c r="N31" i="11"/>
  <c r="N38" i="7"/>
  <c r="E37" i="14"/>
  <c r="Q38" i="18"/>
  <c r="F43" i="20"/>
  <c r="N43" i="20"/>
  <c r="F44" i="20"/>
  <c r="F47" i="20"/>
  <c r="L45" i="20"/>
  <c r="R47" i="20"/>
  <c r="H45" i="20"/>
  <c r="J44" i="20"/>
  <c r="M45" i="20"/>
  <c r="M18" i="24"/>
  <c r="U45" i="20"/>
  <c r="V44" i="20"/>
  <c r="J48" i="20"/>
  <c r="L8" i="24"/>
  <c r="R48" i="20"/>
  <c r="D8" i="24"/>
  <c r="G39" i="20"/>
  <c r="J47" i="20"/>
  <c r="N48" i="20"/>
  <c r="F27" i="11"/>
  <c r="J25" i="11"/>
  <c r="S26" i="11"/>
  <c r="J106" i="26"/>
  <c r="J107" i="26" s="1"/>
  <c r="G87" i="1"/>
  <c r="E77" i="1"/>
  <c r="E87" i="1" s="1"/>
  <c r="G112" i="4"/>
  <c r="E102" i="4"/>
  <c r="G34" i="17"/>
  <c r="E22" i="17"/>
  <c r="F161" i="4"/>
  <c r="D144" i="4"/>
  <c r="D70" i="4"/>
  <c r="D74" i="4" s="1"/>
  <c r="G49" i="1"/>
  <c r="E49" i="1" s="1"/>
  <c r="E59" i="1"/>
  <c r="E76" i="1" s="1"/>
  <c r="F110" i="1"/>
  <c r="D88" i="1"/>
  <c r="D110" i="1" s="1"/>
  <c r="I135" i="4"/>
  <c r="E113" i="4"/>
  <c r="F135" i="4"/>
  <c r="D119" i="4"/>
  <c r="D135" i="4" s="1"/>
  <c r="D199" i="4"/>
  <c r="D211" i="4" s="1"/>
  <c r="I38" i="6"/>
  <c r="I44" i="6" s="1"/>
  <c r="G36" i="1"/>
  <c r="G35" i="1" s="1"/>
  <c r="E35" i="1" s="1"/>
  <c r="E6" i="1"/>
  <c r="E84" i="4"/>
  <c r="E101" i="4" s="1"/>
  <c r="G101" i="4"/>
  <c r="G46" i="1"/>
  <c r="E42" i="1"/>
  <c r="D116" i="1"/>
  <c r="F136" i="1"/>
  <c r="D87" i="1"/>
  <c r="E66" i="4"/>
  <c r="E68" i="4" s="1"/>
  <c r="D109" i="4"/>
  <c r="F112" i="4"/>
  <c r="I180" i="4"/>
  <c r="I187" i="4" s="1"/>
  <c r="E179" i="4"/>
  <c r="E180" i="4" s="1"/>
  <c r="L86" i="9"/>
  <c r="L92" i="9" s="1"/>
  <c r="D46" i="15"/>
  <c r="D50" i="15" s="1"/>
  <c r="H50" i="15"/>
  <c r="H51" i="15" s="1"/>
  <c r="E11" i="6"/>
  <c r="G31" i="6"/>
  <c r="E75" i="15"/>
  <c r="G85" i="15"/>
  <c r="J30" i="19"/>
  <c r="J40" i="19" s="1"/>
  <c r="J46" i="19" s="1"/>
  <c r="J142" i="19" s="1"/>
  <c r="D10" i="19"/>
  <c r="D30" i="19" s="1"/>
  <c r="E31" i="1"/>
  <c r="H46" i="1"/>
  <c r="H47" i="1" s="1"/>
  <c r="H53" i="1" s="1"/>
  <c r="D136" i="4"/>
  <c r="D140" i="4" s="1"/>
  <c r="G68" i="4"/>
  <c r="E154" i="1"/>
  <c r="E155" i="1" s="1"/>
  <c r="E185" i="4"/>
  <c r="E186" i="4" s="1"/>
  <c r="D57" i="4"/>
  <c r="D62" i="4" s="1"/>
  <c r="D39" i="6"/>
  <c r="D43" i="6" s="1"/>
  <c r="H130" i="6"/>
  <c r="H131" i="6" s="1"/>
  <c r="H31" i="6"/>
  <c r="I70" i="6"/>
  <c r="G81" i="6"/>
  <c r="G112" i="6" s="1"/>
  <c r="G110" i="6" s="1"/>
  <c r="G156" i="6"/>
  <c r="G85" i="9"/>
  <c r="E153" i="9"/>
  <c r="E157" i="9" s="1"/>
  <c r="G197" i="9"/>
  <c r="G204" i="9" s="1"/>
  <c r="D153" i="9"/>
  <c r="D157" i="9" s="1"/>
  <c r="G88" i="9"/>
  <c r="D83" i="9"/>
  <c r="F118" i="9"/>
  <c r="E115" i="9"/>
  <c r="E126" i="9"/>
  <c r="E129" i="9" s="1"/>
  <c r="G152" i="9"/>
  <c r="G160" i="9" s="1"/>
  <c r="G158" i="9" s="1"/>
  <c r="E130" i="9"/>
  <c r="I203" i="9"/>
  <c r="I204" i="9" s="1"/>
  <c r="E202" i="9"/>
  <c r="H79" i="9"/>
  <c r="N85" i="9"/>
  <c r="P85" i="9"/>
  <c r="P86" i="9" s="1"/>
  <c r="P92" i="9" s="1"/>
  <c r="R79" i="9"/>
  <c r="R86" i="9" s="1"/>
  <c r="R92" i="9" s="1"/>
  <c r="M85" i="9"/>
  <c r="E90" i="9"/>
  <c r="K129" i="9"/>
  <c r="E203" i="9"/>
  <c r="E204" i="9" s="1"/>
  <c r="D109" i="15"/>
  <c r="D113" i="15" s="1"/>
  <c r="G32" i="17"/>
  <c r="E158" i="19"/>
  <c r="E159" i="19" s="1"/>
  <c r="I35" i="17"/>
  <c r="E178" i="15"/>
  <c r="E172" i="15" s="1"/>
  <c r="E184" i="15" s="1"/>
  <c r="E64" i="15"/>
  <c r="E45" i="17"/>
  <c r="D117" i="15"/>
  <c r="D38" i="15"/>
  <c r="D172" i="15"/>
  <c r="D184" i="15" s="1"/>
  <c r="D96" i="15"/>
  <c r="D108" i="15" s="1"/>
  <c r="F26" i="17"/>
  <c r="D10" i="17"/>
  <c r="D26" i="17" s="1"/>
  <c r="F122" i="17"/>
  <c r="J122" i="17"/>
  <c r="P131" i="19"/>
  <c r="F166" i="19"/>
  <c r="F192" i="19"/>
  <c r="F110" i="19"/>
  <c r="D106" i="19"/>
  <c r="D110" i="19" s="1"/>
  <c r="J168" i="19"/>
  <c r="C36" i="26"/>
  <c r="E37" i="26"/>
  <c r="M107" i="26"/>
  <c r="U107" i="26"/>
  <c r="BK44" i="26"/>
  <c r="BK107" i="26" s="1"/>
  <c r="BS107" i="26"/>
  <c r="CA107" i="26"/>
  <c r="CY107" i="26"/>
  <c r="DG107" i="26"/>
  <c r="DO44" i="26"/>
  <c r="DO107" i="26" s="1"/>
  <c r="I78" i="9"/>
  <c r="I76" i="9" s="1"/>
  <c r="I79" i="9" s="1"/>
  <c r="I86" i="9" s="1"/>
  <c r="I87" i="9"/>
  <c r="D114" i="15"/>
  <c r="D134" i="15" s="1"/>
  <c r="D73" i="19"/>
  <c r="E74" i="17"/>
  <c r="U132" i="19"/>
  <c r="E15" i="17"/>
  <c r="I108" i="15"/>
  <c r="I116" i="15" s="1"/>
  <c r="I114" i="15" s="1"/>
  <c r="I134" i="15" s="1"/>
  <c r="F74" i="15"/>
  <c r="D57" i="15"/>
  <c r="E90" i="15"/>
  <c r="G159" i="15"/>
  <c r="G160" i="15" s="1"/>
  <c r="E105" i="17"/>
  <c r="G122" i="17"/>
  <c r="D148" i="17"/>
  <c r="D84" i="17"/>
  <c r="D96" i="17" s="1"/>
  <c r="H96" i="17"/>
  <c r="D114" i="19"/>
  <c r="K166" i="19"/>
  <c r="D88" i="26"/>
  <c r="L43" i="26"/>
  <c r="L44" i="26" s="1"/>
  <c r="N38" i="26"/>
  <c r="N43" i="26" s="1"/>
  <c r="N44" i="26" s="1"/>
  <c r="N107" i="26" s="1"/>
  <c r="P38" i="26"/>
  <c r="P43" i="26" s="1"/>
  <c r="P44" i="26" s="1"/>
  <c r="P107" i="26" s="1"/>
  <c r="R38" i="26"/>
  <c r="R43" i="26" s="1"/>
  <c r="R44" i="26" s="1"/>
  <c r="R107" i="26" s="1"/>
  <c r="X38" i="26"/>
  <c r="X43" i="26" s="1"/>
  <c r="X44" i="26" s="1"/>
  <c r="X107" i="26" s="1"/>
  <c r="K47" i="15"/>
  <c r="K50" i="15" s="1"/>
  <c r="K44" i="15"/>
  <c r="K45" i="15" s="1"/>
  <c r="G105" i="19"/>
  <c r="G113" i="19" s="1"/>
  <c r="G111" i="19" s="1"/>
  <c r="E89" i="19"/>
  <c r="F68" i="26"/>
  <c r="Z74" i="26"/>
  <c r="Z107" i="26" s="1"/>
  <c r="F22" i="11"/>
  <c r="F51" i="10"/>
  <c r="D53" i="6"/>
  <c r="D70" i="6" s="1"/>
  <c r="F152" i="9"/>
  <c r="D130" i="9"/>
  <c r="E74" i="15"/>
  <c r="G62" i="17"/>
  <c r="E52" i="17"/>
  <c r="O113" i="19"/>
  <c r="O111" i="19" s="1"/>
  <c r="O131" i="19" s="1"/>
  <c r="O132" i="19" s="1"/>
  <c r="C37" i="26"/>
  <c r="E126" i="4"/>
  <c r="G39" i="6"/>
  <c r="D33" i="6"/>
  <c r="D37" i="6" s="1"/>
  <c r="G37" i="6"/>
  <c r="E99" i="6"/>
  <c r="D122" i="6"/>
  <c r="I156" i="6"/>
  <c r="H91" i="9"/>
  <c r="H85" i="9"/>
  <c r="D57" i="9"/>
  <c r="D79" i="9" s="1"/>
  <c r="E88" i="9"/>
  <c r="D108" i="9"/>
  <c r="F129" i="9"/>
  <c r="D158" i="9"/>
  <c r="N86" i="9"/>
  <c r="N92" i="9" s="1"/>
  <c r="G76" i="1"/>
  <c r="I70" i="4"/>
  <c r="D91" i="4"/>
  <c r="D101" i="4" s="1"/>
  <c r="E123" i="4"/>
  <c r="H37" i="6"/>
  <c r="E31" i="6"/>
  <c r="E35" i="6"/>
  <c r="E37" i="6" s="1"/>
  <c r="E66" i="9"/>
  <c r="D81" i="9"/>
  <c r="D161" i="9"/>
  <c r="E101" i="9"/>
  <c r="E173" i="9"/>
  <c r="J152" i="9"/>
  <c r="E57" i="9"/>
  <c r="K87" i="9"/>
  <c r="K91" i="9" s="1"/>
  <c r="K92" i="9" s="1"/>
  <c r="L178" i="9"/>
  <c r="L179" i="9" s="1"/>
  <c r="K152" i="9"/>
  <c r="G46" i="15"/>
  <c r="E34" i="15"/>
  <c r="I73" i="17"/>
  <c r="I123" i="17" s="1"/>
  <c r="F123" i="17"/>
  <c r="G38" i="15"/>
  <c r="G45" i="15" s="1"/>
  <c r="G47" i="15"/>
  <c r="E47" i="15" s="1"/>
  <c r="D40" i="15"/>
  <c r="D44" i="15" s="1"/>
  <c r="F44" i="15"/>
  <c r="E96" i="15"/>
  <c r="E108" i="15" s="1"/>
  <c r="G108" i="15"/>
  <c r="E10" i="17"/>
  <c r="I26" i="17"/>
  <c r="G26" i="17"/>
  <c r="G35" i="17"/>
  <c r="F32" i="17"/>
  <c r="D30" i="17"/>
  <c r="D70" i="17"/>
  <c r="D73" i="17" s="1"/>
  <c r="H73" i="17"/>
  <c r="H123" i="17" s="1"/>
  <c r="H124" i="17" s="1"/>
  <c r="H150" i="17" s="1"/>
  <c r="J96" i="17"/>
  <c r="E84" i="17"/>
  <c r="E165" i="19"/>
  <c r="D39" i="19"/>
  <c r="D55" i="19"/>
  <c r="D72" i="19" s="1"/>
  <c r="S132" i="19"/>
  <c r="P105" i="19"/>
  <c r="J192" i="19"/>
  <c r="E141" i="19"/>
  <c r="BC107" i="26"/>
  <c r="E18" i="26"/>
  <c r="C3" i="26"/>
  <c r="BU44" i="26"/>
  <c r="BU107" i="26" s="1"/>
  <c r="DH38" i="26"/>
  <c r="DH43" i="26" s="1"/>
  <c r="DH44" i="26" s="1"/>
  <c r="DH107" i="26" s="1"/>
  <c r="E9" i="14"/>
  <c r="D8" i="14"/>
  <c r="C22" i="14"/>
  <c r="E23" i="14"/>
  <c r="E9" i="5"/>
  <c r="E20" i="5"/>
  <c r="C8" i="5"/>
  <c r="E9" i="2"/>
  <c r="D8" i="2"/>
  <c r="E11" i="2"/>
  <c r="C22" i="2"/>
  <c r="E23" i="2"/>
  <c r="O44" i="26"/>
  <c r="O107" i="26" s="1"/>
  <c r="AO44" i="26"/>
  <c r="AO107" i="26" s="1"/>
  <c r="CC44" i="26"/>
  <c r="CC107" i="26" s="1"/>
  <c r="D6" i="26"/>
  <c r="D20" i="26"/>
  <c r="D30" i="26"/>
  <c r="F37" i="26"/>
  <c r="D36" i="26"/>
  <c r="D92" i="26"/>
  <c r="D96" i="26"/>
  <c r="CL44" i="26"/>
  <c r="CL107" i="26" s="1"/>
  <c r="CT44" i="26"/>
  <c r="CT107" i="26" s="1"/>
  <c r="CT38" i="26"/>
  <c r="CT43" i="26" s="1"/>
  <c r="E154" i="6"/>
  <c r="E155" i="6" s="1"/>
  <c r="T105" i="19"/>
  <c r="T132" i="19" s="1"/>
  <c r="T142" i="19" s="1"/>
  <c r="T168" i="19" s="1"/>
  <c r="C2" i="26"/>
  <c r="G18" i="26"/>
  <c r="H23" i="26"/>
  <c r="Q44" i="26"/>
  <c r="Q107" i="26" s="1"/>
  <c r="AI44" i="26"/>
  <c r="AI107" i="26" s="1"/>
  <c r="BG107" i="26"/>
  <c r="CE44" i="26"/>
  <c r="CE107" i="26" s="1"/>
  <c r="CU44" i="26"/>
  <c r="DK44" i="26"/>
  <c r="AC44" i="26"/>
  <c r="AC107" i="26" s="1"/>
  <c r="AM44" i="26"/>
  <c r="AM107" i="26" s="1"/>
  <c r="CU66" i="26"/>
  <c r="G64" i="26"/>
  <c r="I107" i="26"/>
  <c r="D3" i="26"/>
  <c r="D21" i="26"/>
  <c r="D27" i="26"/>
  <c r="D39" i="26"/>
  <c r="D45" i="26"/>
  <c r="D49" i="26"/>
  <c r="D54" i="26"/>
  <c r="D58" i="26"/>
  <c r="D62" i="26"/>
  <c r="D79" i="26"/>
  <c r="BB38" i="26"/>
  <c r="DP44" i="26"/>
  <c r="DP107" i="26" s="1"/>
  <c r="BV66" i="26"/>
  <c r="H59" i="26"/>
  <c r="D59" i="26" s="1"/>
  <c r="BZ107" i="26"/>
  <c r="CP107" i="26"/>
  <c r="DL107" i="26"/>
  <c r="H6" i="11"/>
  <c r="H6" i="10"/>
  <c r="I11" i="11"/>
  <c r="I25" i="10"/>
  <c r="BO38" i="26"/>
  <c r="BO43" i="26" s="1"/>
  <c r="BO44" i="26" s="1"/>
  <c r="BO107" i="26" s="1"/>
  <c r="AQ38" i="26"/>
  <c r="W38" i="26"/>
  <c r="W43" i="26" s="1"/>
  <c r="W44" i="26" s="1"/>
  <c r="W107" i="26" s="1"/>
  <c r="E32" i="26"/>
  <c r="C32" i="26" s="1"/>
  <c r="C21" i="26"/>
  <c r="C23" i="26" s="1"/>
  <c r="E23" i="26"/>
  <c r="C33" i="26"/>
  <c r="BY107" i="26"/>
  <c r="CO44" i="26"/>
  <c r="CO107" i="26" s="1"/>
  <c r="DE44" i="26"/>
  <c r="AK107" i="26"/>
  <c r="BA44" i="26"/>
  <c r="BA107" i="26" s="1"/>
  <c r="BI44" i="26"/>
  <c r="BI107" i="26" s="1"/>
  <c r="DE53" i="26"/>
  <c r="G52" i="26"/>
  <c r="G53" i="26" s="1"/>
  <c r="H88" i="26"/>
  <c r="AD38" i="26"/>
  <c r="AD43" i="26" s="1"/>
  <c r="AD44" i="26" s="1"/>
  <c r="AD107" i="26" s="1"/>
  <c r="BF38" i="26"/>
  <c r="BF43" i="26" s="1"/>
  <c r="BF44" i="26" s="1"/>
  <c r="BF107" i="26" s="1"/>
  <c r="AP44" i="26"/>
  <c r="AP107" i="26" s="1"/>
  <c r="AR44" i="26"/>
  <c r="AR107" i="26" s="1"/>
  <c r="BJ44" i="26"/>
  <c r="BJ107" i="26" s="1"/>
  <c r="BP38" i="26"/>
  <c r="BP43" i="26" s="1"/>
  <c r="BP44" i="26" s="1"/>
  <c r="BP107" i="26" s="1"/>
  <c r="CJ38" i="26"/>
  <c r="CJ43" i="26" s="1"/>
  <c r="CJ44" i="26" s="1"/>
  <c r="CJ107" i="26" s="1"/>
  <c r="F78" i="10"/>
  <c r="D75" i="10"/>
  <c r="D42" i="11"/>
  <c r="H11" i="2"/>
  <c r="F8" i="2"/>
  <c r="D8" i="37"/>
  <c r="E20" i="7"/>
  <c r="C8" i="7"/>
  <c r="D22" i="12"/>
  <c r="E14" i="20"/>
  <c r="E8" i="20" s="1"/>
  <c r="F26" i="20"/>
  <c r="C25" i="20"/>
  <c r="C34" i="11"/>
  <c r="C32" i="24"/>
  <c r="E41" i="10"/>
  <c r="C25" i="10"/>
  <c r="C11" i="11"/>
  <c r="F11" i="11" s="1"/>
  <c r="F26" i="10"/>
  <c r="F82" i="10"/>
  <c r="C43" i="11"/>
  <c r="F43" i="11" s="1"/>
  <c r="F63" i="10"/>
  <c r="H11" i="14"/>
  <c r="F8" i="14"/>
  <c r="G22" i="14"/>
  <c r="H23" i="14"/>
  <c r="G8" i="2"/>
  <c r="E25" i="37"/>
  <c r="C22" i="37"/>
  <c r="E28" i="8"/>
  <c r="E23" i="12"/>
  <c r="D22" i="7"/>
  <c r="D30" i="7" s="1"/>
  <c r="D8" i="12"/>
  <c r="E20" i="12"/>
  <c r="C20" i="11"/>
  <c r="F17" i="20"/>
  <c r="E25" i="20"/>
  <c r="D6" i="10"/>
  <c r="D6" i="11"/>
  <c r="D5" i="11" s="1"/>
  <c r="H11" i="37"/>
  <c r="F8" i="37"/>
  <c r="H23" i="37"/>
  <c r="F22" i="37"/>
  <c r="G8" i="14"/>
  <c r="H20" i="14"/>
  <c r="H9" i="7"/>
  <c r="F8" i="7"/>
  <c r="E20" i="37"/>
  <c r="C22" i="8"/>
  <c r="E23" i="8"/>
  <c r="E9" i="12"/>
  <c r="E25" i="12"/>
  <c r="D39" i="20"/>
  <c r="H28" i="18"/>
  <c r="F22" i="2"/>
  <c r="H23" i="2"/>
  <c r="J88" i="30"/>
  <c r="J86" i="30" s="1"/>
  <c r="J26" i="20"/>
  <c r="F48" i="20"/>
  <c r="C75" i="10"/>
  <c r="G25" i="10"/>
  <c r="G11" i="11"/>
  <c r="G19" i="11"/>
  <c r="J19" i="11" s="1"/>
  <c r="J43" i="10"/>
  <c r="J24" i="11"/>
  <c r="H36" i="11"/>
  <c r="H67" i="10"/>
  <c r="J69" i="10"/>
  <c r="G23" i="23"/>
  <c r="G17" i="24" s="1"/>
  <c r="C8" i="14"/>
  <c r="E26" i="24"/>
  <c r="H20" i="12"/>
  <c r="J26" i="10"/>
  <c r="J29" i="10"/>
  <c r="H18" i="11"/>
  <c r="J18" i="11" s="1"/>
  <c r="J15" i="20"/>
  <c r="H14" i="20"/>
  <c r="H8" i="20" s="1"/>
  <c r="E43" i="12"/>
  <c r="E45" i="20"/>
  <c r="D26" i="24"/>
  <c r="D25" i="24" s="1"/>
  <c r="C6" i="10"/>
  <c r="H25" i="37"/>
  <c r="G8" i="37"/>
  <c r="H11" i="8"/>
  <c r="F8" i="8"/>
  <c r="H20" i="8"/>
  <c r="H28" i="14"/>
  <c r="F22" i="14"/>
  <c r="H9" i="5"/>
  <c r="F8" i="5"/>
  <c r="H20" i="2"/>
  <c r="G22" i="2"/>
  <c r="H23" i="12"/>
  <c r="J11" i="20"/>
  <c r="J7" i="10"/>
  <c r="G6" i="11"/>
  <c r="J27" i="10"/>
  <c r="J13" i="11"/>
  <c r="J34" i="30"/>
  <c r="F37" i="14"/>
  <c r="H37" i="14" s="1"/>
  <c r="F39" i="5"/>
  <c r="F36" i="5" s="1"/>
  <c r="F37" i="2"/>
  <c r="H37" i="2" s="1"/>
  <c r="G45" i="20"/>
  <c r="H37" i="12"/>
  <c r="H39" i="20"/>
  <c r="J43" i="20"/>
  <c r="G26" i="24"/>
  <c r="G25" i="24" s="1"/>
  <c r="D5" i="28"/>
  <c r="H9" i="23"/>
  <c r="H6" i="24" s="1"/>
  <c r="K62" i="10"/>
  <c r="K11" i="8"/>
  <c r="I8" i="14"/>
  <c r="I22" i="5"/>
  <c r="I8" i="37"/>
  <c r="I8" i="18"/>
  <c r="I8" i="7"/>
  <c r="K28" i="12"/>
  <c r="N9" i="20"/>
  <c r="N33" i="24"/>
  <c r="K32" i="24"/>
  <c r="L47" i="11"/>
  <c r="L46" i="11" s="1"/>
  <c r="N73" i="30"/>
  <c r="L23" i="23"/>
  <c r="L17" i="24" s="1"/>
  <c r="K20" i="30"/>
  <c r="K5" i="30" s="1"/>
  <c r="K4" i="30" s="1"/>
  <c r="J35" i="11"/>
  <c r="J38" i="11"/>
  <c r="K25" i="14"/>
  <c r="I8" i="8"/>
  <c r="K28" i="7"/>
  <c r="K9" i="12"/>
  <c r="I8" i="12"/>
  <c r="K23" i="12"/>
  <c r="N55" i="10"/>
  <c r="N105" i="10"/>
  <c r="N31" i="24"/>
  <c r="K25" i="11"/>
  <c r="N25" i="11" s="1"/>
  <c r="N22" i="20"/>
  <c r="N57" i="11"/>
  <c r="D24" i="16" s="1"/>
  <c r="K37" i="12"/>
  <c r="N22" i="30"/>
  <c r="M8" i="37"/>
  <c r="N25" i="37"/>
  <c r="L22" i="37"/>
  <c r="Q25" i="37"/>
  <c r="P8" i="37"/>
  <c r="J8" i="5"/>
  <c r="K9" i="5"/>
  <c r="K28" i="5"/>
  <c r="K25" i="2"/>
  <c r="K25" i="20"/>
  <c r="N26" i="20"/>
  <c r="L12" i="11"/>
  <c r="N12" i="11" s="1"/>
  <c r="L25" i="10"/>
  <c r="K38" i="12"/>
  <c r="J7" i="11"/>
  <c r="E5" i="28"/>
  <c r="E49" i="28" s="1"/>
  <c r="N29" i="10"/>
  <c r="K25" i="10"/>
  <c r="M32" i="24"/>
  <c r="M20" i="11"/>
  <c r="L22" i="11"/>
  <c r="N22" i="11" s="1"/>
  <c r="L41" i="10"/>
  <c r="L24" i="11"/>
  <c r="N24" i="11" s="1"/>
  <c r="N21" i="20"/>
  <c r="L14" i="20"/>
  <c r="K26" i="11"/>
  <c r="L39" i="11"/>
  <c r="N49" i="11"/>
  <c r="M8" i="24"/>
  <c r="D4" i="29"/>
  <c r="L8" i="8"/>
  <c r="Q25" i="8"/>
  <c r="M22" i="18"/>
  <c r="Q23" i="18"/>
  <c r="O22" i="18"/>
  <c r="Q22" i="18" s="1"/>
  <c r="L22" i="7"/>
  <c r="O8" i="7"/>
  <c r="M8" i="5"/>
  <c r="R23" i="20"/>
  <c r="V20" i="20"/>
  <c r="S14" i="20"/>
  <c r="S23" i="11"/>
  <c r="V23" i="11" s="1"/>
  <c r="S25" i="20"/>
  <c r="T18" i="24"/>
  <c r="O92" i="10"/>
  <c r="K45" i="20"/>
  <c r="F23" i="35"/>
  <c r="F34" i="35" s="1"/>
  <c r="F3" i="35" s="1"/>
  <c r="M39" i="11"/>
  <c r="L7" i="24"/>
  <c r="L8" i="23"/>
  <c r="L5" i="24" s="1"/>
  <c r="I38" i="18"/>
  <c r="K38" i="18" s="1"/>
  <c r="I37" i="18"/>
  <c r="K37" i="18" s="1"/>
  <c r="N28" i="14"/>
  <c r="Q9" i="14"/>
  <c r="Q25" i="14"/>
  <c r="N28" i="18"/>
  <c r="Q9" i="18"/>
  <c r="P8" i="18"/>
  <c r="P30" i="18" s="1"/>
  <c r="N23" i="2"/>
  <c r="L22" i="2"/>
  <c r="Q9" i="2"/>
  <c r="O8" i="2"/>
  <c r="O5" i="30"/>
  <c r="O4" i="30" s="1"/>
  <c r="O22" i="12"/>
  <c r="R20" i="20"/>
  <c r="O23" i="11"/>
  <c r="R11" i="20"/>
  <c r="V25" i="11"/>
  <c r="V22" i="20"/>
  <c r="M17" i="24"/>
  <c r="L18" i="24"/>
  <c r="N32" i="11"/>
  <c r="L30" i="11"/>
  <c r="M34" i="11"/>
  <c r="K38" i="7"/>
  <c r="N11" i="8"/>
  <c r="Q9" i="8"/>
  <c r="N20" i="14"/>
  <c r="L22" i="14"/>
  <c r="P8" i="14"/>
  <c r="P22" i="14"/>
  <c r="N20" i="18"/>
  <c r="L22" i="18"/>
  <c r="N25" i="18"/>
  <c r="N28" i="5"/>
  <c r="N9" i="2"/>
  <c r="M8" i="2"/>
  <c r="O22" i="2"/>
  <c r="N23" i="12"/>
  <c r="M22" i="12"/>
  <c r="O8" i="12"/>
  <c r="Q14" i="20"/>
  <c r="Q8" i="20" s="1"/>
  <c r="R15" i="20"/>
  <c r="Q25" i="20"/>
  <c r="V21" i="20"/>
  <c r="U14" i="20"/>
  <c r="U8" i="20" s="1"/>
  <c r="L22" i="8"/>
  <c r="N25" i="8"/>
  <c r="N9" i="12"/>
  <c r="M8" i="12"/>
  <c r="P14" i="20"/>
  <c r="P8" i="20" s="1"/>
  <c r="P23" i="11"/>
  <c r="T14" i="20"/>
  <c r="T8" i="20" s="1"/>
  <c r="V15" i="20"/>
  <c r="T18" i="11"/>
  <c r="V24" i="11"/>
  <c r="Q47" i="11"/>
  <c r="Q46" i="11" s="1"/>
  <c r="L8" i="7"/>
  <c r="D8" i="36"/>
  <c r="V47" i="20"/>
  <c r="O31" i="23"/>
  <c r="Q41" i="10"/>
  <c r="Q25" i="10"/>
  <c r="R55" i="10"/>
  <c r="P25" i="10"/>
  <c r="V32" i="10"/>
  <c r="V46" i="10"/>
  <c r="R27" i="24"/>
  <c r="R33" i="24"/>
  <c r="Q42" i="11"/>
  <c r="Q39" i="11" s="1"/>
  <c r="O36" i="11"/>
  <c r="R36" i="11" s="1"/>
  <c r="O47" i="11"/>
  <c r="O46" i="11" s="1"/>
  <c r="U36" i="11"/>
  <c r="U34" i="11" s="1"/>
  <c r="U47" i="11"/>
  <c r="U46" i="11" s="1"/>
  <c r="V38" i="11"/>
  <c r="V56" i="11"/>
  <c r="F20" i="16" s="1"/>
  <c r="B13" i="22" s="1"/>
  <c r="O8" i="18"/>
  <c r="Q23" i="7"/>
  <c r="L8" i="2"/>
  <c r="P22" i="2"/>
  <c r="L8" i="12"/>
  <c r="Q23" i="12"/>
  <c r="O14" i="20"/>
  <c r="O8" i="20" s="1"/>
  <c r="R43" i="20"/>
  <c r="V43" i="20"/>
  <c r="Q17" i="23"/>
  <c r="Q12" i="23" s="1"/>
  <c r="Q9" i="24" s="1"/>
  <c r="R29" i="10"/>
  <c r="R51" i="10"/>
  <c r="U41" i="10"/>
  <c r="R49" i="11"/>
  <c r="U9" i="11"/>
  <c r="N25" i="5"/>
  <c r="Q45" i="20"/>
  <c r="O45" i="20"/>
  <c r="S45" i="20"/>
  <c r="H8" i="36"/>
  <c r="H19" i="36" s="1"/>
  <c r="R26" i="10"/>
  <c r="P41" i="10"/>
  <c r="O20" i="11"/>
  <c r="V26" i="10"/>
  <c r="T25" i="10"/>
  <c r="S20" i="11"/>
  <c r="S67" i="10"/>
  <c r="V27" i="24"/>
  <c r="L19" i="16" s="1"/>
  <c r="V33" i="24"/>
  <c r="V8" i="11"/>
  <c r="Q43" i="12"/>
  <c r="M37" i="18"/>
  <c r="N37" i="18" s="1"/>
  <c r="N38" i="18"/>
  <c r="K38" i="2"/>
  <c r="H23" i="23"/>
  <c r="H17" i="24" s="1"/>
  <c r="I17" i="23"/>
  <c r="I12" i="23" s="1"/>
  <c r="I9" i="24" s="1"/>
  <c r="H17" i="23"/>
  <c r="L17" i="23"/>
  <c r="U17" i="23"/>
  <c r="U12" i="23" s="1"/>
  <c r="U7" i="23" s="1"/>
  <c r="E37" i="18"/>
  <c r="H44" i="12"/>
  <c r="E37" i="5"/>
  <c r="L39" i="20"/>
  <c r="N86" i="30"/>
  <c r="F86" i="30"/>
  <c r="F42" i="20"/>
  <c r="N21" i="30"/>
  <c r="M6" i="24"/>
  <c r="J41" i="20"/>
  <c r="F20" i="30"/>
  <c r="N42" i="20"/>
  <c r="Q11" i="18"/>
  <c r="C39" i="20"/>
  <c r="F40" i="20"/>
  <c r="J46" i="20"/>
  <c r="J51" i="20" s="1"/>
  <c r="I39" i="20"/>
  <c r="N75" i="30"/>
  <c r="J40" i="20"/>
  <c r="N40" i="20"/>
  <c r="U39" i="20"/>
  <c r="R75" i="30"/>
  <c r="E39" i="20"/>
  <c r="N9" i="30"/>
  <c r="V86" i="30"/>
  <c r="N37" i="2"/>
  <c r="Q41" i="2"/>
  <c r="H38" i="37"/>
  <c r="E37" i="2"/>
  <c r="J36" i="5"/>
  <c r="K37" i="14"/>
  <c r="H43" i="5"/>
  <c r="Q38" i="14"/>
  <c r="T6" i="24"/>
  <c r="C98" i="26"/>
  <c r="C106" i="26" s="1"/>
  <c r="T22" i="11"/>
  <c r="V22" i="11" s="1"/>
  <c r="V51" i="10"/>
  <c r="T20" i="11"/>
  <c r="J36" i="12"/>
  <c r="E37" i="12"/>
  <c r="K43" i="37"/>
  <c r="Q37" i="8"/>
  <c r="K43" i="14"/>
  <c r="K39" i="7"/>
  <c r="K38" i="37"/>
  <c r="K39" i="5"/>
  <c r="Q39" i="37"/>
  <c r="N39" i="8"/>
  <c r="N42" i="14"/>
  <c r="Q39" i="14"/>
  <c r="N43" i="7"/>
  <c r="D36" i="8"/>
  <c r="E42" i="18"/>
  <c r="N37" i="7"/>
  <c r="Q41" i="7"/>
  <c r="N39" i="5"/>
  <c r="F44" i="30"/>
  <c r="R16" i="23"/>
  <c r="P7" i="24"/>
  <c r="J72" i="30"/>
  <c r="K10" i="23"/>
  <c r="J82" i="30"/>
  <c r="N76" i="30"/>
  <c r="Q38" i="5"/>
  <c r="C67" i="26"/>
  <c r="E65" i="26"/>
  <c r="E66" i="26" s="1"/>
  <c r="C69" i="26"/>
  <c r="DK79" i="26"/>
  <c r="DK107" i="26" s="1"/>
  <c r="C73" i="26"/>
  <c r="C70" i="26"/>
  <c r="C65" i="26"/>
  <c r="C66" i="26" s="1"/>
  <c r="G75" i="26"/>
  <c r="G79" i="26" s="1"/>
  <c r="AE74" i="26"/>
  <c r="G74" i="26"/>
  <c r="V20" i="23"/>
  <c r="N20" i="23"/>
  <c r="J20" i="23"/>
  <c r="B34" i="29"/>
  <c r="R20" i="23"/>
  <c r="S19" i="23"/>
  <c r="V19" i="23" s="1"/>
  <c r="C30" i="11"/>
  <c r="C14" i="11"/>
  <c r="J8" i="11"/>
  <c r="G30" i="11"/>
  <c r="N41" i="11"/>
  <c r="V13" i="11"/>
  <c r="R33" i="11"/>
  <c r="Q26" i="11"/>
  <c r="R15" i="11"/>
  <c r="R41" i="11"/>
  <c r="F35" i="11"/>
  <c r="F48" i="11"/>
  <c r="C23" i="16" s="1"/>
  <c r="C22" i="16" s="1"/>
  <c r="J37" i="11"/>
  <c r="J41" i="11"/>
  <c r="M14" i="11"/>
  <c r="M10" i="11" s="1"/>
  <c r="N27" i="11"/>
  <c r="N38" i="11"/>
  <c r="N43" i="11"/>
  <c r="P47" i="11"/>
  <c r="P46" i="11" s="1"/>
  <c r="U26" i="11"/>
  <c r="V35" i="11"/>
  <c r="S34" i="11"/>
  <c r="F41" i="11"/>
  <c r="J49" i="11"/>
  <c r="J33" i="11"/>
  <c r="N16" i="11"/>
  <c r="M30" i="11"/>
  <c r="N54" i="11"/>
  <c r="N56" i="11"/>
  <c r="V19" i="11"/>
  <c r="R54" i="11"/>
  <c r="E19" i="16" s="1"/>
  <c r="O30" i="11"/>
  <c r="S14" i="11"/>
  <c r="S10" i="11" s="1"/>
  <c r="V40" i="11"/>
  <c r="T47" i="11"/>
  <c r="T46" i="11" s="1"/>
  <c r="T93" i="10"/>
  <c r="D47" i="11"/>
  <c r="D46" i="11" s="1"/>
  <c r="N37" i="11"/>
  <c r="C47" i="11"/>
  <c r="D30" i="11"/>
  <c r="G14" i="11"/>
  <c r="J12" i="11"/>
  <c r="J40" i="11"/>
  <c r="K47" i="11"/>
  <c r="N33" i="11"/>
  <c r="N9" i="11"/>
  <c r="M5" i="11"/>
  <c r="N13" i="11"/>
  <c r="M48" i="11"/>
  <c r="R48" i="11"/>
  <c r="E23" i="16" s="1"/>
  <c r="U30" i="11"/>
  <c r="V31" i="11"/>
  <c r="S30" i="11"/>
  <c r="V32" i="11"/>
  <c r="S47" i="11"/>
  <c r="G47" i="11"/>
  <c r="J48" i="11"/>
  <c r="D23" i="16" s="1"/>
  <c r="D14" i="11"/>
  <c r="F16" i="11"/>
  <c r="J31" i="11"/>
  <c r="I30" i="11"/>
  <c r="N15" i="11"/>
  <c r="K14" i="11"/>
  <c r="K30" i="11"/>
  <c r="N35" i="11"/>
  <c r="K34" i="11"/>
  <c r="N40" i="11"/>
  <c r="K39" i="11"/>
  <c r="Q34" i="11"/>
  <c r="R38" i="11"/>
  <c r="R37" i="11"/>
  <c r="U14" i="11"/>
  <c r="V48" i="11"/>
  <c r="F23" i="16" s="1"/>
  <c r="T14" i="11"/>
  <c r="V16" i="11"/>
  <c r="C6" i="32" s="1"/>
  <c r="C5" i="11"/>
  <c r="C26" i="11"/>
  <c r="I14" i="11"/>
  <c r="J16" i="11"/>
  <c r="I26" i="11"/>
  <c r="J27" i="11"/>
  <c r="L14" i="11"/>
  <c r="O26" i="11"/>
  <c r="R27" i="11"/>
  <c r="V27" i="11"/>
  <c r="Q5" i="11"/>
  <c r="R11" i="11"/>
  <c r="O39" i="11"/>
  <c r="T30" i="11"/>
  <c r="R24" i="11"/>
  <c r="V7" i="11"/>
  <c r="T39" i="11"/>
  <c r="V42" i="11"/>
  <c r="T75" i="10"/>
  <c r="T67" i="10"/>
  <c r="T55" i="10"/>
  <c r="V55" i="10" s="1"/>
  <c r="T26" i="11"/>
  <c r="V28" i="11"/>
  <c r="S41" i="10"/>
  <c r="V43" i="10"/>
  <c r="T6" i="10"/>
  <c r="S5" i="11"/>
  <c r="S6" i="10"/>
  <c r="E39" i="12"/>
  <c r="C78" i="26"/>
  <c r="DI74" i="26"/>
  <c r="E79" i="26"/>
  <c r="AE79" i="26"/>
  <c r="C45" i="20"/>
  <c r="D18" i="24"/>
  <c r="C17" i="24"/>
  <c r="D17" i="24"/>
  <c r="N46" i="20"/>
  <c r="R40" i="20"/>
  <c r="T8" i="24"/>
  <c r="F46" i="20"/>
  <c r="M39" i="20"/>
  <c r="R44" i="20"/>
  <c r="V48" i="20"/>
  <c r="T39" i="20"/>
  <c r="R86" i="30"/>
  <c r="V46" i="20"/>
  <c r="C75" i="26"/>
  <c r="K43" i="8"/>
  <c r="Q37" i="7"/>
  <c r="Q43" i="2"/>
  <c r="F79" i="30"/>
  <c r="H38" i="2"/>
  <c r="Q38" i="8"/>
  <c r="E39" i="5"/>
  <c r="N38" i="5"/>
  <c r="Q37" i="5"/>
  <c r="C36" i="37"/>
  <c r="E43" i="37"/>
  <c r="K42" i="2"/>
  <c r="J36" i="7"/>
  <c r="I36" i="2"/>
  <c r="I46" i="2" s="1"/>
  <c r="C31" i="32"/>
  <c r="S25" i="10"/>
  <c r="V11" i="11"/>
  <c r="V54" i="11"/>
  <c r="F19" i="16" s="1"/>
  <c r="Q11" i="8"/>
  <c r="T45" i="20"/>
  <c r="V42" i="20"/>
  <c r="V41" i="20"/>
  <c r="S39" i="20"/>
  <c r="V20" i="30"/>
  <c r="V40" i="20"/>
  <c r="P36" i="14"/>
  <c r="O36" i="18"/>
  <c r="Q38" i="12"/>
  <c r="O42" i="12"/>
  <c r="Q37" i="12"/>
  <c r="C36" i="12"/>
  <c r="G42" i="12"/>
  <c r="N38" i="12"/>
  <c r="N41" i="2"/>
  <c r="E43" i="8"/>
  <c r="E37" i="8"/>
  <c r="E39" i="7"/>
  <c r="E42" i="2"/>
  <c r="H43" i="37"/>
  <c r="J78" i="30"/>
  <c r="H37" i="37"/>
  <c r="H39" i="14"/>
  <c r="H39" i="18"/>
  <c r="G36" i="18"/>
  <c r="N78" i="30"/>
  <c r="M42" i="2"/>
  <c r="H38" i="7"/>
  <c r="J36" i="37"/>
  <c r="J36" i="14"/>
  <c r="J46" i="14" s="1"/>
  <c r="K39" i="2"/>
  <c r="K37" i="5"/>
  <c r="N38" i="14"/>
  <c r="E39" i="8"/>
  <c r="E37" i="7"/>
  <c r="E39" i="2"/>
  <c r="E38" i="14"/>
  <c r="E38" i="7"/>
  <c r="C36" i="5"/>
  <c r="E38" i="2"/>
  <c r="H38" i="14"/>
  <c r="C36" i="18"/>
  <c r="C46" i="18" s="1"/>
  <c r="G36" i="7"/>
  <c r="G46" i="7" s="1"/>
  <c r="M36" i="37"/>
  <c r="M36" i="8"/>
  <c r="M36" i="7"/>
  <c r="E37" i="37"/>
  <c r="C42" i="37"/>
  <c r="E42" i="37" s="1"/>
  <c r="E39" i="14"/>
  <c r="H43" i="14"/>
  <c r="G36" i="2"/>
  <c r="G46" i="2" s="1"/>
  <c r="K38" i="14"/>
  <c r="K39" i="37"/>
  <c r="N31" i="30"/>
  <c r="K43" i="2"/>
  <c r="K39" i="14"/>
  <c r="I36" i="5"/>
  <c r="I46" i="5" s="1"/>
  <c r="K42" i="14"/>
  <c r="Q37" i="18"/>
  <c r="P42" i="2"/>
  <c r="Q42" i="2" s="1"/>
  <c r="E38" i="18"/>
  <c r="E43" i="5"/>
  <c r="E43" i="7"/>
  <c r="H39" i="7"/>
  <c r="H37" i="5"/>
  <c r="P36" i="37"/>
  <c r="P46" i="37" s="1"/>
  <c r="N43" i="14"/>
  <c r="P36" i="7"/>
  <c r="Q43" i="5"/>
  <c r="K42" i="8"/>
  <c r="D36" i="37"/>
  <c r="E38" i="37"/>
  <c r="F42" i="37"/>
  <c r="H42" i="37" s="1"/>
  <c r="Q38" i="37"/>
  <c r="O36" i="37"/>
  <c r="M36" i="14"/>
  <c r="M46" i="14" s="1"/>
  <c r="N39" i="7"/>
  <c r="N11" i="12"/>
  <c r="N11" i="14"/>
  <c r="N11" i="5"/>
  <c r="N11" i="7"/>
  <c r="N11" i="18"/>
  <c r="N11" i="2"/>
  <c r="N11" i="37"/>
  <c r="P75" i="10"/>
  <c r="O62" i="10"/>
  <c r="R43" i="11"/>
  <c r="P42" i="11"/>
  <c r="P34" i="11"/>
  <c r="P67" i="10"/>
  <c r="R67" i="10" s="1"/>
  <c r="P28" i="11"/>
  <c r="R46" i="10"/>
  <c r="O41" i="10"/>
  <c r="P20" i="11"/>
  <c r="P22" i="11"/>
  <c r="R22" i="11" s="1"/>
  <c r="R43" i="10"/>
  <c r="O19" i="11"/>
  <c r="O14" i="11"/>
  <c r="R16" i="11"/>
  <c r="O25" i="10"/>
  <c r="R12" i="11"/>
  <c r="Q6" i="10"/>
  <c r="P6" i="10"/>
  <c r="R7" i="10"/>
  <c r="O5" i="11"/>
  <c r="R6" i="11"/>
  <c r="O6" i="10"/>
  <c r="C36" i="2"/>
  <c r="C46" i="2" s="1"/>
  <c r="D36" i="18"/>
  <c r="E43" i="18"/>
  <c r="G36" i="5"/>
  <c r="F42" i="14"/>
  <c r="H42" i="14" s="1"/>
  <c r="C36" i="14"/>
  <c r="C46" i="14" s="1"/>
  <c r="I36" i="14"/>
  <c r="N34" i="30"/>
  <c r="V37" i="30"/>
  <c r="E42" i="7"/>
  <c r="D36" i="2"/>
  <c r="D46" i="2" s="1"/>
  <c r="H43" i="8"/>
  <c r="G36" i="37"/>
  <c r="K38" i="8"/>
  <c r="K38" i="5"/>
  <c r="N38" i="37"/>
  <c r="E42" i="8"/>
  <c r="E45" i="37"/>
  <c r="E39" i="37"/>
  <c r="E38" i="8"/>
  <c r="D36" i="7"/>
  <c r="D46" i="7" s="1"/>
  <c r="D36" i="5"/>
  <c r="D46" i="5" s="1"/>
  <c r="F42" i="5"/>
  <c r="H42" i="5" s="1"/>
  <c r="H38" i="18"/>
  <c r="J79" i="30"/>
  <c r="G36" i="8"/>
  <c r="G46" i="8" s="1"/>
  <c r="J42" i="37"/>
  <c r="M42" i="7"/>
  <c r="N42" i="7" s="1"/>
  <c r="M36" i="2"/>
  <c r="R18" i="30"/>
  <c r="D36" i="14"/>
  <c r="J18" i="30"/>
  <c r="D42" i="14"/>
  <c r="E42" i="14" s="1"/>
  <c r="E43" i="14"/>
  <c r="F18" i="30"/>
  <c r="O42" i="37"/>
  <c r="Q42" i="37" s="1"/>
  <c r="Q43" i="37"/>
  <c r="O36" i="8"/>
  <c r="Q39" i="8"/>
  <c r="N39" i="14"/>
  <c r="L36" i="14"/>
  <c r="L46" i="14" s="1"/>
  <c r="Q37" i="14"/>
  <c r="O36" i="14"/>
  <c r="P42" i="14"/>
  <c r="Q43" i="14"/>
  <c r="L42" i="18"/>
  <c r="N42" i="18" s="1"/>
  <c r="N43" i="18"/>
  <c r="P36" i="18"/>
  <c r="Q39" i="18"/>
  <c r="O36" i="7"/>
  <c r="Q38" i="7"/>
  <c r="L36" i="5"/>
  <c r="N37" i="5"/>
  <c r="L42" i="5"/>
  <c r="N42" i="5" s="1"/>
  <c r="N43" i="5"/>
  <c r="Q41" i="5"/>
  <c r="O36" i="5"/>
  <c r="O36" i="2"/>
  <c r="Q38" i="2"/>
  <c r="E42" i="5"/>
  <c r="D7" i="24"/>
  <c r="F42" i="8"/>
  <c r="H39" i="2"/>
  <c r="H43" i="2"/>
  <c r="G36" i="14"/>
  <c r="G46" i="14" s="1"/>
  <c r="N37" i="14"/>
  <c r="O42" i="18"/>
  <c r="Q42" i="18" s="1"/>
  <c r="Q43" i="18"/>
  <c r="E38" i="5"/>
  <c r="C36" i="7"/>
  <c r="E43" i="2"/>
  <c r="H42" i="2"/>
  <c r="J31" i="30"/>
  <c r="G42" i="18"/>
  <c r="H43" i="18"/>
  <c r="H43" i="7"/>
  <c r="F42" i="7"/>
  <c r="H42" i="7" s="1"/>
  <c r="H38" i="5"/>
  <c r="Q37" i="37"/>
  <c r="J42" i="5"/>
  <c r="K43" i="5"/>
  <c r="M42" i="8"/>
  <c r="N43" i="8"/>
  <c r="P42" i="8"/>
  <c r="Q42" i="8" s="1"/>
  <c r="Q43" i="8"/>
  <c r="M36" i="5"/>
  <c r="N41" i="5"/>
  <c r="P36" i="5"/>
  <c r="Q39" i="5"/>
  <c r="K43" i="18"/>
  <c r="I42" i="18"/>
  <c r="K43" i="7"/>
  <c r="J42" i="7"/>
  <c r="K42" i="7" s="1"/>
  <c r="J36" i="8"/>
  <c r="K39" i="8"/>
  <c r="J36" i="18"/>
  <c r="K37" i="2"/>
  <c r="J36" i="2"/>
  <c r="V30" i="30"/>
  <c r="I42" i="37"/>
  <c r="M16" i="24"/>
  <c r="N45" i="37"/>
  <c r="P36" i="8"/>
  <c r="V78" i="30"/>
  <c r="N41" i="7"/>
  <c r="Q39" i="7"/>
  <c r="Q42" i="5"/>
  <c r="V79" i="30"/>
  <c r="N18" i="30"/>
  <c r="V31" i="30"/>
  <c r="V34" i="30"/>
  <c r="P42" i="7"/>
  <c r="Q42" i="7" s="1"/>
  <c r="Q43" i="7"/>
  <c r="Q37" i="2"/>
  <c r="P36" i="2"/>
  <c r="N37" i="37"/>
  <c r="N39" i="18"/>
  <c r="L36" i="7"/>
  <c r="L46" i="7" s="1"/>
  <c r="C5" i="24"/>
  <c r="C42" i="12"/>
  <c r="D36" i="12"/>
  <c r="H39" i="12"/>
  <c r="G36" i="12"/>
  <c r="O36" i="12"/>
  <c r="Q39" i="12"/>
  <c r="E38" i="12"/>
  <c r="N44" i="12"/>
  <c r="P36" i="12"/>
  <c r="P42" i="12"/>
  <c r="Q44" i="12"/>
  <c r="O17" i="24"/>
  <c r="T7" i="24"/>
  <c r="C16" i="24"/>
  <c r="C6" i="24"/>
  <c r="T5" i="24"/>
  <c r="R7" i="30"/>
  <c r="E34" i="29"/>
  <c r="L36" i="18"/>
  <c r="F15" i="23"/>
  <c r="J58" i="30"/>
  <c r="J44" i="30"/>
  <c r="D8" i="23"/>
  <c r="D5" i="24" s="1"/>
  <c r="L22" i="23"/>
  <c r="L16" i="24" s="1"/>
  <c r="V72" i="30"/>
  <c r="V76" i="30"/>
  <c r="M37" i="23"/>
  <c r="N72" i="30"/>
  <c r="T22" i="23"/>
  <c r="T16" i="24" s="1"/>
  <c r="V58" i="30"/>
  <c r="V16" i="23"/>
  <c r="R92" i="30"/>
  <c r="R89" i="30" s="1"/>
  <c r="N55" i="30"/>
  <c r="N16" i="23"/>
  <c r="V55" i="30"/>
  <c r="P8" i="23"/>
  <c r="H5" i="24"/>
  <c r="N39" i="23"/>
  <c r="N58" i="30"/>
  <c r="N71" i="30"/>
  <c r="R67" i="30"/>
  <c r="V71" i="30"/>
  <c r="V92" i="30"/>
  <c r="V89" i="30" s="1"/>
  <c r="G32" i="23"/>
  <c r="G31" i="23" s="1"/>
  <c r="R15" i="30"/>
  <c r="D93" i="27"/>
  <c r="E93" i="27"/>
  <c r="C93" i="27"/>
  <c r="DJ68" i="26"/>
  <c r="DJ74" i="26" s="1"/>
  <c r="DJ107" i="26" s="1"/>
  <c r="C32" i="23"/>
  <c r="C31" i="23" s="1"/>
  <c r="I21" i="23"/>
  <c r="S5" i="30"/>
  <c r="S4" i="30" s="1"/>
  <c r="D12" i="23"/>
  <c r="D9" i="24" s="1"/>
  <c r="J89" i="30"/>
  <c r="F16" i="23"/>
  <c r="F30" i="24"/>
  <c r="I20" i="16" s="1"/>
  <c r="F89" i="30"/>
  <c r="K17" i="24"/>
  <c r="M21" i="23"/>
  <c r="R39" i="23"/>
  <c r="G18" i="24"/>
  <c r="J24" i="23"/>
  <c r="F9" i="23"/>
  <c r="D32" i="23"/>
  <c r="D31" i="23" s="1"/>
  <c r="J29" i="23"/>
  <c r="K24" i="23"/>
  <c r="F39" i="23"/>
  <c r="F23" i="23"/>
  <c r="D21" i="23"/>
  <c r="N89" i="30"/>
  <c r="V11" i="23"/>
  <c r="V37" i="23"/>
  <c r="O24" i="23"/>
  <c r="O18" i="24" s="1"/>
  <c r="R22" i="23"/>
  <c r="F11" i="23"/>
  <c r="E21" i="23"/>
  <c r="C24" i="23"/>
  <c r="C26" i="24"/>
  <c r="L32" i="23"/>
  <c r="M5" i="24"/>
  <c r="M7" i="23"/>
  <c r="P8" i="24"/>
  <c r="R11" i="23"/>
  <c r="P17" i="24"/>
  <c r="P21" i="23"/>
  <c r="R23" i="23"/>
  <c r="S17" i="24"/>
  <c r="V39" i="23"/>
  <c r="V30" i="24"/>
  <c r="R29" i="24"/>
  <c r="K21" i="16" s="1"/>
  <c r="Q26" i="24"/>
  <c r="I30" i="24"/>
  <c r="J30" i="24" s="1"/>
  <c r="J20" i="16" s="1"/>
  <c r="J39" i="23"/>
  <c r="I29" i="24"/>
  <c r="J37" i="23"/>
  <c r="U21" i="23"/>
  <c r="D16" i="24"/>
  <c r="N11" i="23"/>
  <c r="M7" i="24"/>
  <c r="R13" i="23"/>
  <c r="V29" i="24"/>
  <c r="L21" i="16" s="1"/>
  <c r="R15" i="23"/>
  <c r="R37" i="23"/>
  <c r="Q21" i="23"/>
  <c r="R9" i="23"/>
  <c r="R6" i="30"/>
  <c r="N39" i="12"/>
  <c r="M36" i="12"/>
  <c r="M46" i="12" s="1"/>
  <c r="N37" i="12"/>
  <c r="L42" i="12"/>
  <c r="N42" i="12" s="1"/>
  <c r="N43" i="12"/>
  <c r="O5" i="24"/>
  <c r="L36" i="12"/>
  <c r="R46" i="20"/>
  <c r="O39" i="20"/>
  <c r="P45" i="20"/>
  <c r="R42" i="20"/>
  <c r="P39" i="20"/>
  <c r="R41" i="20"/>
  <c r="Q39" i="20"/>
  <c r="L36" i="8"/>
  <c r="O6" i="24"/>
  <c r="N38" i="8"/>
  <c r="R37" i="30"/>
  <c r="Q43" i="25" l="1"/>
  <c r="Q6" i="25" s="1"/>
  <c r="Q208" i="25"/>
  <c r="L25" i="24"/>
  <c r="E18" i="16"/>
  <c r="J92" i="10"/>
  <c r="N7" i="10"/>
  <c r="G5" i="11"/>
  <c r="G49" i="20"/>
  <c r="J9" i="11"/>
  <c r="H25" i="24"/>
  <c r="U9" i="24"/>
  <c r="U4" i="24" s="1"/>
  <c r="H37" i="7"/>
  <c r="H39" i="11"/>
  <c r="R9" i="11"/>
  <c r="B12" i="22"/>
  <c r="F18" i="16"/>
  <c r="B17" i="22"/>
  <c r="F22" i="16"/>
  <c r="F41" i="30"/>
  <c r="J32" i="30"/>
  <c r="N33" i="30"/>
  <c r="R41" i="30"/>
  <c r="J93" i="10"/>
  <c r="D62" i="10"/>
  <c r="I62" i="10"/>
  <c r="S5" i="10"/>
  <c r="R93" i="10"/>
  <c r="V93" i="10"/>
  <c r="H5" i="10"/>
  <c r="N6" i="10"/>
  <c r="L6" i="24"/>
  <c r="E49" i="20"/>
  <c r="O49" i="20"/>
  <c r="U33" i="20"/>
  <c r="N45" i="20"/>
  <c r="M30" i="2"/>
  <c r="N22" i="2"/>
  <c r="K8" i="2"/>
  <c r="J30" i="2"/>
  <c r="M30" i="5"/>
  <c r="O30" i="5"/>
  <c r="Q30" i="5" s="1"/>
  <c r="L30" i="5"/>
  <c r="L30" i="7"/>
  <c r="L30" i="18"/>
  <c r="C30" i="18"/>
  <c r="O30" i="18"/>
  <c r="N8" i="14"/>
  <c r="L30" i="14"/>
  <c r="D46" i="8"/>
  <c r="D30" i="8"/>
  <c r="D34" i="8" s="1"/>
  <c r="D32" i="8" s="1"/>
  <c r="D31" i="8" s="1"/>
  <c r="D35" i="8" s="1"/>
  <c r="G30" i="8"/>
  <c r="D46" i="37"/>
  <c r="O30" i="37"/>
  <c r="O34" i="37" s="1"/>
  <c r="L30" i="37"/>
  <c r="P30" i="37"/>
  <c r="P34" i="37" s="1"/>
  <c r="P32" i="37" s="1"/>
  <c r="P31" i="37" s="1"/>
  <c r="P35" i="37" s="1"/>
  <c r="G30" i="37"/>
  <c r="G34" i="37" s="1"/>
  <c r="G32" i="37" s="1"/>
  <c r="G31" i="37" s="1"/>
  <c r="G35" i="37" s="1"/>
  <c r="G30" i="12"/>
  <c r="J30" i="12"/>
  <c r="P30" i="12"/>
  <c r="J46" i="12"/>
  <c r="F30" i="12"/>
  <c r="H30" i="12" s="1"/>
  <c r="I36" i="8"/>
  <c r="I46" i="8" s="1"/>
  <c r="C7" i="24"/>
  <c r="F7" i="24" s="1"/>
  <c r="I6" i="16" s="1"/>
  <c r="N30" i="30"/>
  <c r="I36" i="37"/>
  <c r="K36" i="37" s="1"/>
  <c r="J30" i="30"/>
  <c r="F36" i="2"/>
  <c r="F46" i="2" s="1"/>
  <c r="D38" i="6"/>
  <c r="E119" i="27"/>
  <c r="F42" i="12"/>
  <c r="H42" i="12" s="1"/>
  <c r="V67" i="10"/>
  <c r="T33" i="20"/>
  <c r="R92" i="10"/>
  <c r="F93" i="10"/>
  <c r="H53" i="26"/>
  <c r="G66" i="26"/>
  <c r="C18" i="26"/>
  <c r="G33" i="17"/>
  <c r="D130" i="6"/>
  <c r="O142" i="19"/>
  <c r="O168" i="19" s="1"/>
  <c r="D112" i="4"/>
  <c r="D136" i="1"/>
  <c r="K22" i="18"/>
  <c r="BT107" i="26"/>
  <c r="F73" i="26"/>
  <c r="D52" i="26"/>
  <c r="D32" i="17"/>
  <c r="I33" i="17"/>
  <c r="F45" i="15"/>
  <c r="F51" i="15" s="1"/>
  <c r="G87" i="9"/>
  <c r="J179" i="9"/>
  <c r="D85" i="9"/>
  <c r="G62" i="4"/>
  <c r="G69" i="4" s="1"/>
  <c r="E104" i="6"/>
  <c r="D74" i="15"/>
  <c r="G79" i="9"/>
  <c r="E27" i="1"/>
  <c r="E46" i="1"/>
  <c r="D161" i="4"/>
  <c r="E112" i="4"/>
  <c r="P179" i="9"/>
  <c r="E39" i="19"/>
  <c r="E148" i="17"/>
  <c r="D30" i="5"/>
  <c r="D62" i="17"/>
  <c r="D187" i="4"/>
  <c r="N8" i="7"/>
  <c r="E162" i="1"/>
  <c r="N22" i="8"/>
  <c r="N8" i="8"/>
  <c r="J6" i="10"/>
  <c r="C34" i="26"/>
  <c r="BV107" i="26"/>
  <c r="D37" i="26"/>
  <c r="J123" i="17"/>
  <c r="J124" i="17" s="1"/>
  <c r="J150" i="17" s="1"/>
  <c r="G123" i="17"/>
  <c r="E105" i="19"/>
  <c r="F135" i="15"/>
  <c r="E6" i="4"/>
  <c r="E62" i="4" s="1"/>
  <c r="E69" i="4" s="1"/>
  <c r="E85" i="15"/>
  <c r="Q8" i="8"/>
  <c r="C41" i="10"/>
  <c r="F41" i="10" s="1"/>
  <c r="I142" i="19"/>
  <c r="I168" i="19" s="1"/>
  <c r="H162" i="4"/>
  <c r="H163" i="4" s="1"/>
  <c r="H189" i="4" s="1"/>
  <c r="E8" i="18"/>
  <c r="K22" i="14"/>
  <c r="D30" i="18"/>
  <c r="H8" i="18"/>
  <c r="N22" i="12"/>
  <c r="D68" i="4"/>
  <c r="D69" i="4" s="1"/>
  <c r="D75" i="4" s="1"/>
  <c r="U5" i="11"/>
  <c r="L34" i="11"/>
  <c r="F42" i="11"/>
  <c r="I5" i="11"/>
  <c r="F6" i="11"/>
  <c r="N11" i="11"/>
  <c r="H5" i="11"/>
  <c r="F13" i="11"/>
  <c r="C17" i="16"/>
  <c r="C17" i="23"/>
  <c r="C12" i="23" s="1"/>
  <c r="C7" i="23" s="1"/>
  <c r="O17" i="23"/>
  <c r="O12" i="23" s="1"/>
  <c r="O7" i="23" s="1"/>
  <c r="E25" i="24"/>
  <c r="F32" i="24"/>
  <c r="T25" i="24"/>
  <c r="J25" i="20"/>
  <c r="I49" i="20"/>
  <c r="N14" i="20"/>
  <c r="Q33" i="20"/>
  <c r="P33" i="20"/>
  <c r="K39" i="20"/>
  <c r="K49" i="20" s="1"/>
  <c r="U49" i="20"/>
  <c r="D46" i="12"/>
  <c r="K43" i="12"/>
  <c r="L30" i="12"/>
  <c r="E8" i="12"/>
  <c r="Q8" i="12"/>
  <c r="K22" i="12"/>
  <c r="C30" i="12"/>
  <c r="I42" i="12"/>
  <c r="K42" i="12" s="1"/>
  <c r="E42" i="12"/>
  <c r="I30" i="2"/>
  <c r="I34" i="2" s="1"/>
  <c r="I32" i="2" s="1"/>
  <c r="I31" i="2" s="1"/>
  <c r="K22" i="2"/>
  <c r="N8" i="2"/>
  <c r="Q8" i="5"/>
  <c r="C34" i="5"/>
  <c r="C32" i="5" s="1"/>
  <c r="J30" i="5"/>
  <c r="N8" i="5"/>
  <c r="M30" i="7"/>
  <c r="J28" i="11"/>
  <c r="F18" i="11"/>
  <c r="K22" i="7"/>
  <c r="P30" i="7"/>
  <c r="H22" i="7"/>
  <c r="J30" i="7"/>
  <c r="Q8" i="7"/>
  <c r="O30" i="7"/>
  <c r="Q22" i="7"/>
  <c r="G30" i="7"/>
  <c r="G34" i="7" s="1"/>
  <c r="G32" i="7" s="1"/>
  <c r="G31" i="7" s="1"/>
  <c r="G35" i="7" s="1"/>
  <c r="D34" i="7"/>
  <c r="D32" i="7" s="1"/>
  <c r="D31" i="7" s="1"/>
  <c r="D35" i="7" s="1"/>
  <c r="F30" i="18"/>
  <c r="N8" i="18"/>
  <c r="Q30" i="18"/>
  <c r="M30" i="18"/>
  <c r="J30" i="18"/>
  <c r="G30" i="18"/>
  <c r="E22" i="18"/>
  <c r="O30" i="14"/>
  <c r="J20" i="11"/>
  <c r="F36" i="14"/>
  <c r="F46" i="14" s="1"/>
  <c r="K8" i="14"/>
  <c r="D30" i="14"/>
  <c r="Q8" i="14"/>
  <c r="P5" i="24"/>
  <c r="R5" i="24" s="1"/>
  <c r="K4" i="16" s="1"/>
  <c r="N32" i="30"/>
  <c r="Q22" i="8"/>
  <c r="O30" i="8"/>
  <c r="O34" i="8" s="1"/>
  <c r="E47" i="11"/>
  <c r="E46" i="11" s="1"/>
  <c r="F19" i="11"/>
  <c r="K22" i="8"/>
  <c r="P30" i="8"/>
  <c r="P34" i="8" s="1"/>
  <c r="P32" i="8" s="1"/>
  <c r="P31" i="8" s="1"/>
  <c r="P35" i="8" s="1"/>
  <c r="D26" i="11"/>
  <c r="F26" i="11" s="1"/>
  <c r="C7" i="16" s="1"/>
  <c r="J30" i="8"/>
  <c r="J34" i="8" s="1"/>
  <c r="M30" i="8"/>
  <c r="M34" i="8" s="1"/>
  <c r="M32" i="8" s="1"/>
  <c r="M31" i="8" s="1"/>
  <c r="M35" i="8" s="1"/>
  <c r="K22" i="37"/>
  <c r="E8" i="37"/>
  <c r="J30" i="37"/>
  <c r="J34" i="37" s="1"/>
  <c r="J32" i="37" s="1"/>
  <c r="J31" i="37" s="1"/>
  <c r="J35" i="37" s="1"/>
  <c r="M30" i="37"/>
  <c r="F36" i="37"/>
  <c r="F46" i="37" s="1"/>
  <c r="S17" i="11"/>
  <c r="S4" i="11" s="1"/>
  <c r="F36" i="8"/>
  <c r="H36" i="8" s="1"/>
  <c r="M36" i="18"/>
  <c r="M46" i="18" s="1"/>
  <c r="H39" i="5"/>
  <c r="I36" i="18"/>
  <c r="I34" i="18" s="1"/>
  <c r="G7" i="24"/>
  <c r="P30" i="14"/>
  <c r="E5" i="10"/>
  <c r="E91" i="10" s="1"/>
  <c r="M33" i="20"/>
  <c r="M37" i="20" s="1"/>
  <c r="M35" i="20" s="1"/>
  <c r="M34" i="20" s="1"/>
  <c r="M38" i="20" s="1"/>
  <c r="N22" i="5"/>
  <c r="M30" i="14"/>
  <c r="Q142" i="19"/>
  <c r="Q168" i="19" s="1"/>
  <c r="R179" i="9"/>
  <c r="E29" i="11"/>
  <c r="R42" i="11"/>
  <c r="V36" i="11"/>
  <c r="I10" i="11"/>
  <c r="F36" i="11"/>
  <c r="V43" i="11"/>
  <c r="J11" i="11"/>
  <c r="Q7" i="23"/>
  <c r="Q30" i="23" s="1"/>
  <c r="G6" i="24"/>
  <c r="J6" i="24" s="1"/>
  <c r="J5" i="16" s="1"/>
  <c r="F14" i="11"/>
  <c r="N6" i="11"/>
  <c r="E10" i="11"/>
  <c r="C17" i="11"/>
  <c r="T34" i="11"/>
  <c r="V34" i="11" s="1"/>
  <c r="C39" i="11"/>
  <c r="C29" i="11" s="1"/>
  <c r="U10" i="11"/>
  <c r="L29" i="11"/>
  <c r="F25" i="11"/>
  <c r="Q5" i="10"/>
  <c r="Q108" i="10" s="1"/>
  <c r="I5" i="10"/>
  <c r="J75" i="10"/>
  <c r="N75" i="10"/>
  <c r="S29" i="11"/>
  <c r="N39" i="11"/>
  <c r="J39" i="11"/>
  <c r="D13" i="16" s="1"/>
  <c r="O34" i="11"/>
  <c r="R34" i="11" s="1"/>
  <c r="E12" i="16" s="1"/>
  <c r="J41" i="10"/>
  <c r="R41" i="10"/>
  <c r="P5" i="10"/>
  <c r="R25" i="10"/>
  <c r="D5" i="10"/>
  <c r="U5" i="10"/>
  <c r="U91" i="10" s="1"/>
  <c r="F25" i="10"/>
  <c r="G29" i="11"/>
  <c r="I143" i="4"/>
  <c r="I141" i="4" s="1"/>
  <c r="I161" i="4" s="1"/>
  <c r="I162" i="4" s="1"/>
  <c r="M5" i="10"/>
  <c r="M91" i="10" s="1"/>
  <c r="N22" i="18"/>
  <c r="CU107" i="26"/>
  <c r="K160" i="9"/>
  <c r="K158" i="9" s="1"/>
  <c r="K178" i="9" s="1"/>
  <c r="G70" i="4"/>
  <c r="D137" i="1"/>
  <c r="N8" i="12"/>
  <c r="M123" i="17"/>
  <c r="M124" i="17" s="1"/>
  <c r="M150" i="17" s="1"/>
  <c r="H135" i="15"/>
  <c r="H136" i="15" s="1"/>
  <c r="H162" i="15" s="1"/>
  <c r="D105" i="19"/>
  <c r="C30" i="5"/>
  <c r="D122" i="17"/>
  <c r="G34" i="18"/>
  <c r="G32" i="18" s="1"/>
  <c r="G31" i="18" s="1"/>
  <c r="G35" i="18" s="1"/>
  <c r="Q22" i="14"/>
  <c r="R25" i="20"/>
  <c r="DE107" i="26"/>
  <c r="E156" i="6"/>
  <c r="E8" i="5"/>
  <c r="G91" i="9"/>
  <c r="J180" i="9"/>
  <c r="J206" i="9" s="1"/>
  <c r="H138" i="1"/>
  <c r="H164" i="1" s="1"/>
  <c r="D40" i="19"/>
  <c r="D46" i="19" s="1"/>
  <c r="J32" i="24"/>
  <c r="G33" i="20"/>
  <c r="G37" i="20" s="1"/>
  <c r="G35" i="20" s="1"/>
  <c r="G34" i="20" s="1"/>
  <c r="L123" i="17"/>
  <c r="L124" i="17" s="1"/>
  <c r="N132" i="19"/>
  <c r="N142" i="19" s="1"/>
  <c r="N168" i="19" s="1"/>
  <c r="C26" i="26"/>
  <c r="L142" i="19"/>
  <c r="L168" i="19" s="1"/>
  <c r="D166" i="19"/>
  <c r="J135" i="15"/>
  <c r="J136" i="15" s="1"/>
  <c r="J162" i="15" s="1"/>
  <c r="E40" i="19"/>
  <c r="H22" i="8"/>
  <c r="E8" i="14"/>
  <c r="F75" i="10"/>
  <c r="E26" i="17"/>
  <c r="E33" i="17" s="1"/>
  <c r="R180" i="9"/>
  <c r="R206" i="9" s="1"/>
  <c r="D118" i="9"/>
  <c r="E73" i="17"/>
  <c r="K123" i="17"/>
  <c r="K124" i="17" s="1"/>
  <c r="K150" i="17" s="1"/>
  <c r="M179" i="9"/>
  <c r="E22" i="7"/>
  <c r="I148" i="17"/>
  <c r="G166" i="19"/>
  <c r="E85" i="9"/>
  <c r="J11" i="23"/>
  <c r="F36" i="12"/>
  <c r="H36" i="12" s="1"/>
  <c r="K6" i="24"/>
  <c r="I36" i="12"/>
  <c r="K36" i="12" s="1"/>
  <c r="G17" i="11"/>
  <c r="Q17" i="11"/>
  <c r="Q4" i="11" s="1"/>
  <c r="R23" i="11"/>
  <c r="E8" i="8"/>
  <c r="F20" i="11"/>
  <c r="D17" i="11"/>
  <c r="V18" i="11"/>
  <c r="I46" i="7"/>
  <c r="K36" i="7"/>
  <c r="J9" i="23"/>
  <c r="K5" i="24"/>
  <c r="N5" i="24" s="1"/>
  <c r="N8" i="37"/>
  <c r="L30" i="8"/>
  <c r="L32" i="8" s="1"/>
  <c r="V26" i="11"/>
  <c r="F7" i="16" s="1"/>
  <c r="L10" i="11"/>
  <c r="C10" i="11"/>
  <c r="S62" i="10"/>
  <c r="R14" i="20"/>
  <c r="N20" i="11"/>
  <c r="H22" i="2"/>
  <c r="I39" i="17"/>
  <c r="E41" i="19"/>
  <c r="D152" i="9"/>
  <c r="L107" i="26"/>
  <c r="D131" i="19"/>
  <c r="P180" i="9"/>
  <c r="P206" i="9" s="1"/>
  <c r="F162" i="4"/>
  <c r="F163" i="4" s="1"/>
  <c r="F189" i="4" s="1"/>
  <c r="S25" i="24"/>
  <c r="J30" i="14"/>
  <c r="J34" i="14" s="1"/>
  <c r="J32" i="14" s="1"/>
  <c r="J31" i="14" s="1"/>
  <c r="J35" i="14" s="1"/>
  <c r="M108" i="10"/>
  <c r="G19" i="23"/>
  <c r="C34" i="29"/>
  <c r="K92" i="10"/>
  <c r="N92" i="10" s="1"/>
  <c r="N93" i="10"/>
  <c r="F19" i="26"/>
  <c r="D19" i="26" s="1"/>
  <c r="V39" i="11"/>
  <c r="F13" i="16" s="1"/>
  <c r="G30" i="14"/>
  <c r="G34" i="14" s="1"/>
  <c r="G32" i="14" s="1"/>
  <c r="G31" i="14" s="1"/>
  <c r="G35" i="14" s="1"/>
  <c r="L150" i="17"/>
  <c r="I53" i="1"/>
  <c r="I138" i="1" s="1"/>
  <c r="I164" i="1" s="1"/>
  <c r="L32" i="14"/>
  <c r="L31" i="14" s="1"/>
  <c r="L35" i="14" s="1"/>
  <c r="L30" i="2"/>
  <c r="N30" i="2" s="1"/>
  <c r="K37" i="7"/>
  <c r="V75" i="10"/>
  <c r="N34" i="11"/>
  <c r="U29" i="11"/>
  <c r="R30" i="11"/>
  <c r="E11" i="16" s="1"/>
  <c r="J54" i="11"/>
  <c r="D19" i="16" s="1"/>
  <c r="D18" i="16" s="1"/>
  <c r="V9" i="11"/>
  <c r="N10" i="23"/>
  <c r="Q8" i="18"/>
  <c r="P30" i="2"/>
  <c r="N26" i="11"/>
  <c r="D30" i="37"/>
  <c r="D34" i="37" s="1"/>
  <c r="D32" i="37" s="1"/>
  <c r="D31" i="37" s="1"/>
  <c r="D35" i="37" s="1"/>
  <c r="D53" i="26"/>
  <c r="P132" i="19"/>
  <c r="P142" i="19" s="1"/>
  <c r="P168" i="19" s="1"/>
  <c r="E118" i="9"/>
  <c r="D83" i="19"/>
  <c r="E152" i="9"/>
  <c r="G116" i="15"/>
  <c r="G114" i="15" s="1"/>
  <c r="E114" i="15" s="1"/>
  <c r="E134" i="15" s="1"/>
  <c r="E135" i="15" s="1"/>
  <c r="F137" i="1"/>
  <c r="F138" i="1" s="1"/>
  <c r="F164" i="1" s="1"/>
  <c r="Q22" i="5"/>
  <c r="E42" i="19"/>
  <c r="G46" i="19"/>
  <c r="M46" i="19"/>
  <c r="M142" i="19" s="1"/>
  <c r="M168" i="19" s="1"/>
  <c r="D34" i="26"/>
  <c r="K41" i="10"/>
  <c r="N41" i="10" s="1"/>
  <c r="N43" i="10"/>
  <c r="K19" i="11"/>
  <c r="N19" i="11" s="1"/>
  <c r="R18" i="24"/>
  <c r="K13" i="16" s="1"/>
  <c r="F36" i="18"/>
  <c r="F46" i="18" s="1"/>
  <c r="DI107" i="26"/>
  <c r="V41" i="10"/>
  <c r="J26" i="11"/>
  <c r="D7" i="16" s="1"/>
  <c r="M29" i="11"/>
  <c r="I37" i="20"/>
  <c r="I35" i="20" s="1"/>
  <c r="I34" i="20" s="1"/>
  <c r="I38" i="20" s="1"/>
  <c r="L5" i="10"/>
  <c r="L91" i="10" s="1"/>
  <c r="L8" i="20"/>
  <c r="L33" i="20" s="1"/>
  <c r="L37" i="20" s="1"/>
  <c r="L35" i="20" s="1"/>
  <c r="L34" i="20" s="1"/>
  <c r="L38" i="20" s="1"/>
  <c r="J8" i="20"/>
  <c r="J14" i="20"/>
  <c r="D39" i="11"/>
  <c r="H8" i="37"/>
  <c r="E38" i="26"/>
  <c r="S142" i="19"/>
  <c r="S168" i="19" s="1"/>
  <c r="E38" i="15"/>
  <c r="E45" i="15" s="1"/>
  <c r="D178" i="9"/>
  <c r="D86" i="9"/>
  <c r="D92" i="9" s="1"/>
  <c r="D44" i="6"/>
  <c r="K51" i="15"/>
  <c r="K136" i="15" s="1"/>
  <c r="K162" i="15" s="1"/>
  <c r="K168" i="19"/>
  <c r="M86" i="9"/>
  <c r="M92" i="9" s="1"/>
  <c r="H86" i="9"/>
  <c r="H92" i="9" s="1"/>
  <c r="G74" i="4"/>
  <c r="G75" i="4" s="1"/>
  <c r="G47" i="1"/>
  <c r="D162" i="1"/>
  <c r="E102" i="17"/>
  <c r="E122" i="17" s="1"/>
  <c r="N179" i="9"/>
  <c r="N180" i="9" s="1"/>
  <c r="N206" i="9" s="1"/>
  <c r="D47" i="1"/>
  <c r="D53" i="1" s="1"/>
  <c r="D138" i="1" s="1"/>
  <c r="U46" i="19"/>
  <c r="U142" i="19" s="1"/>
  <c r="U168" i="19" s="1"/>
  <c r="D2" i="26"/>
  <c r="D18" i="26" s="1"/>
  <c r="F18" i="26"/>
  <c r="N8" i="23"/>
  <c r="N23" i="23"/>
  <c r="P12" i="23"/>
  <c r="P9" i="24" s="1"/>
  <c r="J30" i="11"/>
  <c r="D11" i="16" s="1"/>
  <c r="R14" i="11"/>
  <c r="Q29" i="11"/>
  <c r="F34" i="11"/>
  <c r="C12" i="16" s="1"/>
  <c r="R18" i="11"/>
  <c r="I29" i="11"/>
  <c r="J6" i="11"/>
  <c r="V20" i="11"/>
  <c r="C5" i="32" s="1"/>
  <c r="C46" i="5"/>
  <c r="E46" i="5" s="1"/>
  <c r="G5" i="24"/>
  <c r="K36" i="14"/>
  <c r="N8" i="24"/>
  <c r="D6" i="24"/>
  <c r="D4" i="24" s="1"/>
  <c r="L49" i="20"/>
  <c r="J18" i="24"/>
  <c r="J13" i="16" s="1"/>
  <c r="J45" i="20"/>
  <c r="R45" i="20"/>
  <c r="F8" i="24"/>
  <c r="I7" i="16" s="1"/>
  <c r="H7" i="24"/>
  <c r="J42" i="20"/>
  <c r="M15" i="24"/>
  <c r="V45" i="20"/>
  <c r="I15" i="24"/>
  <c r="F41" i="20"/>
  <c r="U37" i="20"/>
  <c r="U35" i="20" s="1"/>
  <c r="U34" i="20" s="1"/>
  <c r="U38" i="20" s="1"/>
  <c r="U17" i="11"/>
  <c r="T17" i="11"/>
  <c r="E17" i="11"/>
  <c r="M17" i="11"/>
  <c r="M4" i="11" s="1"/>
  <c r="R47" i="11"/>
  <c r="U15" i="24"/>
  <c r="R8" i="24"/>
  <c r="K7" i="16" s="1"/>
  <c r="J73" i="30"/>
  <c r="J41" i="30" s="1"/>
  <c r="J39" i="20"/>
  <c r="J52" i="20" s="1"/>
  <c r="H49" i="20"/>
  <c r="J49" i="20" s="1"/>
  <c r="D49" i="20"/>
  <c r="D37" i="20"/>
  <c r="D35" i="20" s="1"/>
  <c r="D34" i="20" s="1"/>
  <c r="D38" i="20" s="1"/>
  <c r="F39" i="20"/>
  <c r="R46" i="11"/>
  <c r="M30" i="12"/>
  <c r="M34" i="12" s="1"/>
  <c r="M32" i="12" s="1"/>
  <c r="M31" i="12" s="1"/>
  <c r="M35" i="12" s="1"/>
  <c r="N25" i="20"/>
  <c r="K33" i="20"/>
  <c r="K37" i="20" s="1"/>
  <c r="Q22" i="37"/>
  <c r="L17" i="11"/>
  <c r="K22" i="5"/>
  <c r="I30" i="5"/>
  <c r="N62" i="10"/>
  <c r="J67" i="10"/>
  <c r="H62" i="10"/>
  <c r="F8" i="20"/>
  <c r="H33" i="20"/>
  <c r="E33" i="20"/>
  <c r="E37" i="20" s="1"/>
  <c r="E35" i="20" s="1"/>
  <c r="E34" i="20" s="1"/>
  <c r="E38" i="20" s="1"/>
  <c r="E22" i="37"/>
  <c r="C30" i="37"/>
  <c r="H8" i="14"/>
  <c r="C62" i="10"/>
  <c r="E8" i="7"/>
  <c r="C30" i="7"/>
  <c r="E30" i="7" s="1"/>
  <c r="H8" i="2"/>
  <c r="F30" i="2"/>
  <c r="H17" i="11"/>
  <c r="D23" i="26"/>
  <c r="G50" i="15"/>
  <c r="G118" i="1"/>
  <c r="G116" i="1" s="1"/>
  <c r="D131" i="6"/>
  <c r="E111" i="19"/>
  <c r="E131" i="19" s="1"/>
  <c r="E132" i="19" s="1"/>
  <c r="G131" i="19"/>
  <c r="G132" i="19" s="1"/>
  <c r="I91" i="9"/>
  <c r="I92" i="9" s="1"/>
  <c r="I180" i="9" s="1"/>
  <c r="I206" i="9" s="1"/>
  <c r="E87" i="9"/>
  <c r="E91" i="9" s="1"/>
  <c r="K179" i="9"/>
  <c r="K180" i="9" s="1"/>
  <c r="K206" i="9" s="1"/>
  <c r="G86" i="9"/>
  <c r="G92" i="9" s="1"/>
  <c r="I112" i="6"/>
  <c r="I110" i="6" s="1"/>
  <c r="I130" i="6" s="1"/>
  <c r="I131" i="6" s="1"/>
  <c r="I132" i="6" s="1"/>
  <c r="I158" i="6" s="1"/>
  <c r="G48" i="1"/>
  <c r="M34" i="37"/>
  <c r="M32" i="37" s="1"/>
  <c r="M31" i="37" s="1"/>
  <c r="M35" i="37" s="1"/>
  <c r="J14" i="11"/>
  <c r="O30" i="12"/>
  <c r="Q22" i="12"/>
  <c r="V14" i="20"/>
  <c r="S8" i="20"/>
  <c r="V8" i="20" s="1"/>
  <c r="K19" i="23"/>
  <c r="D34" i="29"/>
  <c r="AH65" i="26" s="1"/>
  <c r="K25" i="24"/>
  <c r="N32" i="24"/>
  <c r="K8" i="7"/>
  <c r="I30" i="7"/>
  <c r="H8" i="8"/>
  <c r="F30" i="8"/>
  <c r="H30" i="8" s="1"/>
  <c r="I30" i="14"/>
  <c r="H34" i="11"/>
  <c r="J36" i="11"/>
  <c r="C30" i="8"/>
  <c r="C34" i="8" s="1"/>
  <c r="E22" i="8"/>
  <c r="H22" i="5"/>
  <c r="H8" i="7"/>
  <c r="F30" i="7"/>
  <c r="H22" i="37"/>
  <c r="F30" i="37"/>
  <c r="H30" i="37" s="1"/>
  <c r="F25" i="20"/>
  <c r="C33" i="20"/>
  <c r="AQ43" i="26"/>
  <c r="AQ44" i="26" s="1"/>
  <c r="AQ107" i="26" s="1"/>
  <c r="G38" i="26"/>
  <c r="G43" i="26" s="1"/>
  <c r="G44" i="26" s="1"/>
  <c r="D30" i="2"/>
  <c r="D34" i="2" s="1"/>
  <c r="D32" i="2" s="1"/>
  <c r="D31" i="2" s="1"/>
  <c r="D35" i="2" s="1"/>
  <c r="E8" i="2"/>
  <c r="I124" i="17"/>
  <c r="G51" i="15"/>
  <c r="D162" i="4"/>
  <c r="F38" i="26"/>
  <c r="F33" i="17"/>
  <c r="F39" i="17" s="1"/>
  <c r="F124" i="17" s="1"/>
  <c r="F150" i="17" s="1"/>
  <c r="D45" i="15"/>
  <c r="D51" i="15" s="1"/>
  <c r="E35" i="17"/>
  <c r="H180" i="9"/>
  <c r="H206" i="9" s="1"/>
  <c r="H38" i="6"/>
  <c r="H44" i="6" s="1"/>
  <c r="H132" i="6" s="1"/>
  <c r="H158" i="6" s="1"/>
  <c r="E187" i="4"/>
  <c r="P39" i="11"/>
  <c r="R39" i="11" s="1"/>
  <c r="E13" i="16" s="1"/>
  <c r="V39" i="20"/>
  <c r="B14" i="22"/>
  <c r="T5" i="10"/>
  <c r="D19" i="36"/>
  <c r="Q22" i="2"/>
  <c r="O30" i="2"/>
  <c r="Q8" i="2"/>
  <c r="N22" i="7"/>
  <c r="Q8" i="37"/>
  <c r="N22" i="37"/>
  <c r="K8" i="12"/>
  <c r="I30" i="12"/>
  <c r="K8" i="18"/>
  <c r="I30" i="18"/>
  <c r="H8" i="5"/>
  <c r="F30" i="5"/>
  <c r="H30" i="5" s="1"/>
  <c r="F30" i="14"/>
  <c r="H22" i="14"/>
  <c r="J25" i="10"/>
  <c r="G5" i="10"/>
  <c r="H22" i="18"/>
  <c r="F14" i="20"/>
  <c r="H8" i="12"/>
  <c r="D30" i="12"/>
  <c r="E22" i="12"/>
  <c r="H66" i="26"/>
  <c r="D106" i="26"/>
  <c r="C30" i="2"/>
  <c r="C34" i="2" s="1"/>
  <c r="E22" i="2"/>
  <c r="E38" i="6"/>
  <c r="E70" i="4"/>
  <c r="E74" i="4" s="1"/>
  <c r="I74" i="4"/>
  <c r="I75" i="4" s="1"/>
  <c r="D33" i="17"/>
  <c r="D39" i="17" s="1"/>
  <c r="E46" i="15"/>
  <c r="E50" i="15" s="1"/>
  <c r="I135" i="15"/>
  <c r="I136" i="15" s="1"/>
  <c r="I162" i="15" s="1"/>
  <c r="E96" i="17"/>
  <c r="E76" i="9"/>
  <c r="E62" i="17"/>
  <c r="E166" i="19"/>
  <c r="G178" i="9"/>
  <c r="G179" i="9" s="1"/>
  <c r="E158" i="9"/>
  <c r="E178" i="9" s="1"/>
  <c r="F179" i="9"/>
  <c r="F180" i="9" s="1"/>
  <c r="F206" i="9" s="1"/>
  <c r="L180" i="9"/>
  <c r="L206" i="9" s="1"/>
  <c r="G143" i="4"/>
  <c r="G141" i="4" s="1"/>
  <c r="E40" i="1"/>
  <c r="E47" i="1" s="1"/>
  <c r="N22" i="14"/>
  <c r="V25" i="20"/>
  <c r="N25" i="10"/>
  <c r="I30" i="8"/>
  <c r="K8" i="8"/>
  <c r="K8" i="37"/>
  <c r="I30" i="37"/>
  <c r="C5" i="10"/>
  <c r="F6" i="10"/>
  <c r="G30" i="2"/>
  <c r="G34" i="2" s="1"/>
  <c r="G32" i="2" s="1"/>
  <c r="G31" i="2" s="1"/>
  <c r="G35" i="2" s="1"/>
  <c r="F92" i="10"/>
  <c r="E34" i="26"/>
  <c r="BB43" i="26"/>
  <c r="BB44" i="26" s="1"/>
  <c r="BB107" i="26" s="1"/>
  <c r="H38" i="26"/>
  <c r="H43" i="26" s="1"/>
  <c r="H44" i="26" s="1"/>
  <c r="E22" i="5"/>
  <c r="C30" i="14"/>
  <c r="E22" i="14"/>
  <c r="D132" i="19"/>
  <c r="E79" i="9"/>
  <c r="E86" i="9" s="1"/>
  <c r="E92" i="9" s="1"/>
  <c r="G43" i="6"/>
  <c r="E39" i="6"/>
  <c r="E43" i="6" s="1"/>
  <c r="D135" i="15"/>
  <c r="F168" i="19"/>
  <c r="G130" i="6"/>
  <c r="G131" i="6" s="1"/>
  <c r="K8" i="5"/>
  <c r="G38" i="6"/>
  <c r="E135" i="4"/>
  <c r="G38" i="17"/>
  <c r="G39" i="17" s="1"/>
  <c r="G124" i="17" s="1"/>
  <c r="G150" i="17" s="1"/>
  <c r="E34" i="17"/>
  <c r="E38" i="17" s="1"/>
  <c r="E39" i="17" s="1"/>
  <c r="E36" i="8"/>
  <c r="E22" i="16"/>
  <c r="C119" i="27"/>
  <c r="D49" i="28"/>
  <c r="H12" i="23"/>
  <c r="P46" i="2"/>
  <c r="N36" i="8"/>
  <c r="J10" i="23"/>
  <c r="T49" i="20"/>
  <c r="M46" i="37"/>
  <c r="C46" i="37"/>
  <c r="P46" i="14"/>
  <c r="N36" i="7"/>
  <c r="G34" i="8"/>
  <c r="G32" i="8" s="1"/>
  <c r="G31" i="8" s="1"/>
  <c r="G35" i="8" s="1"/>
  <c r="E36" i="5"/>
  <c r="N36" i="14"/>
  <c r="E36" i="37"/>
  <c r="K7" i="24"/>
  <c r="N7" i="24" s="1"/>
  <c r="D119" i="27"/>
  <c r="E36" i="12"/>
  <c r="H36" i="7"/>
  <c r="Q36" i="37"/>
  <c r="R10" i="23"/>
  <c r="V8" i="24"/>
  <c r="L7" i="16" s="1"/>
  <c r="Q15" i="24"/>
  <c r="T37" i="20"/>
  <c r="T35" i="20" s="1"/>
  <c r="T34" i="20" s="1"/>
  <c r="T38" i="20" s="1"/>
  <c r="U30" i="23"/>
  <c r="D15" i="24"/>
  <c r="J8" i="24"/>
  <c r="J7" i="16" s="1"/>
  <c r="L21" i="23"/>
  <c r="Q4" i="24"/>
  <c r="AE107" i="26"/>
  <c r="G107" i="26"/>
  <c r="C79" i="26"/>
  <c r="V47" i="11"/>
  <c r="S17" i="23"/>
  <c r="T92" i="10"/>
  <c r="V92" i="10" s="1"/>
  <c r="L15" i="24"/>
  <c r="V30" i="11"/>
  <c r="F11" i="16" s="1"/>
  <c r="V5" i="11"/>
  <c r="F4" i="16" s="1"/>
  <c r="V14" i="11"/>
  <c r="C4" i="32" s="1"/>
  <c r="N5" i="11"/>
  <c r="F5" i="11"/>
  <c r="C4" i="16" s="1"/>
  <c r="K29" i="11"/>
  <c r="N30" i="11"/>
  <c r="M47" i="11"/>
  <c r="M46" i="11" s="1"/>
  <c r="N48" i="11"/>
  <c r="D22" i="16" s="1"/>
  <c r="C46" i="11"/>
  <c r="T10" i="11"/>
  <c r="K46" i="11"/>
  <c r="S46" i="11"/>
  <c r="V46" i="11" s="1"/>
  <c r="F30" i="11"/>
  <c r="C11" i="16" s="1"/>
  <c r="G10" i="11"/>
  <c r="N14" i="11"/>
  <c r="D10" i="11"/>
  <c r="K10" i="11"/>
  <c r="G46" i="11"/>
  <c r="J47" i="11"/>
  <c r="T62" i="10"/>
  <c r="V6" i="10"/>
  <c r="Q42" i="12"/>
  <c r="S49" i="20"/>
  <c r="M49" i="20"/>
  <c r="F45" i="20"/>
  <c r="C49" i="20"/>
  <c r="N17" i="24"/>
  <c r="E15" i="24"/>
  <c r="L46" i="18"/>
  <c r="M46" i="8"/>
  <c r="I46" i="14"/>
  <c r="K46" i="14" s="1"/>
  <c r="M46" i="2"/>
  <c r="M34" i="2" s="1"/>
  <c r="M32" i="2" s="1"/>
  <c r="M31" i="2" s="1"/>
  <c r="M35" i="2" s="1"/>
  <c r="E36" i="18"/>
  <c r="Q42" i="14"/>
  <c r="V25" i="10"/>
  <c r="L46" i="5"/>
  <c r="G46" i="12"/>
  <c r="P46" i="12"/>
  <c r="N42" i="8"/>
  <c r="N46" i="14"/>
  <c r="C34" i="18"/>
  <c r="C32" i="18" s="1"/>
  <c r="C46" i="8"/>
  <c r="L32" i="5"/>
  <c r="L31" i="5" s="1"/>
  <c r="L35" i="5" s="1"/>
  <c r="K36" i="5"/>
  <c r="I34" i="5"/>
  <c r="I32" i="5" s="1"/>
  <c r="I31" i="5" s="1"/>
  <c r="O33" i="20"/>
  <c r="R8" i="20"/>
  <c r="O10" i="11"/>
  <c r="R10" i="11" s="1"/>
  <c r="E5" i="16" s="1"/>
  <c r="R75" i="10"/>
  <c r="P62" i="10"/>
  <c r="R62" i="10" s="1"/>
  <c r="P26" i="11"/>
  <c r="R26" i="11" s="1"/>
  <c r="E7" i="16" s="1"/>
  <c r="R28" i="11"/>
  <c r="P17" i="11"/>
  <c r="R20" i="11"/>
  <c r="O17" i="11"/>
  <c r="R19" i="11"/>
  <c r="Q91" i="10"/>
  <c r="O5" i="10"/>
  <c r="R6" i="10"/>
  <c r="R5" i="11"/>
  <c r="E4" i="16" s="1"/>
  <c r="F5" i="24"/>
  <c r="I4" i="16" s="1"/>
  <c r="F10" i="23"/>
  <c r="D46" i="18"/>
  <c r="E46" i="18" s="1"/>
  <c r="D34" i="18"/>
  <c r="D32" i="18" s="1"/>
  <c r="D31" i="18" s="1"/>
  <c r="D35" i="18" s="1"/>
  <c r="L32" i="7"/>
  <c r="N36" i="5"/>
  <c r="G46" i="37"/>
  <c r="G46" i="5"/>
  <c r="G34" i="5"/>
  <c r="G32" i="5" s="1"/>
  <c r="G31" i="5" s="1"/>
  <c r="G35" i="5" s="1"/>
  <c r="E36" i="2"/>
  <c r="M46" i="7"/>
  <c r="M34" i="7" s="1"/>
  <c r="M32" i="7" s="1"/>
  <c r="M31" i="7" s="1"/>
  <c r="M35" i="7" s="1"/>
  <c r="O46" i="18"/>
  <c r="J46" i="37"/>
  <c r="D34" i="5"/>
  <c r="D32" i="5" s="1"/>
  <c r="D31" i="5" s="1"/>
  <c r="D35" i="5" s="1"/>
  <c r="L32" i="18"/>
  <c r="K36" i="2"/>
  <c r="J46" i="2"/>
  <c r="K42" i="18"/>
  <c r="F34" i="5"/>
  <c r="F46" i="5"/>
  <c r="H36" i="5"/>
  <c r="O46" i="2"/>
  <c r="Q36" i="2"/>
  <c r="P34" i="18"/>
  <c r="P32" i="18" s="1"/>
  <c r="P31" i="18" s="1"/>
  <c r="P35" i="18" s="1"/>
  <c r="P46" i="18"/>
  <c r="Q36" i="8"/>
  <c r="O46" i="8"/>
  <c r="F46" i="7"/>
  <c r="G46" i="18"/>
  <c r="P46" i="7"/>
  <c r="P46" i="8"/>
  <c r="J46" i="8"/>
  <c r="M46" i="5"/>
  <c r="M34" i="5"/>
  <c r="Q36" i="18"/>
  <c r="D46" i="14"/>
  <c r="E36" i="14"/>
  <c r="J34" i="18"/>
  <c r="J32" i="18" s="1"/>
  <c r="J31" i="18" s="1"/>
  <c r="J35" i="18" s="1"/>
  <c r="J46" i="18"/>
  <c r="C46" i="7"/>
  <c r="E36" i="7"/>
  <c r="J46" i="7"/>
  <c r="H42" i="8"/>
  <c r="Q36" i="7"/>
  <c r="O46" i="7"/>
  <c r="E46" i="2"/>
  <c r="H42" i="18"/>
  <c r="K42" i="37"/>
  <c r="P46" i="5"/>
  <c r="P34" i="5"/>
  <c r="P32" i="5" s="1"/>
  <c r="P31" i="5" s="1"/>
  <c r="P35" i="5" s="1"/>
  <c r="K42" i="5"/>
  <c r="J34" i="5"/>
  <c r="J46" i="5"/>
  <c r="K46" i="5" s="1"/>
  <c r="O46" i="5"/>
  <c r="Q36" i="5"/>
  <c r="O34" i="5"/>
  <c r="O46" i="14"/>
  <c r="Q36" i="14"/>
  <c r="O46" i="37"/>
  <c r="Q46" i="37" s="1"/>
  <c r="O34" i="18"/>
  <c r="C46" i="12"/>
  <c r="R17" i="24"/>
  <c r="K12" i="16" s="1"/>
  <c r="Q36" i="12"/>
  <c r="O46" i="12"/>
  <c r="E17" i="23"/>
  <c r="F19" i="23"/>
  <c r="N41" i="30"/>
  <c r="L46" i="8"/>
  <c r="F8" i="23"/>
  <c r="T12" i="23"/>
  <c r="J17" i="24"/>
  <c r="J12" i="16" s="1"/>
  <c r="R8" i="23"/>
  <c r="N22" i="23"/>
  <c r="N37" i="23"/>
  <c r="M29" i="24"/>
  <c r="M26" i="24" s="1"/>
  <c r="J16" i="23"/>
  <c r="L12" i="23"/>
  <c r="M30" i="23"/>
  <c r="O21" i="23"/>
  <c r="R21" i="23" s="1"/>
  <c r="H68" i="26"/>
  <c r="D68" i="26" s="1"/>
  <c r="D74" i="26" s="1"/>
  <c r="C68" i="26"/>
  <c r="C74" i="26" s="1"/>
  <c r="D7" i="23"/>
  <c r="R24" i="23"/>
  <c r="K18" i="24"/>
  <c r="N18" i="24" s="1"/>
  <c r="N24" i="23"/>
  <c r="J23" i="23"/>
  <c r="K21" i="23"/>
  <c r="L31" i="23"/>
  <c r="U26" i="24"/>
  <c r="P15" i="24"/>
  <c r="N16" i="24"/>
  <c r="J6" i="30"/>
  <c r="C21" i="23"/>
  <c r="F21" i="23" s="1"/>
  <c r="C18" i="24"/>
  <c r="F24" i="23"/>
  <c r="M4" i="24"/>
  <c r="J22" i="23"/>
  <c r="G16" i="24"/>
  <c r="G21" i="23"/>
  <c r="F16" i="24"/>
  <c r="I11" i="16" s="1"/>
  <c r="F26" i="24"/>
  <c r="I18" i="16" s="1"/>
  <c r="C25" i="24"/>
  <c r="J29" i="24"/>
  <c r="J21" i="16" s="1"/>
  <c r="I26" i="24"/>
  <c r="R26" i="24"/>
  <c r="K18" i="16" s="1"/>
  <c r="Q25" i="24"/>
  <c r="R25" i="24" s="1"/>
  <c r="H21" i="23"/>
  <c r="H16" i="24"/>
  <c r="H15" i="24" s="1"/>
  <c r="F17" i="24"/>
  <c r="I12" i="16" s="1"/>
  <c r="L46" i="12"/>
  <c r="N46" i="12" s="1"/>
  <c r="N36" i="12"/>
  <c r="R6" i="24"/>
  <c r="K5" i="16" s="1"/>
  <c r="P49" i="20"/>
  <c r="P35" i="20"/>
  <c r="P34" i="20" s="1"/>
  <c r="P38" i="20" s="1"/>
  <c r="R39" i="20"/>
  <c r="Q49" i="20"/>
  <c r="K36" i="8" l="1"/>
  <c r="F12" i="16"/>
  <c r="C7" i="32"/>
  <c r="R33" i="20"/>
  <c r="C11" i="32"/>
  <c r="C12" i="32" s="1"/>
  <c r="C32" i="32" s="1"/>
  <c r="N30" i="5"/>
  <c r="H30" i="14"/>
  <c r="E46" i="8"/>
  <c r="N30" i="37"/>
  <c r="E46" i="37"/>
  <c r="F17" i="16"/>
  <c r="D91" i="10"/>
  <c r="F10" i="16"/>
  <c r="F62" i="10"/>
  <c r="L108" i="10"/>
  <c r="E108" i="10"/>
  <c r="I34" i="8"/>
  <c r="I32" i="8" s="1"/>
  <c r="I31" i="8" s="1"/>
  <c r="I35" i="8" s="1"/>
  <c r="I46" i="37"/>
  <c r="R16" i="30"/>
  <c r="I108" i="10"/>
  <c r="F39" i="11"/>
  <c r="C13" i="16" s="1"/>
  <c r="C10" i="16" s="1"/>
  <c r="I91" i="10"/>
  <c r="H91" i="10"/>
  <c r="S108" i="10"/>
  <c r="V62" i="10"/>
  <c r="H4" i="11"/>
  <c r="J33" i="20"/>
  <c r="J16" i="30"/>
  <c r="R17" i="23"/>
  <c r="N6" i="24"/>
  <c r="O9" i="24"/>
  <c r="R9" i="24" s="1"/>
  <c r="K8" i="16" s="1"/>
  <c r="N39" i="20"/>
  <c r="E30" i="5"/>
  <c r="K30" i="7"/>
  <c r="E30" i="18"/>
  <c r="N30" i="18"/>
  <c r="H30" i="18"/>
  <c r="N30" i="14"/>
  <c r="L32" i="37"/>
  <c r="L31" i="37" s="1"/>
  <c r="L35" i="37" s="1"/>
  <c r="N35" i="37" s="1"/>
  <c r="Q30" i="37"/>
  <c r="E30" i="37"/>
  <c r="C34" i="37"/>
  <c r="C32" i="37" s="1"/>
  <c r="P34" i="12"/>
  <c r="P32" i="12" s="1"/>
  <c r="P31" i="12" s="1"/>
  <c r="P35" i="12" s="1"/>
  <c r="K30" i="37"/>
  <c r="K30" i="12"/>
  <c r="J34" i="12"/>
  <c r="J32" i="12" s="1"/>
  <c r="J31" i="12" s="1"/>
  <c r="J35" i="12" s="1"/>
  <c r="F46" i="12"/>
  <c r="F34" i="12" s="1"/>
  <c r="F32" i="12" s="1"/>
  <c r="N30" i="12"/>
  <c r="D34" i="12"/>
  <c r="D32" i="12" s="1"/>
  <c r="D31" i="12" s="1"/>
  <c r="D35" i="12" s="1"/>
  <c r="G34" i="12"/>
  <c r="G32" i="12" s="1"/>
  <c r="G31" i="12" s="1"/>
  <c r="G35" i="12" s="1"/>
  <c r="E46" i="12"/>
  <c r="C34" i="12"/>
  <c r="C32" i="12" s="1"/>
  <c r="H36" i="2"/>
  <c r="H36" i="14"/>
  <c r="H36" i="37"/>
  <c r="K36" i="18"/>
  <c r="C9" i="24"/>
  <c r="C4" i="24" s="1"/>
  <c r="E179" i="9"/>
  <c r="I163" i="4"/>
  <c r="I189" i="4" s="1"/>
  <c r="M180" i="9"/>
  <c r="M206" i="9" s="1"/>
  <c r="D123" i="17"/>
  <c r="F136" i="15"/>
  <c r="F162" i="15" s="1"/>
  <c r="D73" i="26"/>
  <c r="F74" i="26"/>
  <c r="E75" i="4"/>
  <c r="D163" i="4"/>
  <c r="D189" i="4" s="1"/>
  <c r="D132" i="6"/>
  <c r="D158" i="6" s="1"/>
  <c r="N30" i="7"/>
  <c r="Q30" i="7"/>
  <c r="I4" i="11"/>
  <c r="I45" i="11" s="1"/>
  <c r="J5" i="11"/>
  <c r="D4" i="16" s="1"/>
  <c r="T29" i="11"/>
  <c r="F25" i="24"/>
  <c r="I17" i="16"/>
  <c r="F33" i="20"/>
  <c r="Q30" i="12"/>
  <c r="E30" i="12"/>
  <c r="K30" i="2"/>
  <c r="P34" i="7"/>
  <c r="P32" i="7" s="1"/>
  <c r="P31" i="7" s="1"/>
  <c r="P35" i="7" s="1"/>
  <c r="H30" i="7"/>
  <c r="N36" i="18"/>
  <c r="N46" i="18"/>
  <c r="J7" i="24"/>
  <c r="J6" i="16" s="1"/>
  <c r="M32" i="18"/>
  <c r="M31" i="18" s="1"/>
  <c r="M35" i="18" s="1"/>
  <c r="P4" i="24"/>
  <c r="K30" i="18"/>
  <c r="E30" i="14"/>
  <c r="P34" i="14"/>
  <c r="P32" i="14" s="1"/>
  <c r="P31" i="14" s="1"/>
  <c r="P35" i="14" s="1"/>
  <c r="K30" i="14"/>
  <c r="M32" i="14"/>
  <c r="M31" i="14" s="1"/>
  <c r="I34" i="14"/>
  <c r="K34" i="14" s="1"/>
  <c r="F47" i="11"/>
  <c r="K30" i="8"/>
  <c r="F46" i="8"/>
  <c r="H46" i="8" s="1"/>
  <c r="N30" i="8"/>
  <c r="F34" i="8"/>
  <c r="F32" i="8" s="1"/>
  <c r="I34" i="37"/>
  <c r="K34" i="37" s="1"/>
  <c r="F34" i="37"/>
  <c r="F32" i="37" s="1"/>
  <c r="I46" i="18"/>
  <c r="K46" i="18" s="1"/>
  <c r="E4" i="11"/>
  <c r="E60" i="11" s="1"/>
  <c r="O29" i="11"/>
  <c r="L4" i="11"/>
  <c r="L60" i="11" s="1"/>
  <c r="H29" i="11"/>
  <c r="J29" i="11" s="1"/>
  <c r="D29" i="11"/>
  <c r="F29" i="11" s="1"/>
  <c r="C4" i="11"/>
  <c r="C60" i="11" s="1"/>
  <c r="V5" i="10"/>
  <c r="S91" i="10"/>
  <c r="N29" i="11"/>
  <c r="C108" i="10"/>
  <c r="M45" i="11"/>
  <c r="V17" i="11"/>
  <c r="F6" i="16" s="1"/>
  <c r="D4" i="11"/>
  <c r="U108" i="10"/>
  <c r="D108" i="10"/>
  <c r="K17" i="11"/>
  <c r="N17" i="11" s="1"/>
  <c r="H36" i="18"/>
  <c r="S33" i="20"/>
  <c r="E51" i="15"/>
  <c r="Q30" i="14"/>
  <c r="I46" i="12"/>
  <c r="I34" i="12" s="1"/>
  <c r="D142" i="19"/>
  <c r="D168" i="19" s="1"/>
  <c r="D164" i="1"/>
  <c r="C38" i="26"/>
  <c r="C43" i="26" s="1"/>
  <c r="C44" i="26" s="1"/>
  <c r="E10" i="16"/>
  <c r="C37" i="20"/>
  <c r="C35" i="20" s="1"/>
  <c r="C34" i="20" s="1"/>
  <c r="E110" i="6"/>
  <c r="E130" i="6" s="1"/>
  <c r="E131" i="6" s="1"/>
  <c r="E30" i="2"/>
  <c r="I150" i="17"/>
  <c r="D179" i="9"/>
  <c r="P7" i="23"/>
  <c r="R7" i="23" s="1"/>
  <c r="R12" i="23"/>
  <c r="V49" i="20"/>
  <c r="U4" i="11"/>
  <c r="T4" i="11"/>
  <c r="F34" i="18"/>
  <c r="H34" i="18" s="1"/>
  <c r="V10" i="11"/>
  <c r="F5" i="16" s="1"/>
  <c r="P34" i="2"/>
  <c r="P32" i="2" s="1"/>
  <c r="P31" i="2" s="1"/>
  <c r="P35" i="2" s="1"/>
  <c r="E136" i="15"/>
  <c r="E162" i="15" s="1"/>
  <c r="N8" i="20"/>
  <c r="O35" i="20"/>
  <c r="O34" i="20" s="1"/>
  <c r="O38" i="20" s="1"/>
  <c r="Q30" i="2"/>
  <c r="E43" i="26"/>
  <c r="E44" i="26" s="1"/>
  <c r="E107" i="26" s="1"/>
  <c r="N33" i="20"/>
  <c r="G134" i="15"/>
  <c r="G135" i="15" s="1"/>
  <c r="K5" i="10"/>
  <c r="E45" i="19"/>
  <c r="E46" i="19" s="1"/>
  <c r="E180" i="9"/>
  <c r="E206" i="9" s="1"/>
  <c r="D180" i="9"/>
  <c r="D206" i="9" s="1"/>
  <c r="J19" i="23"/>
  <c r="G17" i="23"/>
  <c r="D17" i="16"/>
  <c r="G44" i="6"/>
  <c r="E123" i="17"/>
  <c r="E124" i="17" s="1"/>
  <c r="E150" i="17" s="1"/>
  <c r="G142" i="19"/>
  <c r="G168" i="19" s="1"/>
  <c r="Q30" i="8"/>
  <c r="F6" i="24"/>
  <c r="I5" i="16" s="1"/>
  <c r="M24" i="24"/>
  <c r="P29" i="11"/>
  <c r="F49" i="20"/>
  <c r="H7" i="23"/>
  <c r="H9" i="24"/>
  <c r="H4" i="24" s="1"/>
  <c r="H24" i="24" s="1"/>
  <c r="H35" i="24" s="1"/>
  <c r="F17" i="11"/>
  <c r="C6" i="16" s="1"/>
  <c r="U24" i="24"/>
  <c r="J17" i="11"/>
  <c r="D6" i="16" s="1"/>
  <c r="M60" i="11"/>
  <c r="E44" i="6"/>
  <c r="E132" i="6" s="1"/>
  <c r="E158" i="6" s="1"/>
  <c r="J5" i="10"/>
  <c r="G91" i="10"/>
  <c r="G108" i="10"/>
  <c r="E30" i="8"/>
  <c r="N19" i="23"/>
  <c r="K17" i="23"/>
  <c r="G52" i="1"/>
  <c r="G53" i="1" s="1"/>
  <c r="E48" i="1"/>
  <c r="E52" i="1" s="1"/>
  <c r="E53" i="1" s="1"/>
  <c r="G180" i="9"/>
  <c r="G206" i="9" s="1"/>
  <c r="G132" i="6"/>
  <c r="G158" i="6" s="1"/>
  <c r="E141" i="4"/>
  <c r="E161" i="4" s="1"/>
  <c r="E162" i="4" s="1"/>
  <c r="E163" i="4" s="1"/>
  <c r="E189" i="4" s="1"/>
  <c r="G161" i="4"/>
  <c r="G162" i="4" s="1"/>
  <c r="G163" i="4" s="1"/>
  <c r="G189" i="4" s="1"/>
  <c r="D124" i="17"/>
  <c r="D150" i="17" s="1"/>
  <c r="D136" i="15"/>
  <c r="D162" i="15" s="1"/>
  <c r="E116" i="1"/>
  <c r="E136" i="1" s="1"/>
  <c r="E137" i="1" s="1"/>
  <c r="G136" i="1"/>
  <c r="G137" i="1" s="1"/>
  <c r="K30" i="5"/>
  <c r="P108" i="10"/>
  <c r="R17" i="11"/>
  <c r="E6" i="16" s="1"/>
  <c r="E142" i="19"/>
  <c r="E168" i="19" s="1"/>
  <c r="G136" i="15"/>
  <c r="G162" i="15" s="1"/>
  <c r="I34" i="7"/>
  <c r="I32" i="7" s="1"/>
  <c r="I31" i="7" s="1"/>
  <c r="I35" i="7" s="1"/>
  <c r="H30" i="2"/>
  <c r="N47" i="11"/>
  <c r="F5" i="10"/>
  <c r="C91" i="10"/>
  <c r="F91" i="10" s="1"/>
  <c r="C34" i="14"/>
  <c r="C32" i="14" s="1"/>
  <c r="C31" i="14" s="1"/>
  <c r="F43" i="26"/>
  <c r="F44" i="26" s="1"/>
  <c r="D38" i="26"/>
  <c r="D43" i="26" s="1"/>
  <c r="D44" i="26" s="1"/>
  <c r="AH66" i="26"/>
  <c r="AH107" i="26" s="1"/>
  <c r="F65" i="26"/>
  <c r="J62" i="10"/>
  <c r="H108" i="10"/>
  <c r="J34" i="11"/>
  <c r="D12" i="16" s="1"/>
  <c r="D10" i="16" s="1"/>
  <c r="H37" i="20"/>
  <c r="E17" i="16"/>
  <c r="N49" i="20"/>
  <c r="N46" i="8"/>
  <c r="K46" i="8"/>
  <c r="K46" i="37"/>
  <c r="N34" i="7"/>
  <c r="Q46" i="18"/>
  <c r="Q24" i="24"/>
  <c r="Q35" i="24" s="1"/>
  <c r="D24" i="24"/>
  <c r="D35" i="24" s="1"/>
  <c r="C107" i="26"/>
  <c r="T108" i="10"/>
  <c r="T91" i="10"/>
  <c r="V17" i="23"/>
  <c r="S60" i="11"/>
  <c r="J10" i="11"/>
  <c r="D5" i="16" s="1"/>
  <c r="G4" i="11"/>
  <c r="G60" i="11" s="1"/>
  <c r="F46" i="11"/>
  <c r="V29" i="11"/>
  <c r="P4" i="11"/>
  <c r="N10" i="11"/>
  <c r="F10" i="11"/>
  <c r="C5" i="16" s="1"/>
  <c r="J46" i="11"/>
  <c r="Q45" i="11"/>
  <c r="Q60" i="11"/>
  <c r="N46" i="11"/>
  <c r="S45" i="11"/>
  <c r="N37" i="20"/>
  <c r="K35" i="20"/>
  <c r="G38" i="20"/>
  <c r="E34" i="18"/>
  <c r="H46" i="5"/>
  <c r="H74" i="26"/>
  <c r="H107" i="26" s="1"/>
  <c r="N46" i="5"/>
  <c r="H46" i="37"/>
  <c r="Q46" i="8"/>
  <c r="O4" i="11"/>
  <c r="P91" i="10"/>
  <c r="R5" i="10"/>
  <c r="O91" i="10"/>
  <c r="O108" i="10"/>
  <c r="E34" i="5"/>
  <c r="Q46" i="5"/>
  <c r="N46" i="7"/>
  <c r="C31" i="5"/>
  <c r="E32" i="5"/>
  <c r="Q34" i="18"/>
  <c r="O32" i="18"/>
  <c r="E32" i="18"/>
  <c r="C31" i="18"/>
  <c r="C32" i="2"/>
  <c r="E34" i="2"/>
  <c r="E46" i="7"/>
  <c r="C34" i="7"/>
  <c r="D34" i="14"/>
  <c r="E46" i="14"/>
  <c r="Q34" i="8"/>
  <c r="O32" i="8"/>
  <c r="H34" i="5"/>
  <c r="F32" i="5"/>
  <c r="J34" i="2"/>
  <c r="K46" i="2"/>
  <c r="Q46" i="14"/>
  <c r="O34" i="14"/>
  <c r="O32" i="5"/>
  <c r="Q34" i="5"/>
  <c r="H46" i="18"/>
  <c r="Q46" i="7"/>
  <c r="O34" i="7"/>
  <c r="N32" i="8"/>
  <c r="F34" i="2"/>
  <c r="H46" i="2"/>
  <c r="H46" i="14"/>
  <c r="F34" i="14"/>
  <c r="I35" i="2"/>
  <c r="J32" i="8"/>
  <c r="F34" i="7"/>
  <c r="H46" i="7"/>
  <c r="Q46" i="2"/>
  <c r="O34" i="2"/>
  <c r="J32" i="5"/>
  <c r="K34" i="5"/>
  <c r="J34" i="7"/>
  <c r="K46" i="7"/>
  <c r="I35" i="5"/>
  <c r="O32" i="37"/>
  <c r="Q34" i="37"/>
  <c r="M32" i="5"/>
  <c r="N34" i="5"/>
  <c r="K34" i="18"/>
  <c r="I32" i="18"/>
  <c r="O34" i="12"/>
  <c r="Q46" i="12"/>
  <c r="L32" i="12"/>
  <c r="N29" i="24"/>
  <c r="F17" i="23"/>
  <c r="E12" i="23"/>
  <c r="E9" i="24" s="1"/>
  <c r="N32" i="7"/>
  <c r="L31" i="7"/>
  <c r="L31" i="8"/>
  <c r="N31" i="8" s="1"/>
  <c r="N34" i="8"/>
  <c r="T9" i="24"/>
  <c r="T7" i="23"/>
  <c r="O30" i="23"/>
  <c r="O44" i="23" s="1"/>
  <c r="L9" i="24"/>
  <c r="L7" i="23"/>
  <c r="D30" i="23"/>
  <c r="D44" i="23" s="1"/>
  <c r="L31" i="18"/>
  <c r="N21" i="23"/>
  <c r="K15" i="24"/>
  <c r="N15" i="24" s="1"/>
  <c r="J21" i="23"/>
  <c r="J16" i="24"/>
  <c r="J11" i="16" s="1"/>
  <c r="J10" i="16" s="1"/>
  <c r="G15" i="24"/>
  <c r="J15" i="24" s="1"/>
  <c r="C30" i="23"/>
  <c r="U25" i="24"/>
  <c r="V25" i="24" s="1"/>
  <c r="V26" i="24"/>
  <c r="M25" i="24"/>
  <c r="N25" i="24" s="1"/>
  <c r="N26" i="24"/>
  <c r="I25" i="24"/>
  <c r="J26" i="24"/>
  <c r="J18" i="16" s="1"/>
  <c r="F18" i="24"/>
  <c r="I13" i="16" s="1"/>
  <c r="I10" i="16" s="1"/>
  <c r="C15" i="24"/>
  <c r="F15" i="24" s="1"/>
  <c r="R49" i="20"/>
  <c r="Q35" i="20"/>
  <c r="R37" i="20"/>
  <c r="N31" i="37"/>
  <c r="K34" i="8" l="1"/>
  <c r="R29" i="11"/>
  <c r="J17" i="16"/>
  <c r="F3" i="16"/>
  <c r="F15" i="16" s="1"/>
  <c r="F25" i="16" s="1"/>
  <c r="K17" i="16"/>
  <c r="L18" i="16"/>
  <c r="L17" i="16" s="1"/>
  <c r="P24" i="24"/>
  <c r="P35" i="24" s="1"/>
  <c r="H46" i="12"/>
  <c r="J91" i="10"/>
  <c r="T45" i="11"/>
  <c r="V91" i="10"/>
  <c r="J5" i="30"/>
  <c r="J4" i="30" s="1"/>
  <c r="N32" i="37"/>
  <c r="N34" i="37"/>
  <c r="H34" i="37"/>
  <c r="H34" i="8"/>
  <c r="I32" i="37"/>
  <c r="K32" i="37" s="1"/>
  <c r="K46" i="12"/>
  <c r="I60" i="11"/>
  <c r="O60" i="11"/>
  <c r="D14" i="16"/>
  <c r="D60" i="11"/>
  <c r="F60" i="11" s="1"/>
  <c r="F35" i="20"/>
  <c r="F37" i="20"/>
  <c r="F32" i="18"/>
  <c r="F31" i="18" s="1"/>
  <c r="N32" i="18"/>
  <c r="N34" i="18"/>
  <c r="N32" i="14"/>
  <c r="I32" i="14"/>
  <c r="K32" i="14" s="1"/>
  <c r="N34" i="14"/>
  <c r="K4" i="11"/>
  <c r="K60" i="11" s="1"/>
  <c r="N60" i="11" s="1"/>
  <c r="L45" i="11"/>
  <c r="T60" i="11"/>
  <c r="E45" i="11"/>
  <c r="H45" i="11"/>
  <c r="D45" i="11"/>
  <c r="H60" i="11"/>
  <c r="C45" i="11"/>
  <c r="C3" i="16"/>
  <c r="C15" i="16" s="1"/>
  <c r="C25" i="16" s="1"/>
  <c r="E3" i="16"/>
  <c r="E15" i="16" s="1"/>
  <c r="E25" i="16" s="1"/>
  <c r="F4" i="11"/>
  <c r="F108" i="10"/>
  <c r="V108" i="10"/>
  <c r="V111" i="10" s="1"/>
  <c r="V113" i="10" s="1"/>
  <c r="V4" i="11"/>
  <c r="P30" i="23"/>
  <c r="P44" i="23" s="1"/>
  <c r="R91" i="10"/>
  <c r="E138" i="1"/>
  <c r="E164" i="1" s="1"/>
  <c r="V33" i="20"/>
  <c r="S37" i="20"/>
  <c r="E34" i="12"/>
  <c r="U45" i="11"/>
  <c r="U60" i="11"/>
  <c r="K91" i="10"/>
  <c r="N91" i="10" s="1"/>
  <c r="N5" i="10"/>
  <c r="K108" i="10"/>
  <c r="N108" i="10" s="1"/>
  <c r="C31" i="37"/>
  <c r="E32" i="37"/>
  <c r="E34" i="37"/>
  <c r="R108" i="10"/>
  <c r="G12" i="23"/>
  <c r="J17" i="23"/>
  <c r="H30" i="23"/>
  <c r="H44" i="23" s="1"/>
  <c r="P60" i="11"/>
  <c r="D3" i="16"/>
  <c r="D15" i="16" s="1"/>
  <c r="D25" i="16" s="1"/>
  <c r="P45" i="11"/>
  <c r="F66" i="26"/>
  <c r="F107" i="26" s="1"/>
  <c r="D65" i="26"/>
  <c r="D66" i="26" s="1"/>
  <c r="D107" i="26" s="1"/>
  <c r="C32" i="8"/>
  <c r="E34" i="8"/>
  <c r="G138" i="1"/>
  <c r="G164" i="1" s="1"/>
  <c r="N17" i="23"/>
  <c r="K12" i="23"/>
  <c r="J108" i="10"/>
  <c r="H35" i="20"/>
  <c r="J37" i="20"/>
  <c r="N34" i="12"/>
  <c r="C31" i="12"/>
  <c r="L35" i="8"/>
  <c r="N35" i="8" s="1"/>
  <c r="J14" i="16"/>
  <c r="C14" i="16"/>
  <c r="I14" i="16"/>
  <c r="G45" i="11"/>
  <c r="J4" i="11"/>
  <c r="K34" i="20"/>
  <c r="N35" i="20"/>
  <c r="C38" i="20"/>
  <c r="F38" i="20" s="1"/>
  <c r="F34" i="20"/>
  <c r="O45" i="11"/>
  <c r="R4" i="11"/>
  <c r="Q34" i="7"/>
  <c r="O32" i="7"/>
  <c r="O31" i="5"/>
  <c r="Q32" i="5"/>
  <c r="J32" i="2"/>
  <c r="K34" i="2"/>
  <c r="C35" i="18"/>
  <c r="E35" i="18" s="1"/>
  <c r="E31" i="18"/>
  <c r="C35" i="5"/>
  <c r="E35" i="5" s="1"/>
  <c r="E31" i="5"/>
  <c r="J32" i="7"/>
  <c r="K34" i="7"/>
  <c r="J31" i="8"/>
  <c r="K32" i="8"/>
  <c r="O31" i="8"/>
  <c r="Q32" i="8"/>
  <c r="E32" i="2"/>
  <c r="C31" i="2"/>
  <c r="I31" i="18"/>
  <c r="K32" i="18"/>
  <c r="H32" i="8"/>
  <c r="F31" i="8"/>
  <c r="J31" i="5"/>
  <c r="K32" i="5"/>
  <c r="H34" i="7"/>
  <c r="F32" i="7"/>
  <c r="H34" i="2"/>
  <c r="F32" i="2"/>
  <c r="H32" i="5"/>
  <c r="F31" i="5"/>
  <c r="F31" i="37"/>
  <c r="H32" i="37"/>
  <c r="O32" i="14"/>
  <c r="Q34" i="14"/>
  <c r="C32" i="7"/>
  <c r="E34" i="7"/>
  <c r="M31" i="5"/>
  <c r="N32" i="5"/>
  <c r="Q32" i="37"/>
  <c r="O31" i="37"/>
  <c r="O32" i="2"/>
  <c r="Q34" i="2"/>
  <c r="H34" i="14"/>
  <c r="F32" i="14"/>
  <c r="C35" i="14"/>
  <c r="D32" i="14"/>
  <c r="E34" i="14"/>
  <c r="O31" i="18"/>
  <c r="Q32" i="18"/>
  <c r="I32" i="12"/>
  <c r="K34" i="12"/>
  <c r="O32" i="12"/>
  <c r="Q34" i="12"/>
  <c r="H34" i="12"/>
  <c r="E7" i="23"/>
  <c r="F12" i="23"/>
  <c r="N31" i="7"/>
  <c r="L35" i="7"/>
  <c r="N35" i="7" s="1"/>
  <c r="M35" i="14"/>
  <c r="N35" i="14" s="1"/>
  <c r="N31" i="14"/>
  <c r="T4" i="24"/>
  <c r="L30" i="23"/>
  <c r="L4" i="24"/>
  <c r="L35" i="18"/>
  <c r="N35" i="18" s="1"/>
  <c r="N31" i="18"/>
  <c r="J25" i="24"/>
  <c r="M35" i="24"/>
  <c r="U35" i="24"/>
  <c r="C44" i="23"/>
  <c r="C24" i="24"/>
  <c r="L31" i="12"/>
  <c r="N32" i="12"/>
  <c r="Q34" i="20"/>
  <c r="R35" i="20"/>
  <c r="V45" i="11" l="1"/>
  <c r="R60" i="11"/>
  <c r="F16" i="30"/>
  <c r="I31" i="37"/>
  <c r="I35" i="37" s="1"/>
  <c r="K35" i="37" s="1"/>
  <c r="J60" i="11"/>
  <c r="I31" i="14"/>
  <c r="K31" i="14" s="1"/>
  <c r="H32" i="18"/>
  <c r="K45" i="11"/>
  <c r="N45" i="11" s="1"/>
  <c r="N4" i="11"/>
  <c r="V60" i="11"/>
  <c r="F45" i="11"/>
  <c r="J45" i="11"/>
  <c r="R30" i="23"/>
  <c r="J110" i="10"/>
  <c r="S35" i="20"/>
  <c r="V37" i="20"/>
  <c r="G9" i="24"/>
  <c r="J12" i="23"/>
  <c r="G7" i="23"/>
  <c r="C35" i="37"/>
  <c r="E35" i="37" s="1"/>
  <c r="E31" i="37"/>
  <c r="R45" i="11"/>
  <c r="H34" i="20"/>
  <c r="J35" i="20"/>
  <c r="K9" i="24"/>
  <c r="K7" i="23"/>
  <c r="N12" i="23"/>
  <c r="E32" i="8"/>
  <c r="C31" i="8"/>
  <c r="E32" i="12"/>
  <c r="N34" i="20"/>
  <c r="K38" i="20"/>
  <c r="N38" i="20" s="1"/>
  <c r="M38" i="23"/>
  <c r="H32" i="14"/>
  <c r="F31" i="14"/>
  <c r="E32" i="7"/>
  <c r="C31" i="7"/>
  <c r="F35" i="5"/>
  <c r="H35" i="5" s="1"/>
  <c r="H31" i="5"/>
  <c r="F31" i="2"/>
  <c r="H32" i="2"/>
  <c r="E31" i="2"/>
  <c r="C35" i="2"/>
  <c r="E35" i="2" s="1"/>
  <c r="D31" i="14"/>
  <c r="E32" i="14"/>
  <c r="J35" i="5"/>
  <c r="K35" i="5" s="1"/>
  <c r="K31" i="5"/>
  <c r="I35" i="18"/>
  <c r="K35" i="18" s="1"/>
  <c r="K31" i="18"/>
  <c r="J35" i="8"/>
  <c r="K35" i="8" s="1"/>
  <c r="K31" i="8"/>
  <c r="J31" i="7"/>
  <c r="K32" i="7"/>
  <c r="Q31" i="5"/>
  <c r="O35" i="5"/>
  <c r="Q35" i="5" s="1"/>
  <c r="O35" i="37"/>
  <c r="Q35" i="37" s="1"/>
  <c r="Q31" i="37"/>
  <c r="M35" i="5"/>
  <c r="N35" i="5" s="1"/>
  <c r="N31" i="5"/>
  <c r="Q32" i="14"/>
  <c r="O31" i="14"/>
  <c r="H32" i="7"/>
  <c r="F31" i="7"/>
  <c r="F35" i="8"/>
  <c r="H35" i="8" s="1"/>
  <c r="H31" i="8"/>
  <c r="O31" i="7"/>
  <c r="Q32" i="7"/>
  <c r="O35" i="18"/>
  <c r="Q35" i="18" s="1"/>
  <c r="Q31" i="18"/>
  <c r="Q32" i="2"/>
  <c r="O31" i="2"/>
  <c r="F35" i="37"/>
  <c r="H35" i="37" s="1"/>
  <c r="H31" i="37"/>
  <c r="Q31" i="8"/>
  <c r="O35" i="8"/>
  <c r="Q35" i="8" s="1"/>
  <c r="F35" i="18"/>
  <c r="H35" i="18" s="1"/>
  <c r="H31" i="18"/>
  <c r="J31" i="2"/>
  <c r="K32" i="2"/>
  <c r="Q32" i="12"/>
  <c r="O31" i="12"/>
  <c r="F31" i="12"/>
  <c r="H32" i="12"/>
  <c r="E31" i="12"/>
  <c r="C35" i="12"/>
  <c r="E35" i="12" s="1"/>
  <c r="I31" i="12"/>
  <c r="K32" i="12"/>
  <c r="E30" i="23"/>
  <c r="F7" i="23"/>
  <c r="E4" i="24"/>
  <c r="F9" i="24"/>
  <c r="I8" i="16" s="1"/>
  <c r="I3" i="16" s="1"/>
  <c r="L44" i="23"/>
  <c r="L24" i="24"/>
  <c r="L35" i="24" s="1"/>
  <c r="C35" i="24"/>
  <c r="N31" i="12"/>
  <c r="L35" i="12"/>
  <c r="N35" i="12" s="1"/>
  <c r="Q38" i="20"/>
  <c r="R38" i="20" s="1"/>
  <c r="R34" i="20"/>
  <c r="Q199" i="25" l="1"/>
  <c r="Q198" i="25" s="1"/>
  <c r="K31" i="37"/>
  <c r="N16" i="30"/>
  <c r="N5" i="30" s="1"/>
  <c r="N4" i="30" s="1"/>
  <c r="I38" i="23"/>
  <c r="J38" i="23" s="1"/>
  <c r="I8" i="23"/>
  <c r="I5" i="24" s="1"/>
  <c r="F5" i="30"/>
  <c r="F4" i="30" s="1"/>
  <c r="I35" i="14"/>
  <c r="K35" i="14" s="1"/>
  <c r="V35" i="20"/>
  <c r="S34" i="20"/>
  <c r="G30" i="23"/>
  <c r="G4" i="24"/>
  <c r="J9" i="24"/>
  <c r="J8" i="16" s="1"/>
  <c r="H38" i="20"/>
  <c r="J38" i="20" s="1"/>
  <c r="J34" i="20"/>
  <c r="K30" i="23"/>
  <c r="N7" i="23"/>
  <c r="C35" i="8"/>
  <c r="E35" i="8" s="1"/>
  <c r="E31" i="8"/>
  <c r="K4" i="24"/>
  <c r="N9" i="24"/>
  <c r="E38" i="23"/>
  <c r="F38" i="23" s="1"/>
  <c r="C9" i="16"/>
  <c r="I15" i="16"/>
  <c r="I25" i="16" s="1"/>
  <c r="I9" i="16"/>
  <c r="Q31" i="14"/>
  <c r="O35" i="14"/>
  <c r="Q35" i="14" s="1"/>
  <c r="D35" i="14"/>
  <c r="E35" i="14" s="1"/>
  <c r="E31" i="14"/>
  <c r="H31" i="2"/>
  <c r="F35" i="2"/>
  <c r="H35" i="2" s="1"/>
  <c r="Q31" i="2"/>
  <c r="O35" i="2"/>
  <c r="Q35" i="2" s="1"/>
  <c r="F35" i="7"/>
  <c r="H35" i="7" s="1"/>
  <c r="H31" i="7"/>
  <c r="J35" i="7"/>
  <c r="K35" i="7" s="1"/>
  <c r="K31" i="7"/>
  <c r="J35" i="2"/>
  <c r="K35" i="2" s="1"/>
  <c r="K31" i="2"/>
  <c r="O35" i="7"/>
  <c r="Q35" i="7" s="1"/>
  <c r="Q31" i="7"/>
  <c r="C35" i="7"/>
  <c r="E35" i="7" s="1"/>
  <c r="E31" i="7"/>
  <c r="H31" i="14"/>
  <c r="F35" i="14"/>
  <c r="H35" i="14" s="1"/>
  <c r="F35" i="12"/>
  <c r="H35" i="12" s="1"/>
  <c r="H31" i="12"/>
  <c r="N38" i="23"/>
  <c r="M32" i="23"/>
  <c r="Q31" i="12"/>
  <c r="O35" i="12"/>
  <c r="Q35" i="12" s="1"/>
  <c r="K31" i="12"/>
  <c r="I35" i="12"/>
  <c r="K35" i="12" s="1"/>
  <c r="E24" i="24"/>
  <c r="F24" i="24" s="1"/>
  <c r="F4" i="24"/>
  <c r="F30" i="23"/>
  <c r="Q5" i="25" l="1"/>
  <c r="Q215" i="25"/>
  <c r="Q216" i="25" s="1"/>
  <c r="U38" i="23"/>
  <c r="V38" i="23" s="1"/>
  <c r="I32" i="23"/>
  <c r="J32" i="23" s="1"/>
  <c r="I7" i="23"/>
  <c r="J8" i="23"/>
  <c r="S38" i="20"/>
  <c r="V38" i="20" s="1"/>
  <c r="V34" i="20"/>
  <c r="G24" i="24"/>
  <c r="G44" i="23"/>
  <c r="E32" i="23"/>
  <c r="E31" i="23" s="1"/>
  <c r="F31" i="23" s="1"/>
  <c r="K24" i="24"/>
  <c r="N4" i="24"/>
  <c r="K44" i="23"/>
  <c r="N30" i="23"/>
  <c r="C16" i="16"/>
  <c r="I16" i="16"/>
  <c r="M31" i="23"/>
  <c r="N32" i="23"/>
  <c r="E35" i="24"/>
  <c r="F35" i="24" s="1"/>
  <c r="U32" i="23" l="1"/>
  <c r="U31" i="23" s="1"/>
  <c r="U44" i="23" s="1"/>
  <c r="I30" i="23"/>
  <c r="J30" i="23" s="1"/>
  <c r="J7" i="23"/>
  <c r="I31" i="23"/>
  <c r="J31" i="23" s="1"/>
  <c r="I4" i="24"/>
  <c r="J5" i="24"/>
  <c r="J4" i="16" s="1"/>
  <c r="J3" i="16" s="1"/>
  <c r="F32" i="23"/>
  <c r="G35" i="24"/>
  <c r="E44" i="23"/>
  <c r="F44" i="23" s="1"/>
  <c r="K35" i="24"/>
  <c r="N35" i="24" s="1"/>
  <c r="N24" i="24"/>
  <c r="M44" i="23"/>
  <c r="N44" i="23" s="1"/>
  <c r="N31" i="23"/>
  <c r="V32" i="23" l="1"/>
  <c r="V31" i="23"/>
  <c r="I44" i="23"/>
  <c r="J44" i="23" s="1"/>
  <c r="J9" i="16"/>
  <c r="J15" i="16"/>
  <c r="J25" i="16" s="1"/>
  <c r="D9" i="16"/>
  <c r="I24" i="24"/>
  <c r="J4" i="24"/>
  <c r="D16" i="16" l="1"/>
  <c r="J16" i="16"/>
  <c r="I35" i="24"/>
  <c r="J35" i="24" s="1"/>
  <c r="J24" i="24"/>
  <c r="L43" i="37" l="1"/>
  <c r="L42" i="37" l="1"/>
  <c r="N42" i="37" s="1"/>
  <c r="N43" i="37"/>
  <c r="R40" i="30"/>
  <c r="L39" i="37" l="1"/>
  <c r="R39" i="30" l="1"/>
  <c r="L36" i="37"/>
  <c r="N39" i="37"/>
  <c r="L46" i="37" l="1"/>
  <c r="N46" i="37" s="1"/>
  <c r="N36" i="37"/>
  <c r="L43" i="2" l="1"/>
  <c r="L42" i="2" l="1"/>
  <c r="N42" i="2" s="1"/>
  <c r="N43" i="2"/>
  <c r="O16" i="24"/>
  <c r="O15" i="24" l="1"/>
  <c r="R15" i="24" s="1"/>
  <c r="R16" i="24"/>
  <c r="K11" i="16" s="1"/>
  <c r="K10" i="16" s="1"/>
  <c r="R30" i="30"/>
  <c r="E14" i="16" l="1"/>
  <c r="K14" i="16"/>
  <c r="L39" i="2"/>
  <c r="N39" i="2" s="1"/>
  <c r="R31" i="30"/>
  <c r="R5" i="30" s="1"/>
  <c r="R4" i="30" s="1"/>
  <c r="O7" i="24" l="1"/>
  <c r="O4" i="24" s="1"/>
  <c r="L36" i="2"/>
  <c r="N36" i="2" s="1"/>
  <c r="L46" i="2" l="1"/>
  <c r="R7" i="24"/>
  <c r="K6" i="16" s="1"/>
  <c r="K3" i="16" s="1"/>
  <c r="K9" i="16" s="1"/>
  <c r="O24" i="24"/>
  <c r="R4" i="24"/>
  <c r="N46" i="2"/>
  <c r="K15" i="16" l="1"/>
  <c r="K25" i="16" s="1"/>
  <c r="E9" i="16"/>
  <c r="K16" i="16" s="1"/>
  <c r="L32" i="2"/>
  <c r="N34" i="2"/>
  <c r="R24" i="24"/>
  <c r="O35" i="24"/>
  <c r="R35" i="24" s="1"/>
  <c r="E16" i="16" l="1"/>
  <c r="Q38" i="23"/>
  <c r="N32" i="2"/>
  <c r="L31" i="2"/>
  <c r="N31" i="2" l="1"/>
  <c r="L35" i="2"/>
  <c r="N35" i="2" s="1"/>
  <c r="Q32" i="23"/>
  <c r="R38" i="23"/>
  <c r="Q31" i="23" l="1"/>
  <c r="R32" i="23"/>
  <c r="Q44" i="23" l="1"/>
  <c r="R44" i="23" s="1"/>
  <c r="R31" i="23"/>
  <c r="T23" i="23" l="1"/>
  <c r="V73" i="30" l="1"/>
  <c r="V41" i="30" s="1"/>
  <c r="T17" i="24"/>
  <c r="V23" i="23"/>
  <c r="T21" i="23"/>
  <c r="T30" i="23" s="1"/>
  <c r="T44" i="23" s="1"/>
  <c r="V17" i="24" l="1"/>
  <c r="L12" i="16" s="1"/>
  <c r="T15" i="24"/>
  <c r="T24" i="24" s="1"/>
  <c r="T35" i="24" s="1"/>
  <c r="S13" i="23" l="1"/>
  <c r="V13" i="23" l="1"/>
  <c r="S12" i="23"/>
  <c r="V16" i="30" l="1"/>
  <c r="S9" i="24"/>
  <c r="V9" i="24" s="1"/>
  <c r="L8" i="16" s="1"/>
  <c r="V12" i="23"/>
  <c r="V14" i="30" l="1"/>
  <c r="S29" i="23"/>
  <c r="V15" i="30"/>
  <c r="V11" i="30"/>
  <c r="V13" i="30"/>
  <c r="V21" i="30" l="1"/>
  <c r="S24" i="23"/>
  <c r="S18" i="24" s="1"/>
  <c r="V29" i="23"/>
  <c r="V10" i="30"/>
  <c r="V9" i="30" l="1"/>
  <c r="V18" i="24"/>
  <c r="L13" i="16" s="1"/>
  <c r="V24" i="23"/>
  <c r="V18" i="30"/>
  <c r="V25" i="30" l="1"/>
  <c r="S8" i="23" l="1"/>
  <c r="S9" i="23"/>
  <c r="S22" i="23"/>
  <c r="V22" i="23" s="1"/>
  <c r="V7" i="30"/>
  <c r="S6" i="24" l="1"/>
  <c r="V6" i="24" s="1"/>
  <c r="L5" i="16" s="1"/>
  <c r="V9" i="23"/>
  <c r="S5" i="24"/>
  <c r="V5" i="24" s="1"/>
  <c r="L4" i="16" s="1"/>
  <c r="V8" i="23"/>
  <c r="V8" i="30"/>
  <c r="S21" i="23"/>
  <c r="V21" i="23" s="1"/>
  <c r="S16" i="24"/>
  <c r="S15" i="24" l="1"/>
  <c r="V15" i="24" s="1"/>
  <c r="V16" i="24"/>
  <c r="L11" i="16" s="1"/>
  <c r="L10" i="16" s="1"/>
  <c r="L14" i="16" l="1"/>
  <c r="B7" i="22" s="1"/>
  <c r="F14" i="16"/>
  <c r="B6" i="22" s="1"/>
  <c r="V6" i="30" l="1"/>
  <c r="V46" i="23"/>
  <c r="V10" i="23"/>
  <c r="S7" i="24"/>
  <c r="S7" i="23"/>
  <c r="V7" i="23" s="1"/>
  <c r="V5" i="30" l="1"/>
  <c r="V4" i="30" s="1"/>
  <c r="S30" i="23"/>
  <c r="V30" i="23" s="1"/>
  <c r="V7" i="24"/>
  <c r="L6" i="16" s="1"/>
  <c r="L3" i="16" s="1"/>
  <c r="S4" i="24"/>
  <c r="L9" i="16" l="1"/>
  <c r="F9" i="16"/>
  <c r="B2" i="22" s="1"/>
  <c r="B3" i="22" s="1"/>
  <c r="L15" i="16"/>
  <c r="L25" i="16" s="1"/>
  <c r="V4" i="24"/>
  <c r="S24" i="24"/>
  <c r="S44" i="23"/>
  <c r="V44" i="23" l="1"/>
  <c r="V47" i="23" s="1"/>
  <c r="V24" i="24"/>
  <c r="S35" i="24"/>
  <c r="V35" i="24" s="1"/>
  <c r="B21" i="22"/>
  <c r="F23" i="22" s="1"/>
  <c r="B20" i="22"/>
  <c r="F16" i="16"/>
  <c r="B9" i="22" s="1"/>
  <c r="L16" i="16"/>
  <c r="B10" i="22" s="1"/>
  <c r="B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2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3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3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3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3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3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3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3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3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4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4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4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4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4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4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4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4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4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4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4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T20" authorId="0" shapeId="0" xr:uid="{65F71B73-AD81-4A13-82FF-CFE262A6E074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X20" authorId="0" shapeId="0" xr:uid="{BB520912-6863-448C-84AF-13EEDBE941C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E37" authorId="0" shapeId="0" xr:uid="{7F65CA93-342B-415C-A613-D556667E6C2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Q37" authorId="0" shapeId="0" xr:uid="{072F9560-0928-4909-8397-A78367D28487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T37" authorId="0" shapeId="0" xr:uid="{2E9CF0F4-57A3-4A0B-8C85-DCE204272FC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Q38" authorId="0" shapeId="0" xr:uid="{C5DDF684-C813-428D-94A5-67BDD74AB8C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  <comment ref="T38" authorId="0" shapeId="0" xr:uid="{B94DD00B-3544-4C23-B3A8-BF1609CA861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30 mFt csak a hulladék elszállítása, ezen kívül Argon-Geo szerződés van a tervezésre - 7.m
Januári informális visszavonta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B23" authorId="0" shapeId="0" xr:uid="{E240DFA7-B414-4ECE-880F-83123403C56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C23" authorId="0" shapeId="0" xr:uid="{8BBCDE65-AAED-4A2B-9977-CF44194CA13B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D23" authorId="0" shapeId="0" xr:uid="{D3D8BAB5-1177-45FA-B000-67E47887E5EE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9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9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9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9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9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9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9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635BEA6E-E7D2-4D8A-B7D9-9A7AFD1E401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3459AA83-E9AA-4225-9C63-3A10BC29352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8A533227-E66C-47A6-ACF4-88CE7BBAB5D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5DE5EDB5-1426-4366-AE80-D51EF798D3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4E711FD-B729-425C-9C8E-35069D17EAFF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3E177804-6FD5-4C0A-A726-7E319DC259A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34BC19F2-A558-4138-BE7A-2448739B6F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10AF56-0DB4-44E9-B6F5-B3199DC9277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F20839D4-D3EA-4C13-86C0-DF7857FDCF61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23FCE247-7699-4F43-A894-E0B87296A1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1F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1F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1F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1F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1F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1F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1F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1F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1F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1F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1F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1F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1F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1F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1F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1F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1F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1F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1F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1F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1F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1F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1F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1F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1F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1F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1F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1F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1F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1F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1F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1F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1F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1F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1F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1F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1F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1F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1F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1F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1F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1F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1F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1F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1F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1F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1F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1F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1F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1F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1F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1F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1F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1F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1F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1F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1F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1F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1F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1F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1F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1F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1F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1F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1F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1F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1F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1F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1F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1F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1F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1F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1F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1F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1F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1F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1F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1F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1F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1F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1F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1F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1F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1F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1F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1F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1F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1F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1F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1F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1F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1F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1F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1F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1F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sharedStrings.xml><?xml version="1.0" encoding="utf-8"?>
<sst xmlns="http://schemas.openxmlformats.org/spreadsheetml/2006/main" count="6147" uniqueCount="1728">
  <si>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</si>
  <si>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</si>
  <si>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</si>
  <si>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</si>
  <si>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</si>
  <si>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</si>
  <si>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</si>
  <si>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</si>
  <si>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</si>
  <si>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</si>
  <si>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</si>
  <si>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</si>
  <si>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</si>
  <si>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</si>
  <si>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</si>
  <si>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</si>
  <si>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</si>
  <si>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</si>
  <si>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</si>
  <si>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</si>
  <si>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</si>
  <si>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</si>
  <si>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</si>
  <si>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</si>
  <si>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</si>
  <si>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</si>
  <si>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</si>
  <si>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</si>
  <si>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</si>
  <si>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</si>
  <si>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</si>
  <si>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</si>
  <si>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</si>
  <si>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</si>
  <si>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</si>
  <si>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</si>
  <si>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</si>
  <si>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</si>
  <si>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</si>
  <si>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</si>
  <si>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</si>
  <si>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</si>
  <si>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</si>
  <si>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</si>
  <si>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</si>
  <si>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</si>
  <si>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</si>
  <si>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</si>
  <si>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</si>
  <si>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</si>
  <si>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</si>
  <si>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</si>
  <si>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</si>
  <si>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</si>
  <si>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</si>
  <si>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</si>
  <si>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</si>
  <si>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</si>
  <si>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</si>
  <si>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</si>
  <si>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</si>
  <si>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</si>
  <si>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</si>
  <si>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</si>
  <si>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</si>
  <si>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</si>
  <si>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</si>
  <si>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</si>
  <si>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</si>
  <si>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</si>
  <si>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</si>
  <si>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</si>
  <si>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</si>
  <si>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</si>
  <si>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</si>
  <si>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</si>
  <si>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</si>
  <si>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</si>
  <si>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</si>
  <si>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</si>
  <si>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</si>
  <si>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</si>
  <si>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</si>
  <si>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</si>
  <si>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</si>
  <si>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</si>
  <si>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</si>
  <si>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</si>
  <si>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</si>
  <si>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</si>
  <si>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</si>
  <si>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</si>
  <si>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</si>
  <si>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</si>
  <si>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</si>
  <si>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</si>
  <si>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</si>
  <si>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</si>
  <si>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</si>
  <si>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</si>
  <si>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</si>
  <si>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</si>
  <si>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</si>
  <si>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</si>
  <si>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</si>
  <si>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</si>
  <si>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</si>
  <si>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</si>
  <si>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</si>
  <si>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</si>
  <si>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</si>
  <si>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</si>
  <si>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</si>
  <si>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</si>
  <si>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</si>
  <si>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</si>
  <si>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</si>
  <si>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</si>
  <si>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</si>
  <si>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</si>
  <si>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</si>
  <si>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</si>
  <si>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</si>
  <si>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</si>
  <si>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</si>
  <si>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</si>
  <si>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</si>
  <si>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</si>
  <si>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</si>
  <si>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</si>
  <si>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</si>
  <si>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</si>
  <si>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</si>
  <si>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</si>
  <si>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</si>
  <si>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</si>
  <si>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</si>
  <si>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</si>
  <si>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</si>
  <si>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</si>
  <si>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</si>
  <si>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</si>
  <si>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</si>
  <si>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</si>
  <si>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</si>
  <si>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</si>
  <si>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</si>
  <si>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</si>
  <si>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</si>
  <si>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</si>
  <si>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</si>
  <si>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</si>
  <si>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</si>
  <si>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</si>
  <si>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</si>
  <si>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</si>
  <si>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</si>
  <si>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</si>
  <si>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</si>
  <si>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</si>
  <si>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</si>
  <si>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</si>
  <si>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</si>
  <si>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</si>
  <si>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</si>
  <si>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</si>
  <si>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</si>
  <si>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</si>
  <si>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</si>
  <si>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</si>
  <si>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</si>
  <si>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</si>
  <si>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</si>
  <si>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</si>
  <si>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</si>
  <si>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</si>
  <si>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</si>
  <si>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</si>
  <si>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</si>
  <si>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</si>
  <si>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</si>
  <si>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</si>
  <si>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</si>
  <si>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</si>
  <si>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</si>
  <si>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</si>
  <si>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</si>
  <si>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</si>
  <si>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</si>
  <si>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</si>
  <si>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</si>
  <si>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</si>
  <si>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</si>
  <si>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</si>
  <si>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</si>
  <si>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</si>
  <si>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</si>
  <si>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</si>
  <si>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</si>
  <si>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</si>
  <si>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</si>
  <si>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</si>
  <si>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</si>
  <si>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</si>
  <si>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</si>
  <si>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</si>
  <si>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</si>
  <si>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</si>
  <si>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</si>
  <si>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</si>
  <si>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</si>
  <si>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</si>
  <si>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</si>
  <si>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</si>
  <si>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</si>
  <si>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</si>
  <si>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</si>
  <si>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</si>
  <si>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</si>
  <si>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</si>
  <si>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</si>
  <si>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</si>
  <si>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</si>
  <si>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</si>
  <si>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</si>
  <si>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</si>
  <si>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</si>
  <si>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</si>
  <si>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</si>
  <si>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</si>
  <si>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</si>
  <si>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</si>
  <si>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</si>
  <si>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</si>
  <si>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</si>
  <si>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</si>
  <si>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</si>
  <si>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</si>
  <si>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</si>
  <si>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</si>
  <si>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</si>
  <si>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</si>
  <si>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</si>
  <si>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</si>
  <si>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</si>
  <si>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</si>
  <si>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</si>
  <si>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</si>
  <si>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</si>
  <si>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</si>
  <si>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</si>
  <si>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</si>
  <si>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</si>
  <si>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</si>
  <si>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</si>
  <si>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</si>
  <si>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</si>
  <si>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</si>
  <si>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</si>
  <si>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</si>
  <si>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</si>
  <si>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</si>
  <si>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</si>
  <si>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</si>
  <si>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</si>
  <si>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</si>
  <si>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</si>
  <si>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</si>
  <si>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</si>
  <si>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</si>
  <si>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</si>
  <si>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</si>
  <si>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</si>
  <si>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</si>
  <si>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</si>
  <si>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</si>
  <si>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</si>
  <si>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</si>
  <si>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</si>
  <si>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</si>
  <si>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</si>
  <si>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</si>
  <si>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</si>
  <si>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</si>
  <si>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</si>
  <si>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</si>
  <si>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</si>
  <si>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</si>
  <si>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</si>
  <si>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</si>
  <si>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</si>
  <si>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</si>
  <si>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</si>
  <si>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</si>
  <si>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</si>
  <si>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</si>
  <si>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</si>
  <si>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</si>
  <si>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</si>
  <si>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</si>
  <si>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</si>
  <si>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</si>
  <si>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</si>
  <si>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</si>
  <si>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</si>
  <si>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</si>
  <si>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</si>
  <si>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</si>
  <si>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</si>
  <si>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</si>
  <si>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</si>
  <si>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</si>
  <si>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</si>
  <si>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</si>
  <si>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</si>
  <si>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</si>
  <si>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</si>
  <si>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</si>
  <si>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</si>
  <si>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</si>
  <si>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</si>
  <si>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</si>
  <si>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</si>
  <si>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</si>
  <si>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</si>
  <si>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</si>
  <si>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</si>
  <si>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</si>
  <si>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</si>
  <si>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</si>
  <si>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</si>
  <si>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</si>
  <si>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</si>
  <si>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</si>
  <si>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</si>
  <si>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</si>
  <si>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</si>
  <si>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</si>
  <si>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</si>
  <si>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</si>
  <si>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</si>
  <si>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</si>
  <si>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</si>
  <si>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</si>
  <si>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</si>
  <si>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</si>
  <si>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</si>
  <si>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</si>
  <si>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</si>
  <si>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</si>
  <si>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</si>
  <si>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</si>
  <si>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</si>
  <si>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</si>
  <si>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</si>
  <si>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</si>
  <si>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</si>
  <si>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</si>
  <si>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</si>
  <si>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</si>
  <si>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</si>
  <si>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</si>
  <si>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</si>
  <si>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</si>
  <si>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</si>
  <si>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</si>
  <si>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</si>
  <si>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</si>
  <si>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</si>
  <si>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</si>
  <si>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</si>
  <si>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</si>
  <si>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</si>
  <si>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</si>
  <si>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</si>
  <si>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</si>
  <si>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</si>
  <si>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</si>
  <si>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</si>
  <si>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</si>
  <si>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</si>
  <si>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</si>
  <si>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</si>
  <si>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</si>
  <si>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</si>
  <si>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</si>
  <si>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</si>
  <si>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</si>
  <si>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</si>
  <si>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</si>
  <si>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</si>
  <si>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</si>
  <si>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</si>
  <si>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</si>
  <si>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</si>
  <si>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</si>
  <si>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</si>
  <si>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</si>
  <si>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</si>
  <si>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</si>
  <si>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</si>
  <si>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</si>
  <si>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</si>
  <si>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</si>
  <si>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</si>
  <si>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</si>
  <si>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</si>
  <si>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</si>
  <si>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</si>
  <si>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</si>
  <si>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</si>
  <si>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</si>
  <si>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</si>
  <si>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</si>
  <si>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</si>
  <si>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</si>
  <si>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</si>
  <si>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</si>
  <si>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</si>
  <si>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</si>
  <si>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</si>
  <si>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</si>
  <si>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</si>
  <si>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</si>
  <si>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</si>
  <si>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</si>
  <si>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</si>
  <si>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</si>
  <si>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</si>
  <si>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</si>
  <si>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</si>
  <si>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</si>
  <si>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</si>
  <si>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</si>
  <si>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</si>
  <si>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</si>
  <si>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</si>
  <si>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</si>
  <si>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</si>
  <si>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</si>
  <si>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</si>
  <si>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</si>
  <si>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</si>
  <si>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</si>
  <si>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</si>
  <si>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</si>
  <si>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</si>
  <si>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</si>
  <si>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</si>
  <si>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</si>
  <si>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</si>
  <si>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</si>
  <si>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</si>
  <si>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</si>
  <si>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</si>
  <si>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</si>
  <si>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</si>
  <si>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</si>
  <si>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</si>
  <si>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</si>
  <si>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</si>
  <si>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</si>
  <si>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</si>
  <si>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</si>
  <si>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</si>
  <si>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</si>
  <si>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</si>
  <si>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</si>
  <si>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</si>
  <si>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</si>
  <si>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</si>
  <si>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</si>
  <si>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</si>
  <si>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</si>
  <si>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</si>
  <si>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</si>
  <si>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</si>
  <si>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</si>
  <si>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</si>
  <si>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</si>
  <si>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</si>
  <si>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</si>
  <si>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Társadalombiztosítás pénzügyi alapjaiból (OEP támogatás)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</si>
  <si>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</si>
  <si>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</si>
  <si>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</si>
  <si>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</si>
  <si>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</si>
  <si>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</si>
  <si>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</si>
  <si>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</si>
  <si>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</si>
  <si>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</si>
  <si>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</si>
  <si>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</si>
  <si>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</si>
  <si>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</si>
  <si>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</si>
  <si>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</si>
  <si>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</si>
  <si>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</si>
  <si>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</si>
  <si>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</si>
  <si>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</si>
  <si>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</si>
  <si>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</si>
  <si>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</si>
  <si>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</si>
  <si>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</si>
  <si>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</si>
  <si>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</si>
  <si>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</si>
  <si>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</si>
  <si>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</si>
  <si>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</si>
  <si>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</si>
  <si>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</si>
  <si>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</si>
  <si>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</si>
  <si>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</si>
  <si>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</si>
  <si>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</si>
  <si>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</si>
  <si>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</si>
  <si>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</si>
  <si>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</si>
  <si>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</si>
  <si>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</si>
  <si>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</si>
  <si>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</si>
  <si>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</si>
  <si>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</si>
  <si>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</si>
  <si>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</si>
  <si>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</si>
  <si>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</si>
  <si>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</si>
  <si>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</si>
  <si>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</si>
  <si>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</si>
  <si>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</si>
  <si>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</si>
  <si>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</si>
  <si>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</si>
  <si>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</si>
  <si>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</si>
  <si>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</si>
  <si>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</si>
  <si>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</si>
  <si>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</si>
  <si>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</si>
  <si>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</si>
  <si>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</si>
  <si>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</si>
  <si>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</si>
  <si>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</si>
  <si>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</si>
  <si>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</si>
  <si>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</si>
  <si>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</si>
  <si>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</si>
  <si>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</si>
  <si>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</si>
  <si>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</si>
  <si>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</si>
  <si>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</si>
  <si>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</si>
  <si>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</si>
  <si>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</si>
  <si>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</si>
  <si>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</si>
  <si>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</si>
  <si>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</si>
  <si>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</si>
  <si>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</si>
  <si>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</si>
  <si>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</si>
  <si>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</si>
  <si>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</si>
  <si>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</si>
  <si>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</si>
  <si>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</si>
  <si>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</si>
  <si>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</si>
  <si>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</si>
  <si>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</si>
  <si>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</si>
  <si>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</si>
  <si>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</si>
  <si>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</si>
  <si>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</si>
  <si>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</si>
  <si>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</si>
  <si>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</si>
  <si>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</si>
  <si>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</si>
  <si>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</si>
  <si>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</si>
  <si>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</si>
  <si>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</si>
  <si>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</si>
  <si>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</si>
  <si>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</si>
  <si>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</si>
  <si>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</si>
  <si>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</si>
  <si>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</si>
  <si>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</si>
  <si>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</si>
  <si>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</si>
  <si>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</si>
  <si>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</si>
  <si>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</si>
  <si>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</si>
  <si>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</si>
  <si>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</si>
  <si>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</si>
  <si>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</si>
  <si>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</si>
  <si>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</si>
  <si>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</si>
  <si>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</si>
  <si>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</si>
  <si>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</si>
  <si>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</si>
  <si>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</si>
  <si>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</si>
  <si>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</si>
  <si>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</si>
  <si>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</si>
  <si>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</si>
  <si>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</si>
  <si>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</si>
  <si>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</si>
  <si>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</si>
  <si>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</si>
  <si>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</si>
  <si>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</si>
  <si>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</si>
  <si>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</si>
  <si>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</si>
  <si>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</si>
  <si>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</si>
  <si>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</si>
  <si>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</si>
  <si>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</si>
  <si>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</si>
  <si>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</si>
  <si>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</si>
  <si>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</si>
  <si>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</si>
  <si>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</si>
  <si>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</si>
  <si>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</si>
  <si>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</si>
  <si>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</si>
  <si>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</si>
  <si>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</si>
  <si>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</si>
  <si>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</si>
  <si>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</si>
  <si>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Jegyzői hatáskörbe tartozó segélyek 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</si>
  <si>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</si>
  <si>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</si>
  <si>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</si>
  <si>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</si>
  <si>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</si>
  <si>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</si>
  <si>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</si>
  <si>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</si>
  <si>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</si>
  <si>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</si>
  <si>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</si>
  <si>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</si>
  <si>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</si>
  <si>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</si>
  <si>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</si>
  <si>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</si>
  <si>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Felhamozási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</si>
  <si>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</si>
  <si>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</si>
  <si>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</si>
  <si>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</si>
  <si>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</si>
  <si>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</si>
  <si>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</si>
  <si>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</si>
  <si>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</si>
  <si>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</si>
  <si>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</si>
  <si>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</si>
  <si>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</si>
  <si>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</si>
  <si>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</si>
  <si>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</si>
  <si>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</si>
  <si>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</si>
  <si>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</si>
  <si>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</si>
  <si>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</si>
  <si>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</si>
  <si>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</si>
  <si>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</si>
  <si>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</si>
  <si>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</si>
  <si>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</si>
  <si>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</si>
  <si>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</si>
  <si>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</si>
  <si>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</si>
  <si>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</si>
  <si>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</si>
  <si>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</si>
  <si>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</si>
  <si>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</si>
  <si>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</si>
  <si>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</si>
  <si>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</si>
  <si>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</si>
  <si>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</si>
  <si>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</si>
  <si>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</si>
  <si>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</si>
  <si>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</si>
  <si>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Hajléktalanok átmeneti elhelyezése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</si>
  <si>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</si>
  <si>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</si>
  <si>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</si>
  <si>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</si>
  <si>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</si>
  <si>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</si>
  <si>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Együttműködés a Kaposvári Egyetemmel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</si>
  <si>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</si>
  <si>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</si>
  <si>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</si>
  <si>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</si>
  <si>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</si>
  <si>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</si>
  <si>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</si>
  <si>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</si>
  <si>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</si>
  <si>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</si>
  <si>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</si>
  <si>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</si>
  <si>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</si>
  <si>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</si>
  <si>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</si>
  <si>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</si>
  <si>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</si>
  <si>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</si>
  <si>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</si>
  <si>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</si>
  <si>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</si>
  <si>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</si>
  <si>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</si>
  <si>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</si>
  <si>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</si>
  <si>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</si>
  <si>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</si>
  <si>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</si>
  <si>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</si>
  <si>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</si>
  <si>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</si>
  <si>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</si>
  <si>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</si>
  <si>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</si>
  <si>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</si>
  <si>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</si>
  <si>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</si>
  <si>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</si>
  <si>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</si>
  <si>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</si>
  <si>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</si>
  <si>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</si>
  <si>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</si>
  <si>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</si>
  <si>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</si>
  <si>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</si>
  <si>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</si>
  <si>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</si>
  <si>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</si>
  <si>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</si>
  <si>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</si>
  <si>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</si>
  <si>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</si>
  <si>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</si>
  <si>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</si>
  <si>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</si>
  <si>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</si>
  <si>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</si>
  <si>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</si>
  <si>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</si>
  <si>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</si>
  <si>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</si>
  <si>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</si>
  <si>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</si>
  <si>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</si>
  <si>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</si>
  <si>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</si>
  <si>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</si>
  <si>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</si>
  <si>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</si>
  <si>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</si>
  <si>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</si>
  <si>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</si>
  <si>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</si>
  <si>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</si>
  <si>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</si>
  <si>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</si>
  <si>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</si>
  <si>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</si>
  <si>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</si>
  <si>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</si>
  <si>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</si>
  <si>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</si>
  <si>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</si>
  <si>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</si>
  <si>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</si>
  <si>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</si>
  <si>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</si>
  <si>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</si>
  <si>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</si>
  <si>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</si>
  <si>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</si>
  <si>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</si>
  <si>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</si>
  <si>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</si>
  <si>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</si>
  <si>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</si>
  <si>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</si>
  <si>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</si>
  <si>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</si>
  <si>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</si>
  <si>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</si>
  <si>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</si>
  <si>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</si>
  <si>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</si>
  <si>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</si>
  <si>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</si>
  <si>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</si>
  <si>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</si>
  <si>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</si>
  <si>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</si>
  <si>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</si>
  <si>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</si>
  <si>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</si>
  <si>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</si>
  <si>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</si>
  <si>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</si>
  <si>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</si>
  <si>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</si>
  <si>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</si>
  <si>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</si>
  <si>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</si>
  <si>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</si>
  <si>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</si>
  <si>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</si>
  <si>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</si>
  <si>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</si>
  <si>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</si>
  <si>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</si>
  <si>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</si>
  <si>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</si>
  <si>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</si>
  <si>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</si>
  <si>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</si>
  <si>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</si>
  <si>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</si>
  <si>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</si>
  <si>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</si>
  <si>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</si>
  <si>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</si>
  <si>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</si>
  <si>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</si>
  <si>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</si>
  <si>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</si>
  <si>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</si>
  <si>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</si>
  <si>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</si>
  <si>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</si>
  <si>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</si>
  <si>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</si>
  <si>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</si>
  <si>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</si>
  <si>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</si>
  <si>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</si>
  <si>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</si>
  <si>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</si>
  <si>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</si>
  <si>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</si>
  <si>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</si>
  <si>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</si>
  <si>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</si>
  <si>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</si>
  <si>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</si>
  <si>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</si>
  <si>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</si>
  <si>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</si>
  <si>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</si>
  <si>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</si>
  <si>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</si>
  <si>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</si>
  <si>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</si>
  <si>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</si>
  <si>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</si>
  <si>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</si>
  <si>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</si>
  <si>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</si>
  <si>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</si>
  <si>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</si>
  <si>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</si>
  <si>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</si>
  <si>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</si>
  <si>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</si>
  <si>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</si>
  <si>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</si>
  <si>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</si>
  <si>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</si>
  <si>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</si>
  <si>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</si>
  <si>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</si>
  <si>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</si>
  <si>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</si>
  <si>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</si>
  <si>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</si>
  <si>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</si>
  <si>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</si>
  <si>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</si>
  <si>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</si>
  <si>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</si>
  <si>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</si>
  <si>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</si>
  <si>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</si>
  <si>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</si>
  <si>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</si>
  <si>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</si>
  <si>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</si>
  <si>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</si>
  <si>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</si>
  <si>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</si>
  <si>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</si>
  <si>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</si>
  <si>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</si>
  <si>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</si>
  <si>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</si>
  <si>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</si>
  <si>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</si>
  <si>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</si>
  <si>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</si>
  <si>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</si>
  <si>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</si>
  <si>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</si>
  <si>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</si>
  <si>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</si>
  <si>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</si>
  <si>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</si>
  <si>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</si>
  <si>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</si>
  <si>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</si>
  <si>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</si>
  <si>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</si>
  <si>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</si>
  <si>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</si>
  <si>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</si>
  <si>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</si>
  <si>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</si>
  <si>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</si>
  <si>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</si>
  <si>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</si>
  <si>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</si>
  <si>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</si>
  <si>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</si>
  <si>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</si>
  <si>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</si>
  <si>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</si>
  <si>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</si>
  <si>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</si>
  <si>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</si>
  <si>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</si>
  <si>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</si>
  <si>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</si>
  <si>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</si>
  <si>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</si>
  <si>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</si>
  <si>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</si>
  <si>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</si>
  <si>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</si>
  <si>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</si>
  <si>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</si>
  <si>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</si>
  <si>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</si>
  <si>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</si>
  <si>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</si>
  <si>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</si>
  <si>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</si>
  <si>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</si>
  <si>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</si>
  <si>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</si>
  <si>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</si>
  <si>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</si>
  <si>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</si>
  <si>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</si>
  <si>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</si>
  <si>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</si>
  <si>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</si>
  <si>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</si>
  <si>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</si>
  <si>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</si>
  <si>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</si>
  <si>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</si>
  <si>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</si>
  <si>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</si>
  <si>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</si>
  <si>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</si>
  <si>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</si>
  <si>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</si>
  <si>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</si>
  <si>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</si>
  <si>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</si>
  <si>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</si>
  <si>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</si>
  <si>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</si>
  <si>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</si>
  <si>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</si>
  <si>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</si>
  <si>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3.3. Fejlesztési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</si>
  <si>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</si>
  <si>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</si>
  <si>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</si>
  <si>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</si>
  <si>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</si>
  <si>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</si>
  <si>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</si>
  <si>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</si>
  <si>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</si>
  <si>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</si>
  <si>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</si>
  <si>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</si>
  <si>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</si>
  <si>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</si>
  <si>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</si>
  <si>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</si>
  <si>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</si>
  <si>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</si>
  <si>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</si>
  <si>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</si>
  <si>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</si>
  <si>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</si>
  <si>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</si>
  <si>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</si>
  <si>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</si>
  <si>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</si>
  <si>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</si>
  <si>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</si>
  <si>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</si>
  <si>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</si>
  <si>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</si>
  <si>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</si>
  <si>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</si>
  <si>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</si>
  <si>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</si>
  <si>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</si>
  <si>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</si>
  <si>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</si>
  <si>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</si>
  <si>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</si>
  <si>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</si>
  <si>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</si>
  <si>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</si>
  <si>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</si>
  <si>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</si>
  <si>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</si>
  <si>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</si>
  <si>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</si>
  <si>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</si>
  <si>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</si>
  <si>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</si>
  <si>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</si>
  <si>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</si>
  <si>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</si>
  <si>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</si>
  <si>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</si>
  <si>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</si>
  <si>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</si>
  <si>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</si>
  <si>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</si>
  <si>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</si>
  <si>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</si>
  <si>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</si>
  <si>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</si>
  <si>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</si>
  <si>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</si>
  <si>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</si>
  <si>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</si>
  <si>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</si>
  <si>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</si>
  <si>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</si>
  <si>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</si>
  <si>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</si>
  <si>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</si>
  <si>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</si>
  <si>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</si>
  <si>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</si>
  <si>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</si>
  <si>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</si>
  <si>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</si>
  <si>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</si>
  <si>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</si>
  <si>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</si>
  <si>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</si>
  <si>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</si>
  <si>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</si>
  <si>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</si>
  <si>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</si>
  <si>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</si>
  <si>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</si>
  <si>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</si>
  <si>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</si>
  <si>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</si>
  <si>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</si>
  <si>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</si>
  <si>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</si>
  <si>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</si>
  <si>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</si>
  <si>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</si>
  <si>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</si>
  <si>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</si>
  <si>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</si>
  <si>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</si>
  <si>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</si>
  <si>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</si>
  <si>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</si>
  <si>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</si>
  <si>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</si>
  <si>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</si>
  <si>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</si>
  <si>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</si>
  <si>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</si>
  <si>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</si>
  <si>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</si>
  <si>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</si>
  <si>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</si>
  <si>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</si>
  <si>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</si>
  <si>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</si>
  <si>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</si>
  <si>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</si>
  <si>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</si>
  <si>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</si>
  <si>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</si>
  <si>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</si>
  <si>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</si>
  <si>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</si>
  <si>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</si>
  <si>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</si>
  <si>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</si>
  <si>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</si>
  <si>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</si>
  <si>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</si>
  <si>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</si>
  <si>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</si>
  <si>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</si>
  <si>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</si>
  <si>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</si>
  <si>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</si>
  <si>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</si>
  <si>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</si>
  <si>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</si>
  <si>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</si>
  <si>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</si>
  <si>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</si>
  <si>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</si>
  <si>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</si>
  <si>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</si>
  <si>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</si>
  <si>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</si>
  <si>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</si>
  <si>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</si>
  <si>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</si>
  <si>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</si>
  <si>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</si>
  <si>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</si>
  <si>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</si>
  <si>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</si>
  <si>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</si>
  <si>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 xml:space="preserve">A Stabilitási tv. 3. § (1) bekezdése szerinti adósságot keletkeztető ügyletek és a kezességvállalásokból fennálló kötelezettségek 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</si>
  <si>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</si>
  <si>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</si>
  <si>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</si>
  <si>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</si>
  <si>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</si>
  <si>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</si>
  <si>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</si>
  <si>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</si>
  <si>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</si>
  <si>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</si>
  <si>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</si>
  <si>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</si>
  <si>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</si>
  <si>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</si>
  <si>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</si>
  <si>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</si>
  <si>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</si>
  <si>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</si>
  <si>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</si>
  <si>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</si>
  <si>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</si>
  <si>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</si>
  <si>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</si>
  <si>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</si>
  <si>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</si>
  <si>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</si>
  <si>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</si>
  <si>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</si>
  <si>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</si>
  <si>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</si>
  <si>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</si>
  <si>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</si>
  <si>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</si>
  <si>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</si>
  <si>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</si>
  <si>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</si>
  <si>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</si>
  <si>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</si>
  <si>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</si>
  <si>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</si>
  <si>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</si>
  <si>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</si>
  <si>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</si>
  <si>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</si>
  <si>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</si>
  <si>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</si>
  <si>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</si>
  <si>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</si>
  <si>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</si>
  <si>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</si>
  <si>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</si>
  <si>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</si>
  <si>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</si>
  <si>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</si>
  <si>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</si>
  <si>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</si>
  <si>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</si>
  <si>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</si>
  <si>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</si>
  <si>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</si>
  <si>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</si>
  <si>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</si>
  <si>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</si>
  <si>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</si>
  <si>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</si>
  <si>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</si>
  <si>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</si>
  <si>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</si>
  <si>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</si>
  <si>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</si>
  <si>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</si>
  <si>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</si>
  <si>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</si>
  <si>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</si>
  <si>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</si>
  <si>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</si>
  <si>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</si>
  <si>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</si>
  <si>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</si>
  <si>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</si>
  <si>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</si>
  <si>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</si>
  <si>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</si>
  <si>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</si>
  <si>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</si>
  <si>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</si>
  <si>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</si>
  <si>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</si>
  <si>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</si>
  <si>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</si>
  <si>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</si>
  <si>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</si>
  <si>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</si>
  <si>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</si>
  <si>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3.1. Helyi értékvédelemmel kapcsolatos feladatok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</si>
  <si>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</si>
  <si>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</si>
  <si>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</si>
  <si>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</si>
  <si>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</si>
  <si>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</si>
  <si>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</si>
  <si>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</si>
  <si>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</si>
  <si>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</si>
  <si>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</si>
  <si>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</si>
  <si>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</si>
  <si>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</si>
  <si>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</si>
  <si>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</si>
  <si>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</si>
  <si>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</si>
  <si>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</si>
  <si>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</si>
  <si>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</si>
  <si>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Kiadások összesen</t>
  </si>
  <si>
    <t xml:space="preserve"> Felújítások</t>
  </si>
  <si>
    <t>Fogyatékos személyek nappali ellátása</t>
  </si>
  <si>
    <t>KÜLSŐ FINANSZÍROZÁSI FORRÁS (hitel)</t>
  </si>
  <si>
    <t>VÁROSHÁZA HITEL</t>
  </si>
  <si>
    <t>Norvég Alap</t>
  </si>
  <si>
    <t>2.12. Egyházak támogatása</t>
  </si>
  <si>
    <t>2.13. Kedvezményes védőoltások</t>
  </si>
  <si>
    <t>MŰKÖDÉSI KÖLTSÉGVETÉSI HIÁNY TARTALÉKOK NÉLKÜL</t>
  </si>
  <si>
    <t>2.14. Iskolák üzemeltetésének megtérülő kiadásai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</si>
  <si>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</si>
  <si>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</si>
  <si>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</si>
  <si>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</si>
  <si>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</si>
  <si>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</si>
  <si>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</si>
  <si>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</si>
  <si>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</si>
  <si>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</si>
  <si>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</si>
  <si>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</si>
  <si>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</si>
  <si>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</si>
  <si>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</si>
  <si>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</si>
  <si>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</si>
  <si>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</si>
  <si>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</si>
  <si>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</si>
  <si>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</si>
  <si>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</si>
  <si>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</si>
  <si>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</si>
  <si>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</si>
  <si>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</si>
  <si>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</si>
  <si>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</si>
  <si>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</si>
  <si>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</si>
  <si>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</si>
  <si>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</si>
  <si>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</si>
  <si>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</si>
  <si>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</si>
  <si>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</si>
  <si>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</si>
  <si>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</si>
  <si>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</si>
  <si>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</si>
  <si>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</si>
  <si>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</si>
  <si>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</si>
  <si>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</si>
  <si>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</si>
  <si>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</si>
  <si>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</si>
  <si>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támogatása </t>
    </r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</si>
  <si>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</si>
  <si>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</si>
  <si>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</si>
  <si>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</si>
  <si>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</si>
  <si>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</si>
  <si>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</si>
  <si>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</si>
  <si>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</si>
  <si>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</si>
  <si>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38.</t>
  </si>
  <si>
    <t>Energetikai pályázat KEHOP-5.2.9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</si>
  <si>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</si>
  <si>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</si>
  <si>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</si>
  <si>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</si>
  <si>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</si>
  <si>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</si>
  <si>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</si>
  <si>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</si>
  <si>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</si>
  <si>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</si>
  <si>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</si>
  <si>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Majális zseton bevétele </t>
  </si>
  <si>
    <t xml:space="preserve">Engedélyezett létszám eredeti ei. </t>
  </si>
  <si>
    <t>Jelzőrendszeres házi segítségnyújtás, támogató szolgálat</t>
  </si>
  <si>
    <t>VOLÁN támogatása</t>
  </si>
  <si>
    <t>egyéb működési célú kiadások</t>
  </si>
  <si>
    <t xml:space="preserve">VOLÁN támogatása </t>
  </si>
  <si>
    <t>dologi kiadások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</si>
  <si>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</si>
  <si>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</si>
  <si>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</si>
  <si>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</si>
  <si>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</si>
  <si>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</si>
  <si>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</si>
  <si>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</si>
  <si>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</si>
  <si>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</si>
  <si>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</si>
  <si>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</si>
  <si>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</si>
  <si>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</si>
  <si>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</si>
  <si>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</si>
  <si>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</si>
  <si>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</si>
  <si>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</si>
  <si>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</si>
  <si>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</si>
  <si>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>2.16. Útépítési alap</t>
  </si>
  <si>
    <t xml:space="preserve">2.17. Pályázati forrásból megvalósuló beruházásokhoz önerő </t>
  </si>
  <si>
    <t>39.</t>
  </si>
  <si>
    <t>Bálint Márton iskola épületének (Óvoda u.) garanciális javítása</t>
  </si>
  <si>
    <t>121011527</t>
  </si>
  <si>
    <t>Városgondnokság városgazdálkodási kiadásai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</si>
  <si>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</si>
  <si>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</si>
  <si>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</si>
  <si>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</si>
  <si>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</si>
  <si>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</si>
  <si>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</si>
  <si>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 xml:space="preserve">2018. évi bevételi előirányzat </t>
  </si>
  <si>
    <t>2018. évi bevételi előirányzat</t>
  </si>
  <si>
    <t>2018. évi kiadási előirányzat</t>
  </si>
  <si>
    <t xml:space="preserve">2018. évi kiadási előirányzat 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</si>
  <si>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</si>
  <si>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</si>
  <si>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</si>
  <si>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</si>
  <si>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</si>
  <si>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</si>
  <si>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</si>
  <si>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</si>
  <si>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</si>
  <si>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</si>
  <si>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</si>
  <si>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</si>
  <si>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</si>
  <si>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</si>
  <si>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</si>
  <si>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</si>
  <si>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</si>
  <si>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</si>
  <si>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</si>
  <si>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</si>
  <si>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</si>
  <si>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</si>
  <si>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</si>
  <si>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</si>
  <si>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</si>
  <si>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</si>
  <si>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</si>
  <si>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</si>
  <si>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</si>
  <si>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Iskolai étkeztetés (Bálint M. Iskola)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</si>
  <si>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</si>
  <si>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</si>
  <si>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</si>
  <si>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</si>
  <si>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</si>
  <si>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</si>
  <si>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</si>
  <si>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 xml:space="preserve">KAB-ME-17-KMR pályázat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</si>
  <si>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</si>
  <si>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</si>
  <si>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</si>
  <si>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</si>
  <si>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</si>
  <si>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 xml:space="preserve">Egyéb fellhalmozási célú támogatások ÁH belül </t>
  </si>
  <si>
    <t>2018. 06.30-i teljesítés</t>
  </si>
  <si>
    <t>DOLOGI (ÁFA stb)</t>
  </si>
  <si>
    <t>DOLOGI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</si>
  <si>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</si>
  <si>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</si>
  <si>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</si>
  <si>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</si>
  <si>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Europe for Citizens Program</t>
  </si>
  <si>
    <t>Europe for Citizens Program 2018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</si>
  <si>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</si>
  <si>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</si>
  <si>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</si>
  <si>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</si>
  <si>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</si>
  <si>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</si>
  <si>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 xml:space="preserve">Engedélyezett létszám módosított ei. </t>
  </si>
  <si>
    <t xml:space="preserve">2018. év 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</si>
  <si>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</si>
  <si>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</si>
  <si>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</si>
  <si>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</si>
  <si>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</si>
  <si>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</si>
  <si>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Törökbálint Város Önkormányzata 2019. évi címrendje</t>
  </si>
  <si>
    <t>2018. évi eredeti</t>
  </si>
  <si>
    <t xml:space="preserve">2018. évi eredeti </t>
  </si>
  <si>
    <t>2018. évi várható teljesítés</t>
  </si>
  <si>
    <t>2018. évi módosított 4.</t>
  </si>
  <si>
    <t>2018. évi módosított 5.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</si>
  <si>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</si>
  <si>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</si>
  <si>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</si>
  <si>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</si>
  <si>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 xml:space="preserve">2018. évi előirányzat </t>
  </si>
  <si>
    <t>2018. évi mód. előirányzat 4.</t>
  </si>
  <si>
    <t>2018. évi mód. előirányzat 5.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</si>
  <si>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</si>
  <si>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</si>
  <si>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</si>
  <si>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</si>
  <si>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Egyéb működési célú kiadások (elvonások)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</si>
  <si>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</si>
  <si>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</si>
  <si>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</si>
  <si>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</si>
  <si>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</si>
  <si>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</si>
  <si>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mód. 4.</t>
  </si>
  <si>
    <t>2018. évi mód. 5.</t>
  </si>
  <si>
    <t>2018. évi mód. bevételi előirányzat 2.</t>
  </si>
  <si>
    <t>2018. évi mód. kiadási előirányzat 2.</t>
  </si>
  <si>
    <t xml:space="preserve">2019. évi bevételi előirányzat </t>
  </si>
  <si>
    <t xml:space="preserve">2019. évi kiadási előirányzat </t>
  </si>
  <si>
    <t xml:space="preserve">2019. évi bevételi előirányzat 2. mód. </t>
  </si>
  <si>
    <t xml:space="preserve">2019. évi kiadási előirányzat  2. mód. </t>
  </si>
  <si>
    <t>2019. évi bevételi előirányzat</t>
  </si>
  <si>
    <t>2019. évi kiadási előirányzat</t>
  </si>
  <si>
    <t>2019. évi eredeti  előirányzat</t>
  </si>
  <si>
    <t>2018. évi módosított előirányzat - 5.</t>
  </si>
  <si>
    <t>2018. évi módosított előirányzat 4.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</si>
  <si>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</si>
  <si>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</si>
  <si>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</si>
  <si>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</si>
  <si>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</si>
  <si>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</si>
  <si>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</si>
  <si>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</si>
  <si>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Szerződéses összeg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</si>
  <si>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</si>
  <si>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</si>
  <si>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</si>
  <si>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</si>
  <si>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</si>
  <si>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</si>
  <si>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</si>
  <si>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</si>
  <si>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</si>
  <si>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</si>
  <si>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</si>
  <si>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</si>
  <si>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</si>
  <si>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</si>
  <si>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</si>
  <si>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</si>
  <si>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</si>
  <si>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</si>
  <si>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</si>
  <si>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</si>
  <si>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</si>
  <si>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</si>
  <si>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</si>
  <si>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</si>
  <si>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</si>
  <si>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</si>
  <si>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</si>
  <si>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</si>
  <si>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</si>
  <si>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</si>
  <si>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</si>
  <si>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</si>
  <si>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</si>
  <si>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</si>
  <si>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</si>
  <si>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</si>
  <si>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</si>
  <si>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</si>
  <si>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</si>
  <si>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</si>
  <si>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</si>
  <si>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</si>
  <si>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</si>
  <si>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</si>
  <si>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</si>
  <si>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</si>
  <si>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</si>
  <si>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</si>
  <si>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</si>
  <si>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</si>
  <si>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</si>
  <si>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</si>
  <si>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</si>
  <si>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</si>
  <si>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</si>
  <si>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</si>
  <si>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</si>
  <si>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</si>
  <si>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</si>
  <si>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</si>
  <si>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</si>
  <si>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</si>
  <si>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</si>
  <si>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</si>
  <si>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</si>
  <si>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</si>
  <si>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</si>
  <si>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</si>
  <si>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</si>
  <si>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</si>
  <si>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</si>
  <si>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</si>
  <si>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</si>
  <si>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</si>
  <si>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Balassy Bálint u – Jurasits u – Szondi utca, Rácsos folyóka felújítása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</si>
  <si>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</si>
  <si>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</si>
  <si>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</si>
  <si>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</si>
  <si>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</si>
  <si>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</si>
  <si>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</si>
  <si>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</si>
  <si>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</si>
  <si>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</si>
  <si>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</si>
  <si>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</si>
  <si>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</si>
  <si>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</si>
  <si>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</si>
  <si>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</si>
  <si>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</si>
  <si>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</si>
  <si>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</si>
  <si>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</si>
  <si>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</si>
  <si>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</si>
  <si>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</si>
  <si>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</si>
  <si>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</si>
  <si>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</si>
  <si>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</si>
  <si>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</si>
  <si>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</si>
  <si>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</si>
  <si>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</si>
  <si>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</si>
  <si>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</si>
  <si>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</si>
  <si>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</si>
  <si>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</si>
  <si>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</si>
  <si>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</si>
  <si>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</si>
  <si>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</si>
  <si>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</si>
  <si>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</si>
  <si>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</si>
  <si>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</si>
  <si>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2019. évben</t>
  </si>
  <si>
    <t>2019. év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</si>
  <si>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</si>
  <si>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</si>
  <si>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</si>
  <si>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</si>
  <si>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</si>
  <si>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</si>
  <si>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</si>
  <si>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</si>
  <si>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</si>
  <si>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</si>
  <si>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</si>
  <si>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</si>
  <si>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</si>
  <si>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</si>
  <si>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</si>
  <si>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</si>
  <si>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</si>
  <si>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</si>
  <si>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2019. január 1-i tényleges nyitólétszám (fő)</t>
  </si>
  <si>
    <t>felújítások</t>
  </si>
  <si>
    <t>Határ utca felújítása</t>
  </si>
  <si>
    <t>Köztársaság téri 1. épület átalakítása</t>
  </si>
  <si>
    <t>Köztársaság téri 2. épület átalakítása</t>
  </si>
  <si>
    <t>Focipálya épület felújítása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</si>
  <si>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</si>
  <si>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</si>
  <si>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</si>
  <si>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</si>
  <si>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</si>
  <si>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</si>
  <si>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</si>
  <si>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</si>
  <si>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180/2017. (IX. 21.) ÖK alapján ÚTNET teljesítése</t>
  </si>
  <si>
    <t>Projektfeladatok, fejlesztések</t>
  </si>
  <si>
    <t>Vízügyi építési alap céltartaléka</t>
  </si>
  <si>
    <t>Intézmények fejlesztései/felújításai</t>
  </si>
  <si>
    <t>Betétek lekötése</t>
  </si>
  <si>
    <t>PÁLYÁZATOK</t>
  </si>
  <si>
    <t xml:space="preserve">Pályázatok </t>
  </si>
  <si>
    <t>Dologi kiadások K3</t>
  </si>
  <si>
    <t>Beruházások K6</t>
  </si>
  <si>
    <t>Felújítások K7</t>
  </si>
  <si>
    <t xml:space="preserve">Focipálya épület felújítása </t>
  </si>
  <si>
    <t>egyéb feladatok</t>
  </si>
  <si>
    <t>Balassy Bálint u – Jurasits u – Szondi utca, Rácsos folyóka</t>
  </si>
  <si>
    <t>Vízügyi Építési Alap céltartaléka</t>
  </si>
  <si>
    <t>ÖNKORMÁNYZATI FEJLESZTÉSEK ÖSSZESEN</t>
  </si>
  <si>
    <t>IX.</t>
  </si>
  <si>
    <t>Intézmények beruházásai/fejlesztései</t>
  </si>
  <si>
    <t>FEJLESZTÉSEK ÖSSZESEN</t>
  </si>
  <si>
    <t>Majális, Augusztus 20. ünnepek szervezése, lebonyolítása</t>
  </si>
  <si>
    <t xml:space="preserve">2019. évi módosított előirányzat 1. módosítás </t>
  </si>
  <si>
    <t>Módosított előirányzat</t>
  </si>
  <si>
    <t>Működési célú tám. ÁH BELÜL</t>
  </si>
  <si>
    <t>Működési célú tám. ÁH KIVÜL</t>
  </si>
  <si>
    <t xml:space="preserve">Egyéb működési célú kiadások </t>
  </si>
  <si>
    <t xml:space="preserve">2019. évi módosított előirányzat                            1. módosítás </t>
  </si>
  <si>
    <t xml:space="preserve">2019. évi módosított előirányzat                                1. módosítás </t>
  </si>
  <si>
    <t xml:space="preserve">2019. évi módosított előirányzat                                   1. módosítás </t>
  </si>
  <si>
    <t xml:space="preserve">2019. évi módosított  előirányzat       1. módosítás </t>
  </si>
  <si>
    <t xml:space="preserve">2019. évi módosított  előirányzat                                           1. módosítás </t>
  </si>
  <si>
    <t>2.18. Helyi esélyegyenlőségi program 8/2019. (I.21.) ÖK</t>
  </si>
  <si>
    <t>Kerékpárút</t>
  </si>
  <si>
    <t>Felhalmozási célú támogatáok államháztartáson kívülre</t>
  </si>
  <si>
    <t>Jázmin utca (Pince tér) részleges felújítási munkái</t>
  </si>
  <si>
    <t>Pelsőczy F. u. térköves burkolása és járulékos munkái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</si>
</sst>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7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trike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C00000"/>
        <bgColor indexed="2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1" fillId="0" borderId="0" applyFont="0" applyFill="0" applyBorder="0" applyAlignment="0" applyProtection="0"/>
    <xf numFmtId="164" fontId="59" fillId="0" borderId="0" applyFill="0" applyBorder="0" applyAlignment="0" applyProtection="0"/>
    <xf numFmtId="164" fontId="6" fillId="0" borderId="0" applyFill="0" applyBorder="0" applyAlignment="0" applyProtection="0"/>
  </cellStyleXfs>
  <cellXfs count="972">
    <xf numFmtId="0" fontId="0" fillId="0" borderId="0" xfId="0"/>
    <xf numFmtId="49" fontId="3" fillId="0" borderId="0" xfId="1" applyNumberFormat="1" applyFont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49" fontId="3" fillId="4" borderId="1" xfId="1" applyNumberFormat="1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vertical="center"/>
    </xf>
    <xf numFmtId="38" fontId="3" fillId="4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vertical="center"/>
    </xf>
    <xf numFmtId="38" fontId="3" fillId="5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6" borderId="1" xfId="1" applyNumberFormat="1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vertical="center"/>
    </xf>
    <xf numFmtId="38" fontId="3" fillId="6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0" xfId="1"/>
    <xf numFmtId="3" fontId="3" fillId="7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8" fontId="11" fillId="8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10" fillId="12" borderId="7" xfId="0" applyFont="1" applyFill="1" applyBorder="1" applyAlignment="1">
      <alignment horizontal="center" vertical="center"/>
    </xf>
    <xf numFmtId="0" fontId="10" fillId="12" borderId="7" xfId="0" applyFont="1" applyFill="1" applyBorder="1"/>
    <xf numFmtId="3" fontId="10" fillId="12" borderId="7" xfId="0" applyNumberFormat="1" applyFont="1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/>
    <xf numFmtId="0" fontId="0" fillId="0" borderId="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13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vertical="center"/>
    </xf>
    <xf numFmtId="0" fontId="10" fillId="0" borderId="0" xfId="0" applyFont="1"/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vertical="center"/>
    </xf>
    <xf numFmtId="3" fontId="3" fillId="4" borderId="5" xfId="1" applyNumberFormat="1" applyFont="1" applyFill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8" fontId="3" fillId="5" borderId="5" xfId="1" applyNumberFormat="1" applyFont="1" applyFill="1" applyBorder="1" applyAlignment="1">
      <alignment vertical="center"/>
    </xf>
    <xf numFmtId="38" fontId="3" fillId="6" borderId="5" xfId="1" applyNumberFormat="1" applyFont="1" applyFill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11" fillId="8" borderId="5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3" fillId="5" borderId="5" xfId="1" applyNumberFormat="1" applyFont="1" applyFill="1" applyBorder="1" applyAlignment="1">
      <alignment vertical="center"/>
    </xf>
    <xf numFmtId="3" fontId="3" fillId="6" borderId="5" xfId="1" applyNumberFormat="1" applyFont="1" applyFill="1" applyBorder="1" applyAlignment="1">
      <alignment vertical="center"/>
    </xf>
    <xf numFmtId="3" fontId="3" fillId="7" borderId="5" xfId="1" applyNumberFormat="1" applyFont="1" applyFill="1" applyBorder="1" applyAlignment="1">
      <alignment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vertical="center"/>
    </xf>
    <xf numFmtId="49" fontId="3" fillId="3" borderId="8" xfId="1" applyNumberFormat="1" applyFont="1" applyFill="1" applyBorder="1" applyAlignment="1">
      <alignment horizontal="center" vertical="center"/>
    </xf>
    <xf numFmtId="3" fontId="3" fillId="4" borderId="8" xfId="1" applyNumberFormat="1" applyFont="1" applyFill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8" fontId="3" fillId="5" borderId="8" xfId="1" applyNumberFormat="1" applyFont="1" applyFill="1" applyBorder="1" applyAlignment="1">
      <alignment vertical="center"/>
    </xf>
    <xf numFmtId="38" fontId="3" fillId="6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11" fillId="8" borderId="8" xfId="1" applyNumberFormat="1" applyFont="1" applyFill="1" applyBorder="1" applyAlignment="1">
      <alignment vertical="center"/>
    </xf>
    <xf numFmtId="3" fontId="3" fillId="5" borderId="8" xfId="1" applyNumberFormat="1" applyFont="1" applyFill="1" applyBorder="1" applyAlignment="1">
      <alignment vertical="center"/>
    </xf>
    <xf numFmtId="3" fontId="3" fillId="6" borderId="8" xfId="1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>
      <alignment vertical="center"/>
    </xf>
    <xf numFmtId="0" fontId="2" fillId="0" borderId="9" xfId="1" applyBorder="1"/>
    <xf numFmtId="0" fontId="2" fillId="0" borderId="0" xfId="1" applyBorder="1"/>
    <xf numFmtId="3" fontId="4" fillId="0" borderId="9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>
      <alignment vertical="center"/>
    </xf>
    <xf numFmtId="49" fontId="3" fillId="3" borderId="11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3" fillId="6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2" xfId="1" applyNumberFormat="1" applyFont="1" applyFill="1" applyBorder="1" applyAlignment="1">
      <alignment horizontal="center" vertical="center" wrapText="1"/>
    </xf>
    <xf numFmtId="3" fontId="3" fillId="14" borderId="4" xfId="1" applyNumberFormat="1" applyFont="1" applyFill="1" applyBorder="1" applyAlignment="1">
      <alignment horizontal="center" vertical="center" wrapText="1"/>
    </xf>
    <xf numFmtId="38" fontId="11" fillId="8" borderId="3" xfId="1" applyNumberFormat="1" applyFont="1" applyFill="1" applyBorder="1" applyAlignment="1">
      <alignment vertical="center"/>
    </xf>
    <xf numFmtId="38" fontId="11" fillId="8" borderId="19" xfId="1" applyNumberFormat="1" applyFont="1" applyFill="1" applyBorder="1" applyAlignment="1">
      <alignment vertical="center"/>
    </xf>
    <xf numFmtId="38" fontId="11" fillId="8" borderId="22" xfId="1" applyNumberFormat="1" applyFont="1" applyFill="1" applyBorder="1" applyAlignment="1">
      <alignment vertical="center"/>
    </xf>
    <xf numFmtId="0" fontId="2" fillId="0" borderId="15" xfId="1" applyBorder="1"/>
    <xf numFmtId="3" fontId="5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0" fillId="0" borderId="24" xfId="0" applyNumberFormat="1" applyBorder="1"/>
    <xf numFmtId="3" fontId="0" fillId="0" borderId="24" xfId="0" applyNumberFormat="1" applyBorder="1" applyAlignment="1">
      <alignment vertical="center"/>
    </xf>
    <xf numFmtId="3" fontId="0" fillId="0" borderId="24" xfId="0" applyNumberFormat="1" applyFont="1" applyBorder="1"/>
    <xf numFmtId="49" fontId="3" fillId="3" borderId="0" xfId="1" applyNumberFormat="1" applyFont="1" applyFill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 wrapText="1"/>
    </xf>
    <xf numFmtId="16" fontId="0" fillId="0" borderId="23" xfId="0" applyNumberFormat="1" applyBorder="1" applyAlignment="1">
      <alignment horizontal="left" vertical="center" wrapText="1"/>
    </xf>
    <xf numFmtId="3" fontId="0" fillId="0" borderId="23" xfId="0" applyNumberFormat="1" applyBorder="1" applyAlignment="1">
      <alignment vertical="center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3" fontId="10" fillId="10" borderId="8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/>
    </xf>
    <xf numFmtId="0" fontId="10" fillId="11" borderId="8" xfId="0" applyFont="1" applyFill="1" applyBorder="1"/>
    <xf numFmtId="3" fontId="10" fillId="11" borderId="8" xfId="0" applyNumberFormat="1" applyFont="1" applyFill="1" applyBorder="1"/>
    <xf numFmtId="0" fontId="10" fillId="11" borderId="8" xfId="0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3" fontId="0" fillId="0" borderId="8" xfId="0" applyNumberFormat="1" applyFont="1" applyFill="1" applyBorder="1"/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8" xfId="0" applyFill="1" applyBorder="1"/>
    <xf numFmtId="0" fontId="10" fillId="15" borderId="8" xfId="0" applyFont="1" applyFill="1" applyBorder="1"/>
    <xf numFmtId="3" fontId="10" fillId="15" borderId="8" xfId="0" applyNumberFormat="1" applyFont="1" applyFill="1" applyBorder="1"/>
    <xf numFmtId="0" fontId="10" fillId="15" borderId="8" xfId="0" applyFont="1" applyFill="1" applyBorder="1" applyAlignment="1">
      <alignment vertical="center"/>
    </xf>
    <xf numFmtId="3" fontId="10" fillId="15" borderId="8" xfId="0" applyNumberFormat="1" applyFont="1" applyFill="1" applyBorder="1" applyAlignment="1">
      <alignment vertical="center"/>
    </xf>
    <xf numFmtId="0" fontId="10" fillId="15" borderId="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3" fontId="10" fillId="10" borderId="8" xfId="0" applyNumberFormat="1" applyFont="1" applyFill="1" applyBorder="1" applyAlignment="1">
      <alignment horizontal="right" vertical="center"/>
    </xf>
    <xf numFmtId="3" fontId="10" fillId="10" borderId="8" xfId="0" applyNumberFormat="1" applyFont="1" applyFill="1" applyBorder="1" applyAlignment="1">
      <alignment horizontal="right" vertical="center" wrapText="1"/>
    </xf>
    <xf numFmtId="0" fontId="9" fillId="16" borderId="8" xfId="0" applyFont="1" applyFill="1" applyBorder="1"/>
    <xf numFmtId="3" fontId="9" fillId="16" borderId="8" xfId="0" applyNumberFormat="1" applyFont="1" applyFill="1" applyBorder="1"/>
    <xf numFmtId="0" fontId="9" fillId="16" borderId="8" xfId="0" applyFont="1" applyFill="1" applyBorder="1" applyAlignment="1">
      <alignment vertical="center"/>
    </xf>
    <xf numFmtId="3" fontId="9" fillId="16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left" vertical="center"/>
    </xf>
    <xf numFmtId="3" fontId="9" fillId="13" borderId="8" xfId="0" applyNumberFormat="1" applyFont="1" applyFill="1" applyBorder="1" applyAlignment="1">
      <alignment horizontal="right" vertical="center"/>
    </xf>
    <xf numFmtId="3" fontId="9" fillId="13" borderId="8" xfId="0" applyNumberFormat="1" applyFont="1" applyFill="1" applyBorder="1" applyAlignment="1">
      <alignment horizontal="right" vertical="center" wrapText="1"/>
    </xf>
    <xf numFmtId="3" fontId="3" fillId="17" borderId="12" xfId="1" applyNumberFormat="1" applyFont="1" applyFill="1" applyBorder="1" applyAlignment="1">
      <alignment horizontal="center" vertical="center" wrapText="1"/>
    </xf>
    <xf numFmtId="3" fontId="3" fillId="17" borderId="4" xfId="1" applyNumberFormat="1" applyFont="1" applyFill="1" applyBorder="1" applyAlignment="1">
      <alignment horizontal="center" vertical="center" wrapText="1"/>
    </xf>
    <xf numFmtId="49" fontId="3" fillId="6" borderId="5" xfId="1" applyNumberFormat="1" applyFont="1" applyFill="1" applyBorder="1" applyAlignment="1">
      <alignment horizontal="left" vertical="center"/>
    </xf>
    <xf numFmtId="49" fontId="3" fillId="6" borderId="2" xfId="1" applyNumberFormat="1" applyFont="1" applyFill="1" applyBorder="1" applyAlignment="1">
      <alignment horizontal="left" vertical="center"/>
    </xf>
    <xf numFmtId="49" fontId="3" fillId="6" borderId="6" xfId="1" applyNumberFormat="1" applyFont="1" applyFill="1" applyBorder="1" applyAlignment="1">
      <alignment vertical="center"/>
    </xf>
    <xf numFmtId="3" fontId="4" fillId="0" borderId="18" xfId="1" applyNumberFormat="1" applyFont="1" applyBorder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7" fillId="18" borderId="25" xfId="0" applyFont="1" applyFill="1" applyBorder="1"/>
    <xf numFmtId="3" fontId="17" fillId="18" borderId="25" xfId="0" applyNumberFormat="1" applyFont="1" applyFill="1" applyBorder="1"/>
    <xf numFmtId="0" fontId="17" fillId="19" borderId="25" xfId="0" applyFont="1" applyFill="1" applyBorder="1"/>
    <xf numFmtId="3" fontId="17" fillId="19" borderId="25" xfId="0" applyNumberFormat="1" applyFont="1" applyFill="1" applyBorder="1"/>
    <xf numFmtId="0" fontId="17" fillId="18" borderId="0" xfId="0" applyFont="1" applyFill="1"/>
    <xf numFmtId="3" fontId="17" fillId="18" borderId="0" xfId="0" applyNumberFormat="1" applyFont="1" applyFill="1"/>
    <xf numFmtId="0" fontId="17" fillId="19" borderId="0" xfId="0" applyFont="1" applyFill="1"/>
    <xf numFmtId="3" fontId="17" fillId="19" borderId="0" xfId="0" applyNumberFormat="1" applyFont="1" applyFill="1"/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9" fillId="11" borderId="26" xfId="6" applyFont="1" applyFill="1" applyBorder="1" applyAlignment="1">
      <alignment horizontal="center" vertical="center" wrapText="1"/>
    </xf>
    <xf numFmtId="3" fontId="19" fillId="20" borderId="26" xfId="6" applyNumberFormat="1" applyFont="1" applyFill="1" applyBorder="1" applyAlignment="1">
      <alignment horizontal="center" vertical="center" wrapText="1"/>
    </xf>
    <xf numFmtId="3" fontId="19" fillId="11" borderId="26" xfId="6" applyNumberFormat="1" applyFont="1" applyFill="1" applyBorder="1" applyAlignment="1">
      <alignment horizontal="center" vertical="center" wrapText="1"/>
    </xf>
    <xf numFmtId="3" fontId="19" fillId="20" borderId="27" xfId="6" applyNumberFormat="1" applyFont="1" applyFill="1" applyBorder="1" applyAlignment="1">
      <alignment horizontal="center" vertical="center" wrapText="1"/>
    </xf>
    <xf numFmtId="3" fontId="19" fillId="11" borderId="27" xfId="6" applyNumberFormat="1" applyFont="1" applyFill="1" applyBorder="1" applyAlignment="1">
      <alignment horizontal="center" vertical="center" wrapText="1"/>
    </xf>
    <xf numFmtId="0" fontId="19" fillId="20" borderId="27" xfId="6" applyFont="1" applyFill="1" applyBorder="1" applyAlignment="1">
      <alignment horizontal="center" vertical="center" wrapText="1"/>
    </xf>
    <xf numFmtId="0" fontId="19" fillId="11" borderId="27" xfId="6" applyFont="1" applyFill="1" applyBorder="1" applyAlignment="1">
      <alignment horizontal="center" vertical="center" wrapText="1"/>
    </xf>
    <xf numFmtId="0" fontId="19" fillId="21" borderId="27" xfId="6" applyFont="1" applyFill="1" applyBorder="1" applyAlignment="1">
      <alignment horizontal="center" vertical="center" wrapText="1"/>
    </xf>
    <xf numFmtId="0" fontId="19" fillId="22" borderId="27" xfId="6" applyFont="1" applyFill="1" applyBorder="1" applyAlignment="1">
      <alignment horizontal="center" vertical="center" wrapText="1"/>
    </xf>
    <xf numFmtId="0" fontId="19" fillId="21" borderId="0" xfId="6" applyFont="1" applyFill="1" applyBorder="1" applyAlignment="1">
      <alignment horizontal="center" vertical="center" wrapText="1"/>
    </xf>
    <xf numFmtId="0" fontId="19" fillId="22" borderId="0" xfId="6" applyFont="1" applyFill="1" applyBorder="1" applyAlignment="1">
      <alignment horizontal="center" vertical="center" wrapText="1"/>
    </xf>
    <xf numFmtId="0" fontId="6" fillId="0" borderId="0" xfId="6" applyFont="1"/>
    <xf numFmtId="0" fontId="6" fillId="0" borderId="26" xfId="6" applyFont="1" applyBorder="1"/>
    <xf numFmtId="3" fontId="6" fillId="23" borderId="26" xfId="6" applyNumberFormat="1" applyFont="1" applyFill="1" applyBorder="1"/>
    <xf numFmtId="3" fontId="6" fillId="0" borderId="26" xfId="6" applyNumberFormat="1" applyFont="1" applyBorder="1"/>
    <xf numFmtId="0" fontId="19" fillId="11" borderId="26" xfId="6" applyFont="1" applyFill="1" applyBorder="1"/>
    <xf numFmtId="3" fontId="19" fillId="20" borderId="26" xfId="6" applyNumberFormat="1" applyFont="1" applyFill="1" applyBorder="1"/>
    <xf numFmtId="3" fontId="19" fillId="11" borderId="26" xfId="6" applyNumberFormat="1" applyFont="1" applyFill="1" applyBorder="1"/>
    <xf numFmtId="0" fontId="19" fillId="0" borderId="0" xfId="6" applyFont="1"/>
    <xf numFmtId="0" fontId="19" fillId="0" borderId="26" xfId="6" applyFont="1" applyBorder="1"/>
    <xf numFmtId="3" fontId="19" fillId="23" borderId="26" xfId="6" applyNumberFormat="1" applyFont="1" applyFill="1" applyBorder="1"/>
    <xf numFmtId="3" fontId="19" fillId="0" borderId="26" xfId="6" applyNumberFormat="1" applyFont="1" applyBorder="1"/>
    <xf numFmtId="0" fontId="6" fillId="0" borderId="26" xfId="6" applyBorder="1"/>
    <xf numFmtId="3" fontId="19" fillId="24" borderId="26" xfId="6" applyNumberFormat="1" applyFont="1" applyFill="1" applyBorder="1"/>
    <xf numFmtId="3" fontId="19" fillId="10" borderId="26" xfId="6" applyNumberFormat="1" applyFont="1" applyFill="1" applyBorder="1"/>
    <xf numFmtId="3" fontId="6" fillId="23" borderId="0" xfId="6" applyNumberFormat="1" applyFont="1" applyFill="1"/>
    <xf numFmtId="3" fontId="6" fillId="0" borderId="0" xfId="6" applyNumberFormat="1" applyFont="1"/>
    <xf numFmtId="0" fontId="6" fillId="23" borderId="0" xfId="6" applyFont="1" applyFill="1"/>
    <xf numFmtId="0" fontId="21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49" fontId="21" fillId="0" borderId="0" xfId="5" applyNumberFormat="1" applyFont="1" applyFill="1" applyAlignment="1">
      <alignment horizontal="center" vertical="center"/>
    </xf>
    <xf numFmtId="3" fontId="24" fillId="22" borderId="26" xfId="7" applyNumberFormat="1" applyFont="1" applyFill="1" applyBorder="1" applyAlignment="1">
      <alignment horizontal="right" vertical="center" wrapText="1"/>
    </xf>
    <xf numFmtId="49" fontId="21" fillId="0" borderId="0" xfId="5" applyNumberFormat="1" applyFont="1" applyAlignment="1">
      <alignment horizontal="center" vertical="center"/>
    </xf>
    <xf numFmtId="0" fontId="20" fillId="0" borderId="0" xfId="5" applyFont="1" applyAlignment="1">
      <alignment vertical="center"/>
    </xf>
    <xf numFmtId="0" fontId="21" fillId="25" borderId="0" xfId="5" applyFont="1" applyFill="1" applyAlignment="1">
      <alignment vertical="center"/>
    </xf>
    <xf numFmtId="0" fontId="22" fillId="0" borderId="0" xfId="5" applyFont="1" applyAlignment="1">
      <alignment vertical="center"/>
    </xf>
    <xf numFmtId="0" fontId="7" fillId="0" borderId="0" xfId="7" applyFont="1" applyAlignment="1">
      <alignment horizontal="left" vertical="center"/>
    </xf>
    <xf numFmtId="0" fontId="13" fillId="26" borderId="0" xfId="7" applyFont="1" applyFill="1" applyAlignment="1">
      <alignment horizontal="right" vertical="center"/>
    </xf>
    <xf numFmtId="0" fontId="9" fillId="13" borderId="0" xfId="0" applyFont="1" applyFill="1" applyBorder="1" applyAlignment="1">
      <alignment horizontal="center" vertical="center" wrapText="1"/>
    </xf>
    <xf numFmtId="0" fontId="26" fillId="0" borderId="0" xfId="7" applyFont="1" applyBorder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9" fillId="11" borderId="26" xfId="7" applyFont="1" applyFill="1" applyBorder="1" applyAlignment="1">
      <alignment horizontal="left" vertical="center" wrapText="1"/>
    </xf>
    <xf numFmtId="3" fontId="19" fillId="11" borderId="26" xfId="7" applyNumberFormat="1" applyFont="1" applyFill="1" applyBorder="1" applyAlignment="1">
      <alignment horizontal="right" vertical="center"/>
    </xf>
    <xf numFmtId="0" fontId="27" fillId="0" borderId="0" xfId="7" applyFont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6" fillId="0" borderId="26" xfId="7" applyFont="1" applyBorder="1" applyAlignment="1">
      <alignment horizontal="left" vertical="center" wrapText="1"/>
    </xf>
    <xf numFmtId="3" fontId="6" fillId="26" borderId="26" xfId="7" applyNumberFormat="1" applyFont="1" applyFill="1" applyBorder="1" applyAlignment="1">
      <alignment horizontal="right" vertical="center"/>
    </xf>
    <xf numFmtId="3" fontId="25" fillId="0" borderId="0" xfId="7" applyNumberFormat="1" applyFont="1" applyBorder="1" applyAlignment="1">
      <alignment horizontal="left" vertical="center"/>
    </xf>
    <xf numFmtId="0" fontId="2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16" fontId="6" fillId="0" borderId="26" xfId="7" applyNumberFormat="1" applyFont="1" applyBorder="1" applyAlignment="1">
      <alignment horizontal="left" vertical="center" wrapText="1"/>
    </xf>
    <xf numFmtId="49" fontId="6" fillId="0" borderId="26" xfId="7" applyNumberFormat="1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left" vertical="center"/>
    </xf>
    <xf numFmtId="0" fontId="29" fillId="27" borderId="26" xfId="0" applyFont="1" applyFill="1" applyBorder="1"/>
    <xf numFmtId="3" fontId="29" fillId="27" borderId="26" xfId="0" applyNumberFormat="1" applyFont="1" applyFill="1" applyBorder="1"/>
    <xf numFmtId="0" fontId="24" fillId="28" borderId="0" xfId="7" applyFont="1" applyFill="1" applyBorder="1" applyAlignment="1">
      <alignment horizontal="left" vertical="center"/>
    </xf>
    <xf numFmtId="0" fontId="28" fillId="28" borderId="0" xfId="7" applyFont="1" applyFill="1" applyBorder="1" applyAlignment="1">
      <alignment horizontal="left" vertical="center"/>
    </xf>
    <xf numFmtId="0" fontId="28" fillId="28" borderId="0" xfId="7" applyFont="1" applyFill="1" applyAlignment="1">
      <alignment horizontal="left" vertical="center"/>
    </xf>
    <xf numFmtId="0" fontId="7" fillId="28" borderId="0" xfId="7" applyFont="1" applyFill="1" applyAlignment="1">
      <alignment horizontal="left" vertical="center"/>
    </xf>
    <xf numFmtId="0" fontId="25" fillId="0" borderId="0" xfId="7" applyFont="1" applyBorder="1" applyAlignment="1">
      <alignment horizontal="left" vertical="center" wrapText="1"/>
    </xf>
    <xf numFmtId="168" fontId="6" fillId="0" borderId="0" xfId="7" applyNumberFormat="1" applyFont="1" applyFill="1" applyBorder="1" applyAlignment="1">
      <alignment horizontal="left" vertical="center"/>
    </xf>
    <xf numFmtId="168" fontId="6" fillId="0" borderId="28" xfId="7" applyNumberFormat="1" applyFont="1" applyFill="1" applyBorder="1" applyAlignment="1">
      <alignment horizontal="left" vertical="center"/>
    </xf>
    <xf numFmtId="0" fontId="30" fillId="15" borderId="0" xfId="0" applyFont="1" applyFill="1"/>
    <xf numFmtId="0" fontId="16" fillId="15" borderId="0" xfId="0" applyFont="1" applyFill="1"/>
    <xf numFmtId="0" fontId="16" fillId="29" borderId="0" xfId="0" applyFont="1" applyFill="1"/>
    <xf numFmtId="3" fontId="16" fillId="15" borderId="0" xfId="0" applyNumberFormat="1" applyFont="1" applyFill="1"/>
    <xf numFmtId="3" fontId="16" fillId="29" borderId="0" xfId="0" applyNumberFormat="1" applyFont="1" applyFill="1"/>
    <xf numFmtId="3" fontId="30" fillId="15" borderId="0" xfId="0" applyNumberFormat="1" applyFont="1" applyFill="1"/>
    <xf numFmtId="165" fontId="0" fillId="0" borderId="0" xfId="0" applyNumberFormat="1"/>
    <xf numFmtId="3" fontId="24" fillId="22" borderId="0" xfId="7" applyNumberFormat="1" applyFont="1" applyFill="1" applyBorder="1" applyAlignment="1">
      <alignment horizontal="right" vertical="center" wrapText="1"/>
    </xf>
    <xf numFmtId="0" fontId="32" fillId="30" borderId="25" xfId="0" applyFont="1" applyFill="1" applyBorder="1" applyAlignment="1">
      <alignment horizontal="center" vertical="center"/>
    </xf>
    <xf numFmtId="3" fontId="32" fillId="30" borderId="25" xfId="0" applyNumberFormat="1" applyFont="1" applyFill="1" applyBorder="1" applyAlignment="1">
      <alignment horizontal="center" vertical="center"/>
    </xf>
    <xf numFmtId="169" fontId="33" fillId="0" borderId="0" xfId="0" applyNumberFormat="1" applyFont="1"/>
    <xf numFmtId="0" fontId="10" fillId="1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3" borderId="24" xfId="0" applyFont="1" applyFill="1" applyBorder="1"/>
    <xf numFmtId="3" fontId="9" fillId="13" borderId="24" xfId="0" applyNumberFormat="1" applyFont="1" applyFill="1" applyBorder="1"/>
    <xf numFmtId="0" fontId="1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0" fillId="11" borderId="24" xfId="0" applyFont="1" applyFill="1" applyBorder="1" applyAlignment="1">
      <alignment horizontal="center"/>
    </xf>
    <xf numFmtId="0" fontId="10" fillId="11" borderId="24" xfId="0" applyFont="1" applyFill="1" applyBorder="1"/>
    <xf numFmtId="3" fontId="10" fillId="11" borderId="24" xfId="0" applyNumberFormat="1" applyFont="1" applyFill="1" applyBorder="1"/>
    <xf numFmtId="0" fontId="10" fillId="12" borderId="24" xfId="0" applyFont="1" applyFill="1" applyBorder="1" applyAlignment="1">
      <alignment horizontal="center"/>
    </xf>
    <xf numFmtId="0" fontId="10" fillId="12" borderId="24" xfId="0" applyFont="1" applyFill="1" applyBorder="1"/>
    <xf numFmtId="3" fontId="10" fillId="12" borderId="24" xfId="0" applyNumberFormat="1" applyFont="1" applyFill="1" applyBorder="1"/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10" fillId="10" borderId="24" xfId="0" applyFont="1" applyFill="1" applyBorder="1" applyAlignment="1">
      <alignment horizontal="center"/>
    </xf>
    <xf numFmtId="0" fontId="10" fillId="10" borderId="24" xfId="0" applyFont="1" applyFill="1" applyBorder="1"/>
    <xf numFmtId="3" fontId="10" fillId="10" borderId="24" xfId="0" applyNumberFormat="1" applyFont="1" applyFill="1" applyBorder="1"/>
    <xf numFmtId="0" fontId="0" fillId="0" borderId="24" xfId="0" applyBorder="1"/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3" fontId="0" fillId="0" borderId="26" xfId="0" applyNumberFormat="1" applyBorder="1"/>
    <xf numFmtId="0" fontId="37" fillId="12" borderId="26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vertical="center" wrapText="1"/>
    </xf>
    <xf numFmtId="3" fontId="37" fillId="12" borderId="26" xfId="0" applyNumberFormat="1" applyFont="1" applyFill="1" applyBorder="1" applyAlignment="1">
      <alignment vertical="center"/>
    </xf>
    <xf numFmtId="0" fontId="37" fillId="11" borderId="26" xfId="0" applyFont="1" applyFill="1" applyBorder="1" applyAlignment="1">
      <alignment horizontal="center" vertical="center"/>
    </xf>
    <xf numFmtId="0" fontId="37" fillId="11" borderId="26" xfId="0" applyFont="1" applyFill="1" applyBorder="1" applyAlignment="1">
      <alignment vertical="center" wrapText="1"/>
    </xf>
    <xf numFmtId="3" fontId="37" fillId="11" borderId="26" xfId="0" applyNumberFormat="1" applyFont="1" applyFill="1" applyBorder="1" applyAlignment="1">
      <alignment vertical="center"/>
    </xf>
    <xf numFmtId="0" fontId="38" fillId="27" borderId="26" xfId="0" applyFont="1" applyFill="1" applyBorder="1" applyAlignment="1">
      <alignment horizontal="center" vertical="center"/>
    </xf>
    <xf numFmtId="0" fontId="38" fillId="27" borderId="26" xfId="0" applyFont="1" applyFill="1" applyBorder="1" applyAlignment="1">
      <alignment vertical="center"/>
    </xf>
    <xf numFmtId="3" fontId="38" fillId="27" borderId="26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0" fillId="0" borderId="0" xfId="11" applyNumberFormat="1" applyFont="1"/>
    <xf numFmtId="170" fontId="0" fillId="0" borderId="0" xfId="11" applyNumberFormat="1" applyFont="1" applyAlignment="1">
      <alignment horizontal="center"/>
    </xf>
    <xf numFmtId="170" fontId="10" fillId="22" borderId="25" xfId="11" applyNumberFormat="1" applyFont="1" applyFill="1" applyBorder="1" applyAlignment="1">
      <alignment horizontal="center" vertical="center" wrapText="1"/>
    </xf>
    <xf numFmtId="170" fontId="10" fillId="22" borderId="25" xfId="11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170" fontId="0" fillId="0" borderId="25" xfId="11" applyNumberFormat="1" applyFont="1" applyBorder="1" applyAlignment="1">
      <alignment vertical="center"/>
    </xf>
    <xf numFmtId="170" fontId="0" fillId="0" borderId="25" xfId="11" applyNumberFormat="1" applyFont="1" applyBorder="1" applyAlignment="1">
      <alignment horizontal="right" vertical="center"/>
    </xf>
    <xf numFmtId="170" fontId="0" fillId="0" borderId="25" xfId="11" applyNumberFormat="1" applyFont="1" applyBorder="1" applyAlignment="1">
      <alignment horizontal="center" vertical="center"/>
    </xf>
    <xf numFmtId="0" fontId="10" fillId="11" borderId="25" xfId="0" applyFont="1" applyFill="1" applyBorder="1" applyAlignment="1">
      <alignment horizontal="center"/>
    </xf>
    <xf numFmtId="170" fontId="10" fillId="11" borderId="25" xfId="11" applyNumberFormat="1" applyFont="1" applyFill="1" applyBorder="1"/>
    <xf numFmtId="170" fontId="10" fillId="11" borderId="25" xfId="11" applyNumberFormat="1" applyFont="1" applyFill="1" applyBorder="1" applyAlignment="1">
      <alignment horizontal="center"/>
    </xf>
    <xf numFmtId="0" fontId="24" fillId="0" borderId="0" xfId="7" applyFont="1"/>
    <xf numFmtId="0" fontId="28" fillId="0" borderId="0" xfId="7" applyFont="1"/>
    <xf numFmtId="0" fontId="40" fillId="0" borderId="0" xfId="7" applyFont="1" applyAlignment="1">
      <alignment horizontal="center"/>
    </xf>
    <xf numFmtId="49" fontId="25" fillId="0" borderId="0" xfId="7" applyNumberFormat="1" applyFont="1" applyAlignment="1">
      <alignment horizontal="center"/>
    </xf>
    <xf numFmtId="0" fontId="25" fillId="0" borderId="0" xfId="7" applyFont="1"/>
    <xf numFmtId="0" fontId="7" fillId="0" borderId="0" xfId="7"/>
    <xf numFmtId="0" fontId="25" fillId="0" borderId="0" xfId="7" applyFont="1" applyAlignment="1">
      <alignment horizontal="center"/>
    </xf>
    <xf numFmtId="49" fontId="9" fillId="13" borderId="24" xfId="0" applyNumberFormat="1" applyFont="1" applyFill="1" applyBorder="1" applyAlignment="1">
      <alignment horizontal="center"/>
    </xf>
    <xf numFmtId="3" fontId="10" fillId="10" borderId="24" xfId="0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28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43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left" vertical="center" wrapText="1"/>
    </xf>
    <xf numFmtId="165" fontId="6" fillId="31" borderId="28" xfId="7" applyNumberFormat="1" applyFont="1" applyFill="1" applyBorder="1" applyAlignment="1">
      <alignment horizontal="center" vertical="center"/>
    </xf>
    <xf numFmtId="0" fontId="6" fillId="0" borderId="28" xfId="7" applyFont="1" applyBorder="1" applyAlignment="1">
      <alignment horizontal="left" vertical="center"/>
    </xf>
    <xf numFmtId="0" fontId="19" fillId="32" borderId="28" xfId="7" applyFont="1" applyFill="1" applyBorder="1" applyAlignment="1">
      <alignment horizontal="left" vertical="center"/>
    </xf>
    <xf numFmtId="165" fontId="19" fillId="32" borderId="28" xfId="7" applyNumberFormat="1" applyFont="1" applyFill="1" applyBorder="1" applyAlignment="1">
      <alignment horizontal="center" vertical="center" wrapText="1"/>
    </xf>
    <xf numFmtId="3" fontId="19" fillId="32" borderId="28" xfId="7" applyNumberFormat="1" applyFont="1" applyFill="1" applyBorder="1" applyAlignment="1">
      <alignment horizontal="center" vertical="center" wrapText="1"/>
    </xf>
    <xf numFmtId="0" fontId="19" fillId="32" borderId="0" xfId="7" applyFont="1" applyFill="1" applyAlignment="1">
      <alignment horizontal="center" vertical="center"/>
    </xf>
    <xf numFmtId="166" fontId="6" fillId="31" borderId="28" xfId="7" applyNumberFormat="1" applyFont="1" applyFill="1" applyBorder="1" applyAlignment="1">
      <alignment horizontal="center" vertical="center"/>
    </xf>
    <xf numFmtId="0" fontId="6" fillId="31" borderId="28" xfId="7" applyFont="1" applyFill="1" applyBorder="1" applyAlignment="1">
      <alignment horizontal="center" vertical="center"/>
    </xf>
    <xf numFmtId="166" fontId="19" fillId="32" borderId="28" xfId="7" applyNumberFormat="1" applyFont="1" applyFill="1" applyBorder="1" applyAlignment="1">
      <alignment horizontal="center" vertical="center" wrapText="1"/>
    </xf>
    <xf numFmtId="0" fontId="38" fillId="13" borderId="28" xfId="7" applyFont="1" applyFill="1" applyBorder="1" applyAlignment="1">
      <alignment horizontal="left" vertical="center"/>
    </xf>
    <xf numFmtId="165" fontId="38" fillId="13" borderId="28" xfId="7" applyNumberFormat="1" applyFont="1" applyFill="1" applyBorder="1" applyAlignment="1">
      <alignment horizontal="center" vertical="center"/>
    </xf>
    <xf numFmtId="0" fontId="19" fillId="13" borderId="0" xfId="7" applyFont="1" applyFill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" fontId="0" fillId="0" borderId="24" xfId="0" applyNumberForma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49" fontId="9" fillId="13" borderId="26" xfId="0" applyNumberFormat="1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/>
    </xf>
    <xf numFmtId="49" fontId="10" fillId="11" borderId="26" xfId="0" applyNumberFormat="1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vertical="center"/>
    </xf>
    <xf numFmtId="3" fontId="10" fillId="11" borderId="26" xfId="0" applyNumberFormat="1" applyFont="1" applyFill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Border="1"/>
    <xf numFmtId="3" fontId="10" fillId="0" borderId="26" xfId="0" applyNumberFormat="1" applyFont="1" applyBorder="1"/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/>
    <xf numFmtId="49" fontId="0" fillId="0" borderId="26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0" fillId="0" borderId="26" xfId="0" applyNumberFormat="1" applyFont="1" applyBorder="1"/>
    <xf numFmtId="0" fontId="9" fillId="9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165" fontId="10" fillId="0" borderId="26" xfId="0" applyNumberFormat="1" applyFont="1" applyFill="1" applyBorder="1" applyAlignment="1">
      <alignment horizontal="right" vertical="center" wrapText="1"/>
    </xf>
    <xf numFmtId="0" fontId="10" fillId="11" borderId="26" xfId="0" applyFont="1" applyFill="1" applyBorder="1" applyAlignment="1">
      <alignment horizontal="center" vertical="center"/>
    </xf>
    <xf numFmtId="0" fontId="10" fillId="11" borderId="26" xfId="0" applyFont="1" applyFill="1" applyBorder="1"/>
    <xf numFmtId="3" fontId="10" fillId="11" borderId="26" xfId="0" applyNumberFormat="1" applyFont="1" applyFill="1" applyBorder="1"/>
    <xf numFmtId="0" fontId="10" fillId="12" borderId="26" xfId="0" applyFont="1" applyFill="1" applyBorder="1" applyAlignment="1">
      <alignment horizontal="center" vertical="center"/>
    </xf>
    <xf numFmtId="0" fontId="10" fillId="12" borderId="26" xfId="0" applyFont="1" applyFill="1" applyBorder="1"/>
    <xf numFmtId="3" fontId="10" fillId="12" borderId="26" xfId="0" applyNumberFormat="1" applyFont="1" applyFill="1" applyBorder="1"/>
    <xf numFmtId="0" fontId="0" fillId="0" borderId="26" xfId="0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0" fontId="0" fillId="0" borderId="26" xfId="0" applyBorder="1"/>
    <xf numFmtId="0" fontId="10" fillId="10" borderId="26" xfId="0" applyFont="1" applyFill="1" applyBorder="1" applyAlignment="1">
      <alignment horizontal="left" vertical="center"/>
    </xf>
    <xf numFmtId="3" fontId="10" fillId="10" borderId="26" xfId="0" applyNumberFormat="1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left" vertical="center"/>
    </xf>
    <xf numFmtId="0" fontId="9" fillId="13" borderId="26" xfId="0" applyFont="1" applyFill="1" applyBorder="1" applyAlignment="1">
      <alignment vertical="center" wrapText="1"/>
    </xf>
    <xf numFmtId="49" fontId="12" fillId="11" borderId="26" xfId="0" applyNumberFormat="1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vertical="center" wrapText="1"/>
    </xf>
    <xf numFmtId="3" fontId="12" fillId="11" borderId="26" xfId="0" applyNumberFormat="1" applyFont="1" applyFill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49" fontId="0" fillId="0" borderId="26" xfId="0" applyNumberFormat="1" applyFont="1" applyBorder="1"/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 wrapText="1"/>
    </xf>
    <xf numFmtId="165" fontId="9" fillId="13" borderId="26" xfId="0" applyNumberFormat="1" applyFont="1" applyFill="1" applyBorder="1" applyAlignment="1">
      <alignment horizontal="right" vertical="center"/>
    </xf>
    <xf numFmtId="165" fontId="10" fillId="11" borderId="26" xfId="0" applyNumberFormat="1" applyFont="1" applyFill="1" applyBorder="1" applyAlignment="1">
      <alignment vertical="center"/>
    </xf>
    <xf numFmtId="165" fontId="0" fillId="0" borderId="26" xfId="0" applyNumberFormat="1" applyFont="1" applyBorder="1"/>
    <xf numFmtId="165" fontId="0" fillId="0" borderId="26" xfId="0" applyNumberFormat="1" applyFont="1" applyBorder="1" applyAlignment="1">
      <alignment vertical="center"/>
    </xf>
    <xf numFmtId="165" fontId="0" fillId="0" borderId="26" xfId="0" applyNumberFormat="1" applyBorder="1"/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6" fontId="0" fillId="0" borderId="26" xfId="0" applyNumberForma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49" fontId="19" fillId="0" borderId="0" xfId="7" applyNumberFormat="1" applyFont="1" applyBorder="1" applyAlignment="1">
      <alignment horizontal="center" vertical="center" wrapText="1"/>
    </xf>
    <xf numFmtId="49" fontId="24" fillId="0" borderId="0" xfId="5" applyNumberFormat="1" applyFont="1" applyBorder="1" applyAlignment="1">
      <alignment horizontal="center" vertical="center"/>
    </xf>
    <xf numFmtId="49" fontId="25" fillId="0" borderId="0" xfId="5" applyNumberFormat="1" applyFont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10" fillId="10" borderId="26" xfId="0" applyNumberFormat="1" applyFont="1" applyFill="1" applyBorder="1" applyAlignment="1">
      <alignment horizontal="center" vertical="center" wrapText="1"/>
    </xf>
    <xf numFmtId="3" fontId="10" fillId="10" borderId="8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vertical="center"/>
    </xf>
    <xf numFmtId="0" fontId="17" fillId="18" borderId="25" xfId="0" applyFont="1" applyFill="1" applyBorder="1" applyAlignment="1">
      <alignment vertical="center" wrapText="1"/>
    </xf>
    <xf numFmtId="3" fontId="17" fillId="18" borderId="25" xfId="0" applyNumberFormat="1" applyFont="1" applyFill="1" applyBorder="1" applyAlignment="1">
      <alignment horizontal="right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9" fillId="13" borderId="33" xfId="0" applyNumberFormat="1" applyFont="1" applyFill="1" applyBorder="1" applyAlignment="1">
      <alignment horizontal="right" vertical="center"/>
    </xf>
    <xf numFmtId="171" fontId="0" fillId="0" borderId="0" xfId="11" applyNumberFormat="1" applyFont="1"/>
    <xf numFmtId="171" fontId="9" fillId="13" borderId="26" xfId="11" applyNumberFormat="1" applyFont="1" applyFill="1" applyBorder="1" applyAlignment="1">
      <alignment horizontal="right" vertical="center"/>
    </xf>
    <xf numFmtId="171" fontId="12" fillId="11" borderId="26" xfId="11" applyNumberFormat="1" applyFont="1" applyFill="1" applyBorder="1" applyAlignment="1">
      <alignment horizontal="right" vertical="center"/>
    </xf>
    <xf numFmtId="171" fontId="10" fillId="0" borderId="26" xfId="11" applyNumberFormat="1" applyFont="1" applyFill="1" applyBorder="1" applyAlignment="1">
      <alignment vertical="center"/>
    </xf>
    <xf numFmtId="171" fontId="10" fillId="0" borderId="26" xfId="11" applyNumberFormat="1" applyFont="1" applyBorder="1"/>
    <xf numFmtId="171" fontId="0" fillId="0" borderId="26" xfId="11" applyNumberFormat="1" applyFont="1" applyBorder="1"/>
    <xf numFmtId="171" fontId="0" fillId="0" borderId="26" xfId="11" applyNumberFormat="1" applyFont="1" applyBorder="1" applyAlignment="1">
      <alignment vertical="center"/>
    </xf>
    <xf numFmtId="171" fontId="0" fillId="0" borderId="26" xfId="11" applyNumberFormat="1" applyFont="1" applyFill="1" applyBorder="1" applyAlignment="1">
      <alignment vertical="center"/>
    </xf>
    <xf numFmtId="3" fontId="25" fillId="22" borderId="0" xfId="7" applyNumberFormat="1" applyFont="1" applyFill="1" applyBorder="1" applyAlignment="1">
      <alignment horizontal="right" vertical="center" wrapText="1"/>
    </xf>
    <xf numFmtId="170" fontId="6" fillId="26" borderId="0" xfId="11" applyNumberFormat="1" applyFont="1" applyFill="1" applyBorder="1" applyAlignment="1">
      <alignment horizontal="right" vertical="center"/>
    </xf>
    <xf numFmtId="170" fontId="25" fillId="0" borderId="0" xfId="11" applyNumberFormat="1" applyFont="1" applyFill="1" applyBorder="1" applyAlignment="1">
      <alignment horizontal="right" vertical="center"/>
    </xf>
    <xf numFmtId="170" fontId="23" fillId="25" borderId="0" xfId="11" applyNumberFormat="1" applyFont="1" applyFill="1" applyBorder="1" applyAlignment="1">
      <alignment vertical="center"/>
    </xf>
    <xf numFmtId="170" fontId="21" fillId="0" borderId="0" xfId="11" applyNumberFormat="1" applyFont="1" applyAlignment="1">
      <alignment vertical="center"/>
    </xf>
    <xf numFmtId="171" fontId="13" fillId="0" borderId="26" xfId="11" applyNumberFormat="1" applyFont="1" applyBorder="1" applyAlignment="1">
      <alignment vertical="center"/>
    </xf>
    <xf numFmtId="165" fontId="9" fillId="13" borderId="33" xfId="0" applyNumberFormat="1" applyFont="1" applyFill="1" applyBorder="1" applyAlignment="1">
      <alignment horizontal="right" vertical="center"/>
    </xf>
    <xf numFmtId="3" fontId="13" fillId="29" borderId="26" xfId="0" applyNumberFormat="1" applyFont="1" applyFill="1" applyBorder="1"/>
    <xf numFmtId="49" fontId="13" fillId="0" borderId="26" xfId="0" applyNumberFormat="1" applyFont="1" applyBorder="1"/>
    <xf numFmtId="0" fontId="6" fillId="0" borderId="28" xfId="7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171" fontId="13" fillId="0" borderId="0" xfId="11" applyNumberFormat="1" applyFont="1"/>
    <xf numFmtId="0" fontId="13" fillId="0" borderId="0" xfId="0" applyFont="1"/>
    <xf numFmtId="49" fontId="12" fillId="13" borderId="26" xfId="0" applyNumberFormat="1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vertical="center"/>
    </xf>
    <xf numFmtId="171" fontId="12" fillId="13" borderId="26" xfId="11" applyNumberFormat="1" applyFont="1" applyFill="1" applyBorder="1" applyAlignment="1">
      <alignment horizontal="right" vertical="center"/>
    </xf>
    <xf numFmtId="0" fontId="12" fillId="11" borderId="26" xfId="0" applyFont="1" applyFill="1" applyBorder="1" applyAlignment="1">
      <alignment vertical="center"/>
    </xf>
    <xf numFmtId="171" fontId="12" fillId="11" borderId="26" xfId="11" applyNumberFormat="1" applyFont="1" applyFill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Border="1"/>
    <xf numFmtId="3" fontId="12" fillId="0" borderId="26" xfId="0" applyNumberFormat="1" applyFont="1" applyBorder="1"/>
    <xf numFmtId="171" fontId="12" fillId="0" borderId="26" xfId="11" applyNumberFormat="1" applyFont="1" applyBorder="1"/>
    <xf numFmtId="49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/>
    <xf numFmtId="171" fontId="13" fillId="0" borderId="26" xfId="11" applyNumberFormat="1" applyFont="1" applyBorder="1"/>
    <xf numFmtId="49" fontId="13" fillId="0" borderId="26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vertical="center" wrapText="1"/>
    </xf>
    <xf numFmtId="171" fontId="12" fillId="0" borderId="26" xfId="11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26" xfId="0" applyNumberFormat="1" applyFont="1" applyBorder="1" applyAlignment="1">
      <alignment wrapText="1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10" borderId="24" xfId="0" applyFont="1" applyFill="1" applyBorder="1" applyAlignment="1">
      <alignment horizontal="center" vertical="center" wrapText="1"/>
    </xf>
    <xf numFmtId="3" fontId="12" fillId="1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13" borderId="24" xfId="0" applyNumberFormat="1" applyFont="1" applyFill="1" applyBorder="1" applyAlignment="1">
      <alignment horizontal="center"/>
    </xf>
    <xf numFmtId="0" fontId="12" fillId="13" borderId="24" xfId="0" applyFont="1" applyFill="1" applyBorder="1"/>
    <xf numFmtId="3" fontId="12" fillId="13" borderId="24" xfId="0" applyNumberFormat="1" applyFont="1" applyFill="1" applyBorder="1"/>
    <xf numFmtId="0" fontId="12" fillId="11" borderId="24" xfId="0" applyFont="1" applyFill="1" applyBorder="1" applyAlignment="1">
      <alignment horizontal="center"/>
    </xf>
    <xf numFmtId="0" fontId="12" fillId="11" borderId="24" xfId="0" applyFont="1" applyFill="1" applyBorder="1"/>
    <xf numFmtId="3" fontId="12" fillId="11" borderId="24" xfId="0" applyNumberFormat="1" applyFont="1" applyFill="1" applyBorder="1"/>
    <xf numFmtId="0" fontId="12" fillId="12" borderId="24" xfId="0" applyFont="1" applyFill="1" applyBorder="1" applyAlignment="1">
      <alignment horizontal="center"/>
    </xf>
    <xf numFmtId="0" fontId="12" fillId="12" borderId="24" xfId="0" applyFont="1" applyFill="1" applyBorder="1"/>
    <xf numFmtId="3" fontId="12" fillId="12" borderId="24" xfId="0" applyNumberFormat="1" applyFont="1" applyFill="1" applyBorder="1" applyAlignment="1"/>
    <xf numFmtId="3" fontId="12" fillId="12" borderId="24" xfId="0" applyNumberFormat="1" applyFont="1" applyFill="1" applyBorder="1"/>
    <xf numFmtId="0" fontId="13" fillId="0" borderId="24" xfId="0" applyFont="1" applyBorder="1" applyAlignment="1">
      <alignment horizontal="center"/>
    </xf>
    <xf numFmtId="0" fontId="13" fillId="0" borderId="24" xfId="0" applyFont="1" applyBorder="1"/>
    <xf numFmtId="3" fontId="13" fillId="0" borderId="24" xfId="0" applyNumberFormat="1" applyFont="1" applyBorder="1"/>
    <xf numFmtId="0" fontId="13" fillId="0" borderId="24" xfId="0" applyFont="1" applyBorder="1" applyAlignment="1">
      <alignment horizontal="left" indent="3"/>
    </xf>
    <xf numFmtId="0" fontId="13" fillId="0" borderId="24" xfId="0" applyFont="1" applyBorder="1" applyAlignment="1">
      <alignment horizontal="left"/>
    </xf>
    <xf numFmtId="0" fontId="12" fillId="10" borderId="24" xfId="0" applyFont="1" applyFill="1" applyBorder="1" applyAlignment="1">
      <alignment horizontal="center"/>
    </xf>
    <xf numFmtId="0" fontId="12" fillId="10" borderId="24" xfId="0" applyFont="1" applyFill="1" applyBorder="1"/>
    <xf numFmtId="3" fontId="12" fillId="10" borderId="24" xfId="0" applyNumberFormat="1" applyFont="1" applyFill="1" applyBorder="1"/>
    <xf numFmtId="165" fontId="12" fillId="0" borderId="26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Border="1"/>
    <xf numFmtId="171" fontId="12" fillId="0" borderId="7" xfId="11" applyNumberFormat="1" applyFont="1" applyBorder="1"/>
    <xf numFmtId="3" fontId="38" fillId="13" borderId="28" xfId="7" applyNumberFormat="1" applyFont="1" applyFill="1" applyBorder="1" applyAlignment="1">
      <alignment horizontal="center" vertical="center"/>
    </xf>
    <xf numFmtId="0" fontId="19" fillId="32" borderId="28" xfId="7" applyFont="1" applyFill="1" applyBorder="1" applyAlignment="1">
      <alignment horizontal="center" vertical="center" wrapText="1"/>
    </xf>
    <xf numFmtId="49" fontId="46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0" fontId="28" fillId="0" borderId="0" xfId="5" applyFont="1"/>
    <xf numFmtId="0" fontId="7" fillId="0" borderId="0" xfId="5" applyFont="1" applyAlignment="1">
      <alignment vertical="center"/>
    </xf>
    <xf numFmtId="0" fontId="7" fillId="0" borderId="0" xfId="5" applyFont="1"/>
    <xf numFmtId="0" fontId="6" fillId="0" borderId="0" xfId="5" applyFont="1" applyAlignment="1">
      <alignment horizontal="right"/>
    </xf>
    <xf numFmtId="49" fontId="6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49" fontId="24" fillId="25" borderId="0" xfId="5" applyNumberFormat="1" applyFont="1" applyFill="1" applyBorder="1" applyAlignment="1">
      <alignment horizontal="center"/>
    </xf>
    <xf numFmtId="0" fontId="7" fillId="25" borderId="0" xfId="5" applyFont="1" applyFill="1" applyAlignment="1">
      <alignment horizontal="center"/>
    </xf>
    <xf numFmtId="0" fontId="7" fillId="25" borderId="0" xfId="5" applyFont="1" applyFill="1"/>
    <xf numFmtId="49" fontId="7" fillId="0" borderId="0" xfId="5" applyNumberFormat="1" applyFont="1" applyAlignment="1">
      <alignment horizontal="center"/>
    </xf>
    <xf numFmtId="3" fontId="13" fillId="0" borderId="26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49" fontId="41" fillId="0" borderId="8" xfId="7" applyNumberFormat="1" applyFont="1" applyBorder="1" applyAlignment="1">
      <alignment horizontal="center"/>
    </xf>
    <xf numFmtId="0" fontId="41" fillId="0" borderId="8" xfId="7" applyFont="1" applyBorder="1" applyAlignment="1">
      <alignment horizontal="center"/>
    </xf>
    <xf numFmtId="49" fontId="25" fillId="0" borderId="8" xfId="7" applyNumberFormat="1" applyFont="1" applyBorder="1" applyAlignment="1">
      <alignment horizontal="center"/>
    </xf>
    <xf numFmtId="0" fontId="25" fillId="0" borderId="8" xfId="7" applyFont="1" applyBorder="1" applyAlignment="1">
      <alignment horizontal="left" indent="1"/>
    </xf>
    <xf numFmtId="0" fontId="25" fillId="0" borderId="8" xfId="7" applyFont="1" applyBorder="1" applyAlignment="1">
      <alignment horizontal="center"/>
    </xf>
    <xf numFmtId="167" fontId="7" fillId="0" borderId="0" xfId="5" applyNumberFormat="1" applyFont="1"/>
    <xf numFmtId="3" fontId="28" fillId="0" borderId="0" xfId="5" applyNumberFormat="1" applyFont="1"/>
    <xf numFmtId="3" fontId="13" fillId="0" borderId="0" xfId="0" applyNumberFormat="1" applyFont="1" applyAlignment="1">
      <alignment horizontal="right" wrapText="1"/>
    </xf>
    <xf numFmtId="171" fontId="13" fillId="0" borderId="0" xfId="11" applyNumberFormat="1" applyFont="1" applyAlignment="1">
      <alignment wrapText="1"/>
    </xf>
    <xf numFmtId="3" fontId="12" fillId="13" borderId="26" xfId="0" applyNumberFormat="1" applyFont="1" applyFill="1" applyBorder="1" applyAlignment="1">
      <alignment horizontal="right" vertical="center" wrapText="1"/>
    </xf>
    <xf numFmtId="171" fontId="12" fillId="13" borderId="26" xfId="11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vertical="center" wrapText="1"/>
    </xf>
    <xf numFmtId="171" fontId="12" fillId="11" borderId="26" xfId="11" applyNumberFormat="1" applyFont="1" applyFill="1" applyBorder="1" applyAlignment="1">
      <alignment vertical="center" wrapText="1"/>
    </xf>
    <xf numFmtId="3" fontId="12" fillId="0" borderId="26" xfId="0" applyNumberFormat="1" applyFont="1" applyBorder="1" applyAlignment="1">
      <alignment wrapText="1"/>
    </xf>
    <xf numFmtId="171" fontId="12" fillId="0" borderId="26" xfId="11" applyNumberFormat="1" applyFont="1" applyBorder="1" applyAlignment="1">
      <alignment wrapText="1"/>
    </xf>
    <xf numFmtId="3" fontId="13" fillId="0" borderId="26" xfId="0" applyNumberFormat="1" applyFont="1" applyBorder="1" applyAlignment="1">
      <alignment wrapText="1"/>
    </xf>
    <xf numFmtId="171" fontId="13" fillId="0" borderId="26" xfId="11" applyNumberFormat="1" applyFont="1" applyBorder="1" applyAlignment="1">
      <alignment wrapText="1"/>
    </xf>
    <xf numFmtId="3" fontId="13" fillId="0" borderId="26" xfId="0" applyNumberFormat="1" applyFont="1" applyBorder="1" applyAlignment="1">
      <alignment vertical="center" wrapText="1"/>
    </xf>
    <xf numFmtId="171" fontId="13" fillId="0" borderId="26" xfId="11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171" fontId="12" fillId="0" borderId="26" xfId="11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49" fontId="25" fillId="0" borderId="0" xfId="5" applyNumberFormat="1" applyFont="1" applyFill="1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3" fontId="12" fillId="1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171" fontId="0" fillId="0" borderId="0" xfId="11" applyNumberFormat="1" applyFont="1" applyAlignment="1">
      <alignment horizontal="right" wrapText="1"/>
    </xf>
    <xf numFmtId="171" fontId="0" fillId="0" borderId="0" xfId="11" applyNumberFormat="1" applyFont="1" applyBorder="1" applyAlignment="1">
      <alignment horizontal="right" wrapText="1"/>
    </xf>
    <xf numFmtId="171" fontId="0" fillId="0" borderId="0" xfId="11" applyNumberFormat="1" applyFont="1" applyBorder="1" applyAlignment="1">
      <alignment wrapText="1"/>
    </xf>
    <xf numFmtId="49" fontId="9" fillId="13" borderId="26" xfId="0" applyNumberFormat="1" applyFont="1" applyFill="1" applyBorder="1" applyAlignment="1">
      <alignment horizontal="center" vertical="center" wrapText="1"/>
    </xf>
    <xf numFmtId="171" fontId="9" fillId="13" borderId="26" xfId="11" applyNumberFormat="1" applyFont="1" applyFill="1" applyBorder="1" applyAlignment="1">
      <alignment horizontal="right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vertical="center" wrapText="1"/>
    </xf>
    <xf numFmtId="3" fontId="10" fillId="11" borderId="26" xfId="0" applyNumberFormat="1" applyFont="1" applyFill="1" applyBorder="1" applyAlignment="1">
      <alignment vertical="center" wrapText="1"/>
    </xf>
    <xf numFmtId="171" fontId="10" fillId="11" borderId="26" xfId="11" applyNumberFormat="1" applyFont="1" applyFill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wrapText="1"/>
    </xf>
    <xf numFmtId="171" fontId="10" fillId="0" borderId="26" xfId="11" applyNumberFormat="1" applyFont="1" applyBorder="1" applyAlignment="1">
      <alignment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171" fontId="0" fillId="0" borderId="26" xfId="11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0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26" xfId="0" applyNumberFormat="1" applyFont="1" applyBorder="1" applyAlignment="1">
      <alignment wrapText="1"/>
    </xf>
    <xf numFmtId="171" fontId="0" fillId="0" borderId="0" xfId="11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171" fontId="10" fillId="10" borderId="26" xfId="11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wrapText="1"/>
    </xf>
    <xf numFmtId="3" fontId="10" fillId="11" borderId="26" xfId="0" applyNumberFormat="1" applyFont="1" applyFill="1" applyBorder="1" applyAlignment="1">
      <alignment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wrapText="1"/>
    </xf>
    <xf numFmtId="3" fontId="10" fillId="12" borderId="26" xfId="0" applyNumberFormat="1" applyFont="1" applyFill="1" applyBorder="1" applyAlignment="1">
      <alignment wrapText="1"/>
    </xf>
    <xf numFmtId="0" fontId="10" fillId="10" borderId="26" xfId="0" applyFont="1" applyFill="1" applyBorder="1" applyAlignment="1">
      <alignment horizontal="left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12" borderId="26" xfId="0" applyFont="1" applyFill="1" applyBorder="1" applyAlignment="1">
      <alignment vertical="center" wrapText="1"/>
    </xf>
    <xf numFmtId="3" fontId="10" fillId="12" borderId="26" xfId="0" applyNumberFormat="1" applyFont="1" applyFill="1" applyBorder="1" applyAlignment="1">
      <alignment vertical="center" wrapText="1"/>
    </xf>
    <xf numFmtId="3" fontId="12" fillId="12" borderId="26" xfId="0" applyNumberFormat="1" applyFont="1" applyFill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3" fontId="10" fillId="12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wrapText="1"/>
    </xf>
    <xf numFmtId="3" fontId="12" fillId="12" borderId="26" xfId="0" applyNumberFormat="1" applyFont="1" applyFill="1" applyBorder="1" applyAlignment="1">
      <alignment wrapText="1"/>
    </xf>
    <xf numFmtId="3" fontId="12" fillId="10" borderId="26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Fill="1" applyBorder="1" applyAlignment="1">
      <alignment wrapText="1"/>
    </xf>
    <xf numFmtId="171" fontId="13" fillId="0" borderId="26" xfId="11" applyNumberFormat="1" applyFont="1" applyFill="1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vertical="center"/>
    </xf>
    <xf numFmtId="3" fontId="50" fillId="10" borderId="26" xfId="0" applyNumberFormat="1" applyFont="1" applyFill="1" applyBorder="1" applyAlignment="1">
      <alignment horizontal="center" vertical="center" wrapText="1"/>
    </xf>
    <xf numFmtId="0" fontId="50" fillId="11" borderId="26" xfId="0" applyFont="1" applyFill="1" applyBorder="1" applyAlignment="1">
      <alignment horizontal="center" vertical="center" wrapText="1"/>
    </xf>
    <xf numFmtId="0" fontId="50" fillId="11" borderId="26" xfId="0" applyFont="1" applyFill="1" applyBorder="1" applyAlignment="1">
      <alignment vertical="center" wrapText="1"/>
    </xf>
    <xf numFmtId="3" fontId="50" fillId="11" borderId="26" xfId="0" applyNumberFormat="1" applyFont="1" applyFill="1" applyBorder="1" applyAlignment="1">
      <alignment vertical="center" wrapText="1"/>
    </xf>
    <xf numFmtId="0" fontId="50" fillId="12" borderId="26" xfId="0" applyFont="1" applyFill="1" applyBorder="1" applyAlignment="1">
      <alignment horizontal="center" vertical="center" wrapText="1"/>
    </xf>
    <xf numFmtId="0" fontId="50" fillId="12" borderId="26" xfId="0" applyFont="1" applyFill="1" applyBorder="1" applyAlignment="1">
      <alignment vertical="center" wrapText="1"/>
    </xf>
    <xf numFmtId="3" fontId="50" fillId="12" borderId="26" xfId="0" applyNumberFormat="1" applyFont="1" applyFill="1" applyBorder="1" applyAlignment="1">
      <alignment vertical="center" wrapText="1"/>
    </xf>
    <xf numFmtId="3" fontId="51" fillId="12" borderId="26" xfId="0" applyNumberFormat="1" applyFont="1" applyFill="1" applyBorder="1" applyAlignment="1">
      <alignment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3" fontId="49" fillId="0" borderId="26" xfId="0" applyNumberFormat="1" applyFont="1" applyBorder="1" applyAlignment="1">
      <alignment vertical="center" wrapText="1"/>
    </xf>
    <xf numFmtId="3" fontId="52" fillId="0" borderId="26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horizontal="right" vertical="center" wrapText="1"/>
    </xf>
    <xf numFmtId="3" fontId="52" fillId="0" borderId="26" xfId="0" applyNumberFormat="1" applyFont="1" applyBorder="1" applyAlignment="1">
      <alignment horizontal="right" vertical="center" wrapText="1"/>
    </xf>
    <xf numFmtId="3" fontId="51" fillId="11" borderId="26" xfId="0" applyNumberFormat="1" applyFont="1" applyFill="1" applyBorder="1" applyAlignment="1">
      <alignment vertical="center" wrapText="1"/>
    </xf>
    <xf numFmtId="0" fontId="50" fillId="10" borderId="26" xfId="0" applyFont="1" applyFill="1" applyBorder="1" applyAlignment="1">
      <alignment horizontal="center" vertical="center" wrapText="1"/>
    </xf>
    <xf numFmtId="0" fontId="50" fillId="10" borderId="26" xfId="0" applyFont="1" applyFill="1" applyBorder="1" applyAlignment="1">
      <alignment horizontal="left" vertical="center" wrapText="1"/>
    </xf>
    <xf numFmtId="3" fontId="50" fillId="10" borderId="26" xfId="0" applyNumberFormat="1" applyFont="1" applyFill="1" applyBorder="1" applyAlignment="1">
      <alignment horizontal="right" vertical="center" wrapText="1"/>
    </xf>
    <xf numFmtId="3" fontId="50" fillId="12" borderId="26" xfId="0" applyNumberFormat="1" applyFont="1" applyFill="1" applyBorder="1" applyAlignment="1">
      <alignment horizontal="right" vertical="center" wrapText="1"/>
    </xf>
    <xf numFmtId="0" fontId="49" fillId="0" borderId="26" xfId="0" applyFont="1" applyBorder="1" applyAlignment="1">
      <alignment vertical="center" wrapText="1"/>
    </xf>
    <xf numFmtId="0" fontId="53" fillId="13" borderId="26" xfId="0" applyFont="1" applyFill="1" applyBorder="1" applyAlignment="1">
      <alignment horizontal="center" vertical="center" wrapText="1"/>
    </xf>
    <xf numFmtId="0" fontId="53" fillId="13" borderId="26" xfId="0" applyFont="1" applyFill="1" applyBorder="1" applyAlignment="1">
      <alignment horizontal="left" vertical="center" wrapText="1"/>
    </xf>
    <xf numFmtId="3" fontId="53" fillId="13" borderId="26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right"/>
    </xf>
    <xf numFmtId="0" fontId="55" fillId="9" borderId="26" xfId="0" applyFont="1" applyFill="1" applyBorder="1" applyAlignment="1">
      <alignment vertical="center" wrapText="1"/>
    </xf>
    <xf numFmtId="3" fontId="55" fillId="9" borderId="26" xfId="0" applyNumberFormat="1" applyFont="1" applyFill="1" applyBorder="1" applyAlignment="1">
      <alignment horizontal="center" vertical="center" wrapText="1"/>
    </xf>
    <xf numFmtId="3" fontId="56" fillId="10" borderId="26" xfId="0" applyNumberFormat="1" applyFont="1" applyFill="1" applyBorder="1" applyAlignment="1">
      <alignment horizontal="center" vertical="center" wrapText="1"/>
    </xf>
    <xf numFmtId="0" fontId="56" fillId="11" borderId="26" xfId="0" applyFont="1" applyFill="1" applyBorder="1" applyAlignment="1">
      <alignment horizontal="center" vertical="center"/>
    </xf>
    <xf numFmtId="0" fontId="56" fillId="11" borderId="26" xfId="0" applyFont="1" applyFill="1" applyBorder="1"/>
    <xf numFmtId="3" fontId="56" fillId="11" borderId="26" xfId="0" applyNumberFormat="1" applyFont="1" applyFill="1" applyBorder="1"/>
    <xf numFmtId="0" fontId="56" fillId="12" borderId="26" xfId="0" applyFont="1" applyFill="1" applyBorder="1" applyAlignment="1">
      <alignment horizontal="center" vertical="center"/>
    </xf>
    <xf numFmtId="0" fontId="56" fillId="12" borderId="26" xfId="0" applyFont="1" applyFill="1" applyBorder="1"/>
    <xf numFmtId="3" fontId="56" fillId="12" borderId="26" xfId="0" applyNumberFormat="1" applyFont="1" applyFill="1" applyBorder="1"/>
    <xf numFmtId="0" fontId="54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 wrapText="1"/>
    </xf>
    <xf numFmtId="3" fontId="56" fillId="0" borderId="26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6" fontId="54" fillId="0" borderId="26" xfId="0" applyNumberFormat="1" applyFont="1" applyBorder="1" applyAlignment="1">
      <alignment horizontal="left" vertical="center" wrapText="1" indent="3"/>
    </xf>
    <xf numFmtId="3" fontId="54" fillId="0" borderId="26" xfId="0" applyNumberFormat="1" applyFont="1" applyBorder="1" applyAlignment="1">
      <alignment vertical="center"/>
    </xf>
    <xf numFmtId="3" fontId="54" fillId="0" borderId="26" xfId="0" applyNumberFormat="1" applyFont="1" applyBorder="1"/>
    <xf numFmtId="3" fontId="56" fillId="0" borderId="26" xfId="0" applyNumberFormat="1" applyFont="1" applyBorder="1"/>
    <xf numFmtId="49" fontId="54" fillId="0" borderId="26" xfId="0" applyNumberFormat="1" applyFont="1" applyBorder="1" applyAlignment="1">
      <alignment horizontal="left" vertical="center" wrapText="1" indent="5"/>
    </xf>
    <xf numFmtId="0" fontId="56" fillId="0" borderId="26" xfId="0" applyFont="1" applyBorder="1" applyAlignment="1">
      <alignment horizontal="center" vertical="center"/>
    </xf>
    <xf numFmtId="3" fontId="57" fillId="12" borderId="26" xfId="0" applyNumberFormat="1" applyFont="1" applyFill="1" applyBorder="1"/>
    <xf numFmtId="0" fontId="56" fillId="0" borderId="26" xfId="0" applyFont="1" applyBorder="1"/>
    <xf numFmtId="3" fontId="57" fillId="0" borderId="26" xfId="0" applyNumberFormat="1" applyFont="1" applyBorder="1"/>
    <xf numFmtId="0" fontId="56" fillId="0" borderId="26" xfId="0" applyFont="1" applyBorder="1" applyAlignment="1">
      <alignment vertical="center" wrapText="1"/>
    </xf>
    <xf numFmtId="0" fontId="56" fillId="10" borderId="26" xfId="0" applyFont="1" applyFill="1" applyBorder="1" applyAlignment="1">
      <alignment horizontal="center" vertical="center"/>
    </xf>
    <xf numFmtId="0" fontId="56" fillId="10" borderId="26" xfId="0" applyFont="1" applyFill="1" applyBorder="1" applyAlignment="1">
      <alignment horizontal="left" vertical="center"/>
    </xf>
    <xf numFmtId="3" fontId="56" fillId="1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Border="1"/>
    <xf numFmtId="0" fontId="55" fillId="13" borderId="26" xfId="0" applyFont="1" applyFill="1" applyBorder="1" applyAlignment="1">
      <alignment horizontal="center" vertical="center"/>
    </xf>
    <xf numFmtId="0" fontId="55" fillId="13" borderId="26" xfId="0" applyFont="1" applyFill="1" applyBorder="1" applyAlignment="1">
      <alignment horizontal="left" vertical="center"/>
    </xf>
    <xf numFmtId="3" fontId="55" fillId="13" borderId="26" xfId="0" applyNumberFormat="1" applyFont="1" applyFill="1" applyBorder="1" applyAlignment="1">
      <alignment horizontal="right" vertical="center" wrapText="1"/>
    </xf>
    <xf numFmtId="3" fontId="54" fillId="0" borderId="0" xfId="0" applyNumberFormat="1" applyFont="1"/>
    <xf numFmtId="3" fontId="10" fillId="10" borderId="26" xfId="0" applyNumberFormat="1" applyFont="1" applyFill="1" applyBorder="1" applyAlignment="1">
      <alignment horizontal="center" vertical="center" wrapText="1"/>
    </xf>
    <xf numFmtId="3" fontId="56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/>
    </xf>
    <xf numFmtId="0" fontId="46" fillId="0" borderId="0" xfId="5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26" xfId="0" applyNumberFormat="1" applyFont="1" applyBorder="1" applyAlignment="1">
      <alignment horizontal="left" vertical="center" wrapText="1" indent="3"/>
    </xf>
    <xf numFmtId="49" fontId="25" fillId="11" borderId="0" xfId="5" applyNumberFormat="1" applyFont="1" applyFill="1" applyBorder="1" applyAlignment="1">
      <alignment horizontal="center" vertical="center"/>
    </xf>
    <xf numFmtId="3" fontId="24" fillId="11" borderId="0" xfId="7" applyNumberFormat="1" applyFont="1" applyFill="1" applyBorder="1" applyAlignment="1">
      <alignment horizontal="right" vertical="center" wrapText="1"/>
    </xf>
    <xf numFmtId="0" fontId="7" fillId="11" borderId="0" xfId="5" applyFont="1" applyFill="1" applyAlignment="1">
      <alignment vertical="center"/>
    </xf>
    <xf numFmtId="49" fontId="63" fillId="0" borderId="0" xfId="5" applyNumberFormat="1" applyFont="1" applyBorder="1" applyAlignment="1">
      <alignment horizontal="center" vertical="center"/>
    </xf>
    <xf numFmtId="3" fontId="62" fillId="22" borderId="0" xfId="7" applyNumberFormat="1" applyFont="1" applyFill="1" applyBorder="1" applyAlignment="1">
      <alignment horizontal="right" vertical="center" wrapText="1"/>
    </xf>
    <xf numFmtId="0" fontId="64" fillId="0" borderId="0" xfId="5" applyFont="1" applyFill="1" applyAlignment="1">
      <alignment vertical="center"/>
    </xf>
    <xf numFmtId="3" fontId="25" fillId="11" borderId="0" xfId="7" applyNumberFormat="1" applyFont="1" applyFill="1" applyBorder="1" applyAlignment="1">
      <alignment horizontal="right" vertical="center" wrapText="1"/>
    </xf>
    <xf numFmtId="0" fontId="65" fillId="0" borderId="0" xfId="0" applyFont="1"/>
    <xf numFmtId="0" fontId="66" fillId="0" borderId="0" xfId="0" applyFont="1"/>
    <xf numFmtId="49" fontId="66" fillId="0" borderId="26" xfId="0" applyNumberFormat="1" applyFont="1" applyBorder="1" applyAlignment="1">
      <alignment horizontal="center" vertical="center"/>
    </xf>
    <xf numFmtId="0" fontId="44" fillId="0" borderId="0" xfId="0" applyFont="1"/>
    <xf numFmtId="0" fontId="48" fillId="0" borderId="0" xfId="0" applyFont="1"/>
    <xf numFmtId="3" fontId="12" fillId="0" borderId="26" xfId="0" applyNumberFormat="1" applyFont="1" applyFill="1" applyBorder="1" applyAlignment="1">
      <alignment wrapText="1"/>
    </xf>
    <xf numFmtId="3" fontId="13" fillId="0" borderId="26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/>
    <xf numFmtId="171" fontId="12" fillId="0" borderId="26" xfId="11" applyNumberFormat="1" applyFont="1" applyFill="1" applyBorder="1"/>
    <xf numFmtId="171" fontId="12" fillId="0" borderId="26" xfId="11" applyNumberFormat="1" applyFont="1" applyFill="1" applyBorder="1" applyAlignment="1">
      <alignment wrapText="1"/>
    </xf>
    <xf numFmtId="0" fontId="13" fillId="0" borderId="0" xfId="0" applyFont="1" applyFill="1"/>
    <xf numFmtId="49" fontId="13" fillId="0" borderId="26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/>
    <xf numFmtId="171" fontId="13" fillId="0" borderId="26" xfId="11" applyNumberFormat="1" applyFont="1" applyFill="1" applyBorder="1"/>
    <xf numFmtId="49" fontId="13" fillId="0" borderId="26" xfId="0" applyNumberFormat="1" applyFont="1" applyFill="1" applyBorder="1" applyAlignment="1">
      <alignment vertical="center" wrapText="1"/>
    </xf>
    <xf numFmtId="171" fontId="13" fillId="0" borderId="26" xfId="11" applyNumberFormat="1" applyFont="1" applyFill="1" applyBorder="1" applyAlignment="1">
      <alignment vertical="center"/>
    </xf>
    <xf numFmtId="171" fontId="13" fillId="0" borderId="26" xfId="11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vertical="center" wrapText="1"/>
    </xf>
    <xf numFmtId="171" fontId="12" fillId="0" borderId="26" xfId="11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 wrapText="1"/>
    </xf>
    <xf numFmtId="171" fontId="12" fillId="0" borderId="26" xfId="11" applyNumberFormat="1" applyFont="1" applyFill="1" applyBorder="1" applyAlignment="1">
      <alignment vertical="center" wrapText="1"/>
    </xf>
    <xf numFmtId="0" fontId="12" fillId="0" borderId="0" xfId="0" applyFont="1" applyFill="1"/>
    <xf numFmtId="49" fontId="10" fillId="0" borderId="26" xfId="0" applyNumberFormat="1" applyFont="1" applyFill="1" applyBorder="1"/>
    <xf numFmtId="0" fontId="54" fillId="0" borderId="26" xfId="0" applyFont="1" applyFill="1" applyBorder="1" applyAlignment="1">
      <alignment horizontal="center" vertical="center"/>
    </xf>
    <xf numFmtId="16" fontId="54" fillId="0" borderId="26" xfId="0" applyNumberFormat="1" applyFont="1" applyFill="1" applyBorder="1" applyAlignment="1">
      <alignment horizontal="left" vertical="center" wrapText="1" indent="3"/>
    </xf>
    <xf numFmtId="3" fontId="54" fillId="0" borderId="26" xfId="0" applyNumberFormat="1" applyFont="1" applyFill="1" applyBorder="1"/>
    <xf numFmtId="49" fontId="25" fillId="0" borderId="0" xfId="5" applyNumberFormat="1" applyFont="1" applyBorder="1" applyAlignment="1">
      <alignment horizontal="left" vertical="center"/>
    </xf>
    <xf numFmtId="3" fontId="0" fillId="0" borderId="26" xfId="0" applyNumberFormat="1" applyFill="1" applyBorder="1"/>
    <xf numFmtId="3" fontId="0" fillId="0" borderId="26" xfId="0" applyNumberFormat="1" applyFill="1" applyBorder="1" applyAlignment="1">
      <alignment vertical="center"/>
    </xf>
    <xf numFmtId="0" fontId="46" fillId="0" borderId="0" xfId="5" applyFont="1" applyAlignment="1">
      <alignment horizontal="center"/>
    </xf>
    <xf numFmtId="3" fontId="67" fillId="0" borderId="26" xfId="0" applyNumberFormat="1" applyFont="1" applyFill="1" applyBorder="1" applyAlignment="1">
      <alignment wrapText="1"/>
    </xf>
    <xf numFmtId="0" fontId="46" fillId="0" borderId="0" xfId="5" applyFont="1" applyAlignment="1">
      <alignment horizont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24" fillId="0" borderId="25" xfId="5" applyFont="1" applyFill="1" applyBorder="1" applyAlignment="1">
      <alignment horizontal="center" vertical="center"/>
    </xf>
    <xf numFmtId="0" fontId="24" fillId="0" borderId="25" xfId="5" applyFont="1" applyFill="1" applyBorder="1" applyAlignment="1">
      <alignment horizontal="center" vertical="center" wrapText="1"/>
    </xf>
    <xf numFmtId="3" fontId="19" fillId="0" borderId="25" xfId="7" applyNumberFormat="1" applyFont="1" applyBorder="1" applyAlignment="1">
      <alignment horizontal="center" vertical="center" wrapText="1"/>
    </xf>
    <xf numFmtId="0" fontId="24" fillId="22" borderId="25" xfId="5" applyFont="1" applyFill="1" applyBorder="1" applyAlignment="1">
      <alignment horizontal="center" vertical="center"/>
    </xf>
    <xf numFmtId="0" fontId="24" fillId="22" borderId="25" xfId="5" applyFont="1" applyFill="1" applyBorder="1" applyAlignment="1">
      <alignment vertical="center" wrapText="1"/>
    </xf>
    <xf numFmtId="3" fontId="24" fillId="22" borderId="25" xfId="7" applyNumberFormat="1" applyFont="1" applyFill="1" applyBorder="1" applyAlignment="1">
      <alignment horizontal="right" vertical="center" wrapText="1" indent="2"/>
    </xf>
    <xf numFmtId="0" fontId="24" fillId="29" borderId="25" xfId="5" applyFont="1" applyFill="1" applyBorder="1" applyAlignment="1">
      <alignment horizontal="center" vertical="center"/>
    </xf>
    <xf numFmtId="0" fontId="24" fillId="29" borderId="25" xfId="5" applyFont="1" applyFill="1" applyBorder="1" applyAlignment="1">
      <alignment vertical="center" wrapText="1"/>
    </xf>
    <xf numFmtId="167" fontId="24" fillId="0" borderId="25" xfId="5" applyNumberFormat="1" applyFont="1" applyBorder="1" applyAlignment="1">
      <alignment horizontal="right" vertical="center"/>
    </xf>
    <xf numFmtId="0" fontId="25" fillId="29" borderId="25" xfId="5" applyFont="1" applyFill="1" applyBorder="1" applyAlignment="1">
      <alignment horizontal="center" vertical="center"/>
    </xf>
    <xf numFmtId="0" fontId="25" fillId="29" borderId="25" xfId="0" applyFont="1" applyFill="1" applyBorder="1" applyAlignment="1">
      <alignment vertical="top" wrapText="1"/>
    </xf>
    <xf numFmtId="167" fontId="25" fillId="0" borderId="25" xfId="5" applyNumberFormat="1" applyFont="1" applyBorder="1" applyAlignment="1">
      <alignment horizontal="right" vertical="center"/>
    </xf>
    <xf numFmtId="167" fontId="25" fillId="0" borderId="25" xfId="5" applyNumberFormat="1" applyFont="1" applyFill="1" applyBorder="1" applyAlignment="1">
      <alignment horizontal="right" vertical="center"/>
    </xf>
    <xf numFmtId="167" fontId="25" fillId="29" borderId="25" xfId="5" applyNumberFormat="1" applyFont="1" applyFill="1" applyBorder="1" applyAlignment="1">
      <alignment horizontal="right" vertical="center"/>
    </xf>
    <xf numFmtId="0" fontId="25" fillId="29" borderId="25" xfId="5" applyFont="1" applyFill="1" applyBorder="1" applyAlignment="1">
      <alignment vertical="center" wrapText="1"/>
    </xf>
    <xf numFmtId="0" fontId="25" fillId="0" borderId="25" xfId="5" applyFont="1" applyFill="1" applyBorder="1" applyAlignment="1">
      <alignment vertical="center" wrapText="1"/>
    </xf>
    <xf numFmtId="0" fontId="62" fillId="29" borderId="25" xfId="5" applyFont="1" applyFill="1" applyBorder="1" applyAlignment="1">
      <alignment horizontal="center" vertical="center"/>
    </xf>
    <xf numFmtId="167" fontId="24" fillId="0" borderId="25" xfId="5" applyNumberFormat="1" applyFont="1" applyFill="1" applyBorder="1" applyAlignment="1">
      <alignment horizontal="right" vertical="center"/>
    </xf>
    <xf numFmtId="167" fontId="24" fillId="29" borderId="25" xfId="5" applyNumberFormat="1" applyFont="1" applyFill="1" applyBorder="1" applyAlignment="1">
      <alignment horizontal="right" vertical="center"/>
    </xf>
    <xf numFmtId="0" fontId="25" fillId="0" borderId="25" xfId="5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top" wrapText="1"/>
    </xf>
    <xf numFmtId="0" fontId="25" fillId="29" borderId="25" xfId="0" applyFont="1" applyFill="1" applyBorder="1" applyAlignment="1">
      <alignment horizontal="left" vertical="top" wrapText="1"/>
    </xf>
    <xf numFmtId="0" fontId="25" fillId="29" borderId="25" xfId="0" applyNumberFormat="1" applyFont="1" applyFill="1" applyBorder="1" applyAlignment="1">
      <alignment horizontal="left" vertical="top" wrapText="1"/>
    </xf>
    <xf numFmtId="16" fontId="25" fillId="29" borderId="25" xfId="5" applyNumberFormat="1" applyFont="1" applyFill="1" applyBorder="1" applyAlignment="1">
      <alignment vertical="center" wrapText="1"/>
    </xf>
    <xf numFmtId="0" fontId="25" fillId="29" borderId="25" xfId="5" applyFont="1" applyFill="1" applyBorder="1" applyAlignment="1">
      <alignment vertical="center"/>
    </xf>
    <xf numFmtId="49" fontId="24" fillId="0" borderId="25" xfId="5" applyNumberFormat="1" applyFont="1" applyFill="1" applyBorder="1" applyAlignment="1">
      <alignment vertical="center" wrapText="1"/>
    </xf>
    <xf numFmtId="0" fontId="24" fillId="0" borderId="25" xfId="5" quotePrefix="1" applyFont="1" applyBorder="1" applyAlignment="1">
      <alignment horizontal="center" vertical="center"/>
    </xf>
    <xf numFmtId="49" fontId="25" fillId="0" borderId="25" xfId="5" applyNumberFormat="1" applyFont="1" applyFill="1" applyBorder="1" applyAlignment="1">
      <alignment vertical="center" wrapText="1"/>
    </xf>
    <xf numFmtId="0" fontId="24" fillId="0" borderId="25" xfId="5" applyFont="1" applyBorder="1" applyAlignment="1">
      <alignment horizontal="center" vertical="center"/>
    </xf>
    <xf numFmtId="0" fontId="24" fillId="25" borderId="25" xfId="5" applyFont="1" applyFill="1" applyBorder="1" applyAlignment="1">
      <alignment horizontal="center" vertical="center"/>
    </xf>
    <xf numFmtId="0" fontId="24" fillId="25" borderId="25" xfId="5" applyFont="1" applyFill="1" applyBorder="1" applyAlignment="1">
      <alignment horizontal="left" wrapText="1"/>
    </xf>
    <xf numFmtId="167" fontId="24" fillId="25" borderId="25" xfId="5" applyNumberFormat="1" applyFont="1" applyFill="1" applyBorder="1"/>
    <xf numFmtId="0" fontId="46" fillId="0" borderId="0" xfId="5" applyFont="1" applyAlignment="1">
      <alignment horizontal="center"/>
    </xf>
    <xf numFmtId="0" fontId="13" fillId="0" borderId="26" xfId="0" applyFont="1" applyBorder="1" applyAlignment="1">
      <alignment wrapText="1"/>
    </xf>
    <xf numFmtId="0" fontId="19" fillId="12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171" fontId="1" fillId="0" borderId="26" xfId="11" applyNumberFormat="1" applyFont="1" applyBorder="1"/>
    <xf numFmtId="0" fontId="10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3" fontId="10" fillId="0" borderId="0" xfId="0" applyNumberFormat="1" applyFont="1"/>
    <xf numFmtId="16" fontId="25" fillId="29" borderId="25" xfId="0" applyNumberFormat="1" applyFont="1" applyFill="1" applyBorder="1" applyAlignment="1">
      <alignment vertical="top" wrapText="1"/>
    </xf>
    <xf numFmtId="49" fontId="13" fillId="0" borderId="26" xfId="0" applyNumberFormat="1" applyFont="1" applyBorder="1" applyAlignment="1">
      <alignment wrapText="1"/>
    </xf>
    <xf numFmtId="3" fontId="24" fillId="22" borderId="37" xfId="7" applyNumberFormat="1" applyFont="1" applyFill="1" applyBorder="1" applyAlignment="1">
      <alignment horizontal="right" vertical="center" wrapText="1"/>
    </xf>
    <xf numFmtId="0" fontId="23" fillId="0" borderId="25" xfId="5" applyFont="1" applyFill="1" applyBorder="1" applyAlignment="1">
      <alignment horizontal="center" vertical="center"/>
    </xf>
    <xf numFmtId="172" fontId="24" fillId="22" borderId="25" xfId="11" applyNumberFormat="1" applyFont="1" applyFill="1" applyBorder="1" applyAlignment="1">
      <alignment vertical="center"/>
    </xf>
    <xf numFmtId="170" fontId="24" fillId="0" borderId="25" xfId="11" applyNumberFormat="1" applyFont="1" applyFill="1" applyBorder="1" applyAlignment="1">
      <alignment horizontal="right" vertical="center"/>
    </xf>
    <xf numFmtId="0" fontId="25" fillId="0" borderId="25" xfId="5" applyFont="1" applyBorder="1" applyAlignment="1">
      <alignment horizontal="center" vertical="center"/>
    </xf>
    <xf numFmtId="170" fontId="25" fillId="0" borderId="25" xfId="11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wrapText="1"/>
    </xf>
    <xf numFmtId="0" fontId="25" fillId="0" borderId="25" xfId="6" applyFont="1" applyFill="1" applyBorder="1" applyAlignment="1">
      <alignment horizontal="left" vertical="center" wrapText="1"/>
    </xf>
    <xf numFmtId="170" fontId="24" fillId="22" borderId="25" xfId="11" applyNumberFormat="1" applyFont="1" applyFill="1" applyBorder="1" applyAlignment="1">
      <alignment horizontal="right" vertical="center" wrapText="1" indent="2"/>
    </xf>
    <xf numFmtId="0" fontId="25" fillId="25" borderId="25" xfId="5" applyFont="1" applyFill="1" applyBorder="1" applyAlignment="1">
      <alignment vertical="center"/>
    </xf>
    <xf numFmtId="0" fontId="24" fillId="25" borderId="25" xfId="5" applyFont="1" applyFill="1" applyBorder="1" applyAlignment="1">
      <alignment horizontal="left" vertical="center"/>
    </xf>
    <xf numFmtId="170" fontId="24" fillId="25" borderId="25" xfId="11" applyNumberFormat="1" applyFont="1" applyFill="1" applyBorder="1" applyAlignment="1">
      <alignment vertical="center"/>
    </xf>
    <xf numFmtId="0" fontId="46" fillId="0" borderId="0" xfId="5" applyFont="1" applyAlignment="1">
      <alignment horizontal="center"/>
    </xf>
    <xf numFmtId="49" fontId="46" fillId="0" borderId="0" xfId="5" applyNumberFormat="1" applyFont="1" applyAlignment="1">
      <alignment horizontal="right"/>
    </xf>
    <xf numFmtId="49" fontId="7" fillId="0" borderId="0" xfId="5" applyNumberFormat="1" applyFont="1" applyAlignment="1">
      <alignment horizontal="right"/>
    </xf>
    <xf numFmtId="49" fontId="6" fillId="0" borderId="0" xfId="5" applyNumberFormat="1" applyFont="1" applyAlignment="1">
      <alignment horizontal="right"/>
    </xf>
    <xf numFmtId="49" fontId="19" fillId="0" borderId="0" xfId="7" applyNumberFormat="1" applyFont="1" applyBorder="1" applyAlignment="1">
      <alignment horizontal="right" vertical="center" wrapText="1"/>
    </xf>
    <xf numFmtId="49" fontId="24" fillId="0" borderId="0" xfId="5" applyNumberFormat="1" applyFont="1" applyBorder="1" applyAlignment="1">
      <alignment horizontal="right" vertical="center"/>
    </xf>
    <xf numFmtId="49" fontId="25" fillId="0" borderId="0" xfId="5" applyNumberFormat="1" applyFont="1" applyBorder="1" applyAlignment="1">
      <alignment horizontal="right" vertical="center"/>
    </xf>
    <xf numFmtId="49" fontId="25" fillId="11" borderId="0" xfId="5" applyNumberFormat="1" applyFont="1" applyFill="1" applyBorder="1" applyAlignment="1">
      <alignment horizontal="right" vertical="center"/>
    </xf>
    <xf numFmtId="49" fontId="63" fillId="0" borderId="0" xfId="5" applyNumberFormat="1" applyFont="1" applyBorder="1" applyAlignment="1">
      <alignment horizontal="right" vertical="center"/>
    </xf>
    <xf numFmtId="49" fontId="24" fillId="0" borderId="0" xfId="5" applyNumberFormat="1" applyFont="1" applyFill="1" applyBorder="1" applyAlignment="1">
      <alignment horizontal="right" vertical="center"/>
    </xf>
    <xf numFmtId="49" fontId="25" fillId="0" borderId="0" xfId="5" applyNumberFormat="1" applyFont="1" applyFill="1" applyBorder="1" applyAlignment="1">
      <alignment horizontal="right" vertical="center"/>
    </xf>
    <xf numFmtId="49" fontId="24" fillId="25" borderId="0" xfId="5" applyNumberFormat="1" applyFont="1" applyFill="1" applyBorder="1" applyAlignment="1">
      <alignment horizontal="right"/>
    </xf>
    <xf numFmtId="0" fontId="7" fillId="0" borderId="25" xfId="5" applyFont="1" applyFill="1" applyBorder="1" applyAlignment="1">
      <alignment horizontal="center" vertical="center"/>
    </xf>
    <xf numFmtId="0" fontId="7" fillId="11" borderId="25" xfId="5" applyFont="1" applyFill="1" applyBorder="1" applyAlignment="1">
      <alignment horizontal="center" vertical="center"/>
    </xf>
    <xf numFmtId="0" fontId="64" fillId="0" borderId="25" xfId="5" applyFont="1" applyFill="1" applyBorder="1" applyAlignment="1">
      <alignment horizontal="center" vertical="center"/>
    </xf>
    <xf numFmtId="0" fontId="28" fillId="0" borderId="25" xfId="5" applyFont="1" applyFill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28" fillId="0" borderId="25" xfId="5" applyFont="1" applyBorder="1" applyAlignment="1">
      <alignment horizontal="center" vertical="center"/>
    </xf>
    <xf numFmtId="0" fontId="21" fillId="0" borderId="25" xfId="5" applyFont="1" applyFill="1" applyBorder="1" applyAlignment="1">
      <alignment vertical="center"/>
    </xf>
    <xf numFmtId="0" fontId="21" fillId="0" borderId="25" xfId="5" applyFont="1" applyBorder="1" applyAlignment="1">
      <alignment vertical="center"/>
    </xf>
    <xf numFmtId="0" fontId="21" fillId="25" borderId="25" xfId="5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0" fontId="10" fillId="0" borderId="26" xfId="0" applyFont="1" applyBorder="1"/>
    <xf numFmtId="0" fontId="0" fillId="0" borderId="26" xfId="0" applyFont="1" applyBorder="1" applyAlignment="1">
      <alignment vertical="center" wrapText="1"/>
    </xf>
    <xf numFmtId="0" fontId="46" fillId="0" borderId="0" xfId="5" applyFont="1" applyAlignment="1">
      <alignment horizontal="center"/>
    </xf>
    <xf numFmtId="0" fontId="13" fillId="0" borderId="0" xfId="0" applyFont="1" applyAlignment="1">
      <alignment horizontal="right"/>
    </xf>
    <xf numFmtId="3" fontId="12" fillId="12" borderId="26" xfId="0" applyNumberFormat="1" applyFont="1" applyFill="1" applyBorder="1"/>
    <xf numFmtId="0" fontId="13" fillId="0" borderId="25" xfId="0" applyFont="1" applyBorder="1"/>
    <xf numFmtId="3" fontId="10" fillId="1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40" fillId="0" borderId="0" xfId="0" applyFont="1"/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/>
    <xf numFmtId="3" fontId="0" fillId="0" borderId="26" xfId="0" applyNumberFormat="1" applyFont="1" applyFill="1" applyBorder="1"/>
    <xf numFmtId="0" fontId="0" fillId="0" borderId="26" xfId="0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68" fillId="0" borderId="25" xfId="0" applyFont="1" applyBorder="1" applyAlignment="1">
      <alignment vertical="center"/>
    </xf>
    <xf numFmtId="0" fontId="69" fillId="0" borderId="25" xfId="0" applyFont="1" applyBorder="1" applyAlignment="1">
      <alignment horizontal="center" vertical="center"/>
    </xf>
    <xf numFmtId="0" fontId="69" fillId="0" borderId="25" xfId="0" applyFont="1" applyBorder="1" applyAlignment="1">
      <alignment vertical="center" wrapText="1"/>
    </xf>
    <xf numFmtId="167" fontId="69" fillId="0" borderId="25" xfId="0" applyNumberFormat="1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11" borderId="25" xfId="0" applyFont="1" applyFill="1" applyBorder="1" applyAlignment="1">
      <alignment horizontal="center" vertical="center"/>
    </xf>
    <xf numFmtId="0" fontId="69" fillId="11" borderId="25" xfId="0" applyFont="1" applyFill="1" applyBorder="1" applyAlignment="1">
      <alignment horizontal="center" vertical="center" wrapText="1"/>
    </xf>
    <xf numFmtId="167" fontId="69" fillId="11" borderId="25" xfId="0" applyNumberFormat="1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vertical="center" wrapText="1"/>
    </xf>
    <xf numFmtId="167" fontId="69" fillId="33" borderId="25" xfId="0" applyNumberFormat="1" applyFont="1" applyFill="1" applyBorder="1" applyAlignment="1">
      <alignment vertical="center"/>
    </xf>
    <xf numFmtId="0" fontId="69" fillId="33" borderId="25" xfId="0" applyFont="1" applyFill="1" applyBorder="1" applyAlignment="1">
      <alignment wrapText="1"/>
    </xf>
    <xf numFmtId="0" fontId="69" fillId="33" borderId="25" xfId="0" applyFont="1" applyFill="1" applyBorder="1" applyAlignment="1">
      <alignment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vertical="center" wrapText="1"/>
    </xf>
    <xf numFmtId="167" fontId="70" fillId="0" borderId="25" xfId="0" applyNumberFormat="1" applyFont="1" applyFill="1" applyBorder="1" applyAlignment="1">
      <alignment vertical="center"/>
    </xf>
    <xf numFmtId="0" fontId="69" fillId="34" borderId="25" xfId="0" applyFont="1" applyFill="1" applyBorder="1" applyAlignment="1">
      <alignment wrapText="1"/>
    </xf>
    <xf numFmtId="0" fontId="69" fillId="34" borderId="25" xfId="0" applyFont="1" applyFill="1" applyBorder="1" applyAlignment="1">
      <alignment vertical="center"/>
    </xf>
    <xf numFmtId="0" fontId="70" fillId="0" borderId="25" xfId="0" applyFont="1" applyBorder="1" applyAlignment="1">
      <alignment wrapText="1"/>
    </xf>
    <xf numFmtId="0" fontId="70" fillId="0" borderId="25" xfId="0" applyFont="1" applyBorder="1" applyAlignment="1">
      <alignment vertical="center"/>
    </xf>
    <xf numFmtId="0" fontId="70" fillId="0" borderId="25" xfId="0" applyFont="1" applyBorder="1" applyAlignment="1">
      <alignment horizontal="left" wrapText="1"/>
    </xf>
    <xf numFmtId="0" fontId="70" fillId="34" borderId="25" xfId="0" applyFont="1" applyFill="1" applyBorder="1" applyAlignment="1">
      <alignment horizontal="left" wrapText="1"/>
    </xf>
    <xf numFmtId="0" fontId="71" fillId="34" borderId="25" xfId="0" applyFont="1" applyFill="1" applyBorder="1" applyAlignment="1">
      <alignment vertical="center" wrapText="1"/>
    </xf>
    <xf numFmtId="0" fontId="71" fillId="34" borderId="25" xfId="0" applyFont="1" applyFill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0" fillId="0" borderId="25" xfId="0" applyFont="1" applyBorder="1" applyAlignment="1">
      <alignment vertical="center" wrapText="1"/>
    </xf>
    <xf numFmtId="167" fontId="70" fillId="0" borderId="25" xfId="0" applyNumberFormat="1" applyFont="1" applyBorder="1" applyAlignment="1">
      <alignment vertical="center"/>
    </xf>
    <xf numFmtId="0" fontId="70" fillId="0" borderId="25" xfId="0" applyFont="1" applyFill="1" applyBorder="1" applyAlignment="1">
      <alignment wrapText="1"/>
    </xf>
    <xf numFmtId="0" fontId="68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vertical="center" wrapText="1"/>
    </xf>
    <xf numFmtId="167" fontId="72" fillId="0" borderId="25" xfId="0" applyNumberFormat="1" applyFont="1" applyBorder="1" applyAlignment="1">
      <alignment vertical="center"/>
    </xf>
    <xf numFmtId="0" fontId="72" fillId="0" borderId="25" xfId="0" applyFont="1" applyFill="1" applyBorder="1" applyAlignment="1">
      <alignment wrapText="1"/>
    </xf>
    <xf numFmtId="0" fontId="70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wrapText="1"/>
    </xf>
    <xf numFmtId="0" fontId="69" fillId="0" borderId="25" xfId="0" applyFont="1" applyFill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wrapText="1"/>
    </xf>
    <xf numFmtId="0" fontId="72" fillId="0" borderId="25" xfId="0" applyFont="1" applyBorder="1" applyAlignment="1">
      <alignment vertical="center"/>
    </xf>
    <xf numFmtId="0" fontId="69" fillId="34" borderId="25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wrapText="1"/>
    </xf>
    <xf numFmtId="0" fontId="70" fillId="34" borderId="25" xfId="0" applyFont="1" applyFill="1" applyBorder="1" applyAlignment="1">
      <alignment vertical="center"/>
    </xf>
    <xf numFmtId="0" fontId="72" fillId="34" borderId="25" xfId="0" applyFont="1" applyFill="1" applyBorder="1" applyAlignment="1">
      <alignment wrapText="1"/>
    </xf>
    <xf numFmtId="0" fontId="69" fillId="0" borderId="25" xfId="0" applyFont="1" applyFill="1" applyBorder="1" applyAlignment="1">
      <alignment horizontal="center" vertical="center"/>
    </xf>
    <xf numFmtId="0" fontId="70" fillId="0" borderId="25" xfId="0" applyFont="1" applyBorder="1" applyAlignment="1">
      <alignment vertical="top" wrapText="1"/>
    </xf>
    <xf numFmtId="0" fontId="70" fillId="0" borderId="25" xfId="0" applyFont="1" applyFill="1" applyBorder="1"/>
    <xf numFmtId="0" fontId="70" fillId="0" borderId="25" xfId="0" applyFont="1" applyBorder="1" applyAlignment="1">
      <alignment horizontal="left" vertical="center" wrapText="1"/>
    </xf>
    <xf numFmtId="0" fontId="69" fillId="34" borderId="25" xfId="0" applyFont="1" applyFill="1" applyBorder="1" applyAlignment="1">
      <alignment horizontal="left" vertical="center" wrapText="1"/>
    </xf>
    <xf numFmtId="0" fontId="63" fillId="0" borderId="25" xfId="5" applyFont="1" applyBorder="1" applyAlignment="1">
      <alignment horizontal="center" vertical="center"/>
    </xf>
    <xf numFmtId="0" fontId="63" fillId="29" borderId="25" xfId="5" applyFont="1" applyFill="1" applyBorder="1" applyAlignment="1">
      <alignment horizontal="center" vertical="center"/>
    </xf>
    <xf numFmtId="0" fontId="6" fillId="0" borderId="43" xfId="7" applyFont="1" applyBorder="1" applyAlignment="1">
      <alignment horizontal="center" vertical="center"/>
    </xf>
    <xf numFmtId="166" fontId="6" fillId="31" borderId="43" xfId="7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0" fillId="0" borderId="44" xfId="0" applyNumberFormat="1" applyFont="1" applyFill="1" applyBorder="1"/>
    <xf numFmtId="169" fontId="0" fillId="0" borderId="0" xfId="0" applyNumberFormat="1"/>
    <xf numFmtId="0" fontId="73" fillId="0" borderId="25" xfId="0" applyFont="1" applyFill="1" applyBorder="1" applyAlignment="1">
      <alignment vertical="center"/>
    </xf>
    <xf numFmtId="0" fontId="73" fillId="0" borderId="25" xfId="0" applyFont="1" applyBorder="1" applyAlignment="1">
      <alignment vertical="center"/>
    </xf>
    <xf numFmtId="167" fontId="74" fillId="0" borderId="25" xfId="0" applyNumberFormat="1" applyFont="1" applyBorder="1" applyAlignment="1">
      <alignment vertical="center"/>
    </xf>
    <xf numFmtId="167" fontId="69" fillId="11" borderId="25" xfId="0" applyNumberFormat="1" applyFont="1" applyFill="1" applyBorder="1" applyAlignment="1">
      <alignment horizontal="center" vertical="center" wrapText="1"/>
    </xf>
    <xf numFmtId="167" fontId="74" fillId="11" borderId="25" xfId="0" applyNumberFormat="1" applyFont="1" applyFill="1" applyBorder="1" applyAlignment="1">
      <alignment horizontal="center" vertical="center" wrapText="1"/>
    </xf>
    <xf numFmtId="167" fontId="74" fillId="33" borderId="25" xfId="0" applyNumberFormat="1" applyFont="1" applyFill="1" applyBorder="1" applyAlignment="1">
      <alignment vertical="center"/>
    </xf>
    <xf numFmtId="0" fontId="74" fillId="0" borderId="25" xfId="0" applyFont="1" applyFill="1" applyBorder="1" applyAlignment="1">
      <alignment vertical="center"/>
    </xf>
    <xf numFmtId="167" fontId="71" fillId="0" borderId="25" xfId="0" applyNumberFormat="1" applyFont="1" applyFill="1" applyBorder="1" applyAlignment="1">
      <alignment vertical="center"/>
    </xf>
    <xf numFmtId="0" fontId="71" fillId="0" borderId="25" xfId="0" applyFont="1" applyFill="1" applyBorder="1" applyAlignment="1">
      <alignment vertical="center"/>
    </xf>
    <xf numFmtId="0" fontId="74" fillId="0" borderId="25" xfId="0" applyFont="1" applyBorder="1" applyAlignment="1">
      <alignment vertical="center"/>
    </xf>
    <xf numFmtId="0" fontId="75" fillId="0" borderId="25" xfId="0" applyFont="1" applyFill="1" applyBorder="1" applyAlignment="1">
      <alignment vertical="center"/>
    </xf>
    <xf numFmtId="167" fontId="71" fillId="0" borderId="25" xfId="0" applyNumberFormat="1" applyFont="1" applyBorder="1" applyAlignment="1">
      <alignment vertical="center"/>
    </xf>
    <xf numFmtId="0" fontId="75" fillId="0" borderId="25" xfId="0" applyFont="1" applyBorder="1" applyAlignment="1">
      <alignment vertical="center"/>
    </xf>
    <xf numFmtId="167" fontId="69" fillId="11" borderId="25" xfId="0" applyNumberFormat="1" applyFont="1" applyFill="1" applyBorder="1" applyAlignment="1">
      <alignment vertical="center"/>
    </xf>
    <xf numFmtId="0" fontId="69" fillId="11" borderId="25" xfId="0" applyFont="1" applyFill="1" applyBorder="1" applyAlignment="1">
      <alignment wrapText="1"/>
    </xf>
    <xf numFmtId="167" fontId="74" fillId="11" borderId="25" xfId="0" applyNumberFormat="1" applyFont="1" applyFill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0" fillId="11" borderId="8" xfId="0" applyNumberFormat="1" applyFont="1" applyFill="1" applyBorder="1" applyAlignment="1">
      <alignment vertical="center"/>
    </xf>
    <xf numFmtId="165" fontId="0" fillId="29" borderId="26" xfId="0" applyNumberFormat="1" applyFont="1" applyFill="1" applyBorder="1"/>
    <xf numFmtId="3" fontId="0" fillId="29" borderId="26" xfId="0" applyNumberFormat="1" applyFont="1" applyFill="1" applyBorder="1"/>
    <xf numFmtId="165" fontId="0" fillId="29" borderId="26" xfId="0" applyNumberFormat="1" applyFont="1" applyFill="1" applyBorder="1" applyAlignment="1">
      <alignment vertical="center"/>
    </xf>
    <xf numFmtId="3" fontId="0" fillId="29" borderId="26" xfId="0" applyNumberFormat="1" applyFont="1" applyFill="1" applyBorder="1" applyAlignment="1">
      <alignment vertical="center"/>
    </xf>
    <xf numFmtId="170" fontId="73" fillId="0" borderId="25" xfId="11" applyNumberFormat="1" applyFont="1" applyFill="1" applyBorder="1" applyAlignment="1">
      <alignment vertical="center"/>
    </xf>
    <xf numFmtId="170" fontId="74" fillId="0" borderId="25" xfId="11" applyNumberFormat="1" applyFont="1" applyBorder="1" applyAlignment="1">
      <alignment vertical="center"/>
    </xf>
    <xf numFmtId="170" fontId="74" fillId="11" borderId="25" xfId="11" applyNumberFormat="1" applyFont="1" applyFill="1" applyBorder="1" applyAlignment="1">
      <alignment horizontal="center" vertical="center" wrapText="1"/>
    </xf>
    <xf numFmtId="170" fontId="74" fillId="33" borderId="25" xfId="11" applyNumberFormat="1" applyFont="1" applyFill="1" applyBorder="1" applyAlignment="1">
      <alignment vertical="center"/>
    </xf>
    <xf numFmtId="170" fontId="71" fillId="0" borderId="25" xfId="11" applyNumberFormat="1" applyFont="1" applyFill="1" applyBorder="1" applyAlignment="1">
      <alignment vertical="center"/>
    </xf>
    <xf numFmtId="170" fontId="74" fillId="11" borderId="25" xfId="11" applyNumberFormat="1" applyFont="1" applyFill="1" applyBorder="1" applyAlignment="1">
      <alignment vertical="center"/>
    </xf>
    <xf numFmtId="3" fontId="13" fillId="29" borderId="26" xfId="0" applyNumberFormat="1" applyFont="1" applyFill="1" applyBorder="1" applyAlignment="1">
      <alignment wrapText="1"/>
    </xf>
    <xf numFmtId="171" fontId="13" fillId="29" borderId="26" xfId="11" applyNumberFormat="1" applyFont="1" applyFill="1" applyBorder="1" applyAlignment="1">
      <alignment wrapText="1"/>
    </xf>
    <xf numFmtId="171" fontId="12" fillId="29" borderId="26" xfId="11" applyNumberFormat="1" applyFont="1" applyFill="1" applyBorder="1" applyAlignment="1">
      <alignment wrapText="1"/>
    </xf>
    <xf numFmtId="3" fontId="12" fillId="29" borderId="26" xfId="0" applyNumberFormat="1" applyFont="1" applyFill="1" applyBorder="1" applyAlignment="1">
      <alignment wrapText="1"/>
    </xf>
    <xf numFmtId="171" fontId="12" fillId="29" borderId="26" xfId="11" applyNumberFormat="1" applyFont="1" applyFill="1" applyBorder="1" applyAlignment="1">
      <alignment vertical="center" wrapText="1"/>
    </xf>
    <xf numFmtId="3" fontId="12" fillId="29" borderId="26" xfId="0" applyNumberFormat="1" applyFont="1" applyFill="1" applyBorder="1" applyAlignment="1">
      <alignment vertical="center" wrapText="1"/>
    </xf>
    <xf numFmtId="171" fontId="13" fillId="29" borderId="26" xfId="11" applyNumberFormat="1" applyFont="1" applyFill="1" applyBorder="1" applyAlignment="1">
      <alignment vertical="center" wrapText="1"/>
    </xf>
    <xf numFmtId="3" fontId="13" fillId="29" borderId="26" xfId="0" applyNumberFormat="1" applyFont="1" applyFill="1" applyBorder="1" applyAlignment="1">
      <alignment vertical="center" wrapText="1"/>
    </xf>
    <xf numFmtId="0" fontId="31" fillId="0" borderId="29" xfId="0" applyFont="1" applyBorder="1" applyAlignment="1">
      <alignment horizontal="center"/>
    </xf>
    <xf numFmtId="0" fontId="10" fillId="10" borderId="26" xfId="0" applyFont="1" applyFill="1" applyBorder="1" applyAlignment="1">
      <alignment horizontal="center" vertical="center" wrapText="1"/>
    </xf>
    <xf numFmtId="3" fontId="10" fillId="1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0" fillId="10" borderId="26" xfId="0" applyFont="1" applyFill="1" applyBorder="1" applyAlignment="1">
      <alignment horizontal="center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10" borderId="26" xfId="0" applyFont="1" applyFill="1" applyBorder="1" applyAlignment="1">
      <alignment horizontal="center" vertical="center" wrapText="1"/>
    </xf>
    <xf numFmtId="0" fontId="56" fillId="10" borderId="26" xfId="0" applyFont="1" applyFill="1" applyBorder="1" applyAlignment="1">
      <alignment horizontal="center" vertical="center"/>
    </xf>
    <xf numFmtId="171" fontId="12" fillId="10" borderId="34" xfId="11" applyNumberFormat="1" applyFont="1" applyFill="1" applyBorder="1" applyAlignment="1">
      <alignment horizontal="center" vertical="center" wrapText="1"/>
    </xf>
    <xf numFmtId="171" fontId="12" fillId="10" borderId="33" xfId="11" applyNumberFormat="1" applyFont="1" applyFill="1" applyBorder="1" applyAlignment="1">
      <alignment horizontal="center" vertical="center" wrapText="1"/>
    </xf>
    <xf numFmtId="3" fontId="12" fillId="10" borderId="34" xfId="0" applyNumberFormat="1" applyFont="1" applyFill="1" applyBorder="1" applyAlignment="1">
      <alignment horizontal="center" vertical="center" wrapText="1"/>
    </xf>
    <xf numFmtId="3" fontId="12" fillId="10" borderId="33" xfId="0" applyNumberFormat="1" applyFont="1" applyFill="1" applyBorder="1" applyAlignment="1">
      <alignment horizontal="center" vertical="center" wrapText="1"/>
    </xf>
    <xf numFmtId="166" fontId="12" fillId="10" borderId="35" xfId="0" applyNumberFormat="1" applyFont="1" applyFill="1" applyBorder="1" applyAlignment="1">
      <alignment horizontal="center" vertical="center" wrapText="1"/>
    </xf>
    <xf numFmtId="166" fontId="12" fillId="10" borderId="36" xfId="0" applyNumberFormat="1" applyFont="1" applyFill="1" applyBorder="1" applyAlignment="1">
      <alignment horizontal="center" vertical="center" wrapText="1"/>
    </xf>
    <xf numFmtId="166" fontId="12" fillId="10" borderId="37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11" fillId="8" borderId="5" xfId="1" applyNumberFormat="1" applyFont="1" applyFill="1" applyBorder="1" applyAlignment="1">
      <alignment horizontal="center" vertical="center"/>
    </xf>
    <xf numFmtId="49" fontId="11" fillId="8" borderId="2" xfId="1" applyNumberFormat="1" applyFont="1" applyFill="1" applyBorder="1" applyAlignment="1">
      <alignment horizontal="center" vertical="center"/>
    </xf>
    <xf numFmtId="49" fontId="11" fillId="8" borderId="6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7" borderId="5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center" vertical="center"/>
    </xf>
    <xf numFmtId="49" fontId="3" fillId="7" borderId="6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171" fontId="10" fillId="10" borderId="34" xfId="11" applyNumberFormat="1" applyFont="1" applyFill="1" applyBorder="1" applyAlignment="1">
      <alignment horizontal="center" vertical="center" wrapText="1"/>
    </xf>
    <xf numFmtId="171" fontId="10" fillId="10" borderId="33" xfId="11" applyNumberFormat="1" applyFont="1" applyFill="1" applyBorder="1" applyAlignment="1">
      <alignment horizontal="center" vertical="center" wrapText="1"/>
    </xf>
    <xf numFmtId="3" fontId="10" fillId="10" borderId="34" xfId="0" applyNumberFormat="1" applyFont="1" applyFill="1" applyBorder="1" applyAlignment="1">
      <alignment horizontal="center" vertical="center" wrapText="1"/>
    </xf>
    <xf numFmtId="3" fontId="10" fillId="10" borderId="33" xfId="0" applyNumberFormat="1" applyFont="1" applyFill="1" applyBorder="1" applyAlignment="1">
      <alignment horizontal="center" vertical="center" wrapText="1"/>
    </xf>
    <xf numFmtId="166" fontId="10" fillId="10" borderId="35" xfId="0" applyNumberFormat="1" applyFont="1" applyFill="1" applyBorder="1" applyAlignment="1">
      <alignment horizontal="center" vertical="center" wrapText="1"/>
    </xf>
    <xf numFmtId="171" fontId="10" fillId="10" borderId="34" xfId="11" applyNumberFormat="1" applyFont="1" applyFill="1" applyBorder="1" applyAlignment="1">
      <alignment horizontal="center" wrapText="1"/>
    </xf>
    <xf numFmtId="171" fontId="10" fillId="10" borderId="33" xfId="11" applyNumberFormat="1" applyFont="1" applyFill="1" applyBorder="1" applyAlignment="1">
      <alignment horizontal="center" wrapText="1"/>
    </xf>
    <xf numFmtId="0" fontId="6" fillId="0" borderId="28" xfId="7" applyFont="1" applyBorder="1" applyAlignment="1">
      <alignment horizontal="center" vertical="center" wrapText="1"/>
    </xf>
    <xf numFmtId="0" fontId="42" fillId="0" borderId="30" xfId="7" applyFont="1" applyBorder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46" fillId="0" borderId="0" xfId="5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69" fillId="11" borderId="39" xfId="0" applyFont="1" applyFill="1" applyBorder="1" applyAlignment="1">
      <alignment horizontal="center" vertical="center" wrapText="1"/>
    </xf>
    <xf numFmtId="0" fontId="69" fillId="11" borderId="40" xfId="0" applyFont="1" applyFill="1" applyBorder="1" applyAlignment="1">
      <alignment horizontal="center" vertical="center" wrapText="1"/>
    </xf>
    <xf numFmtId="0" fontId="69" fillId="11" borderId="45" xfId="0" applyFont="1" applyFill="1" applyBorder="1" applyAlignment="1">
      <alignment horizontal="center" vertical="center"/>
    </xf>
    <xf numFmtId="0" fontId="69" fillId="11" borderId="41" xfId="0" applyFont="1" applyFill="1" applyBorder="1" applyAlignment="1">
      <alignment horizontal="center" vertical="center"/>
    </xf>
    <xf numFmtId="0" fontId="69" fillId="11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0" fillId="11" borderId="25" xfId="0" applyFont="1" applyFill="1" applyBorder="1" applyAlignment="1">
      <alignment horizontal="center" vertical="center" wrapText="1"/>
    </xf>
    <xf numFmtId="170" fontId="10" fillId="11" borderId="25" xfId="11" applyNumberFormat="1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9" fillId="0" borderId="0" xfId="7" applyFont="1" applyAlignment="1">
      <alignment horizontal="center"/>
    </xf>
    <xf numFmtId="0" fontId="19" fillId="10" borderId="26" xfId="6" applyFont="1" applyFill="1" applyBorder="1" applyAlignment="1">
      <alignment horizontal="left"/>
    </xf>
    <xf numFmtId="3" fontId="3" fillId="14" borderId="5" xfId="1" applyNumberFormat="1" applyFont="1" applyFill="1" applyBorder="1" applyAlignment="1">
      <alignment horizontal="center" vertical="center" wrapText="1"/>
    </xf>
    <xf numFmtId="3" fontId="3" fillId="14" borderId="6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6" xfId="1" applyNumberFormat="1" applyFont="1" applyFill="1" applyBorder="1" applyAlignment="1">
      <alignment horizontal="center" vertical="center" wrapText="1"/>
    </xf>
    <xf numFmtId="3" fontId="3" fillId="14" borderId="17" xfId="1" applyNumberFormat="1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7" xfId="1" applyNumberFormat="1" applyFont="1" applyFill="1" applyBorder="1" applyAlignment="1">
      <alignment horizontal="center" vertical="center" wrapText="1"/>
    </xf>
    <xf numFmtId="49" fontId="11" fillId="8" borderId="19" xfId="1" applyNumberFormat="1" applyFont="1" applyFill="1" applyBorder="1" applyAlignment="1">
      <alignment horizontal="center" vertical="center"/>
    </xf>
    <xf numFmtId="49" fontId="11" fillId="8" borderId="20" xfId="1" applyNumberFormat="1" applyFont="1" applyFill="1" applyBorder="1" applyAlignment="1">
      <alignment horizontal="center" vertical="center"/>
    </xf>
    <xf numFmtId="49" fontId="11" fillId="8" borderId="21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 wrapText="1"/>
    </xf>
    <xf numFmtId="3" fontId="3" fillId="17" borderId="16" xfId="1" applyNumberFormat="1" applyFont="1" applyFill="1" applyBorder="1" applyAlignment="1">
      <alignment horizontal="center" vertical="center" wrapText="1"/>
    </xf>
    <xf numFmtId="3" fontId="3" fillId="17" borderId="17" xfId="1" applyNumberFormat="1" applyFont="1" applyFill="1" applyBorder="1" applyAlignment="1">
      <alignment horizontal="center" vertical="center" wrapText="1"/>
    </xf>
    <xf numFmtId="3" fontId="3" fillId="14" borderId="1" xfId="1" applyNumberFormat="1" applyFont="1" applyFill="1" applyBorder="1" applyAlignment="1">
      <alignment horizontal="center" vertical="center" wrapText="1"/>
    </xf>
    <xf numFmtId="3" fontId="3" fillId="14" borderId="10" xfId="1" applyNumberFormat="1" applyFont="1" applyFill="1" applyBorder="1" applyAlignment="1">
      <alignment horizontal="center" vertical="center" wrapText="1"/>
    </xf>
    <xf numFmtId="170" fontId="71" fillId="0" borderId="25" xfId="11" applyNumberFormat="1" applyFont="1" applyBorder="1" applyAlignment="1">
      <alignment vertical="center"/>
    </xf>
  </cellXfs>
  <cellStyles count="14">
    <cellStyle name="Ezres" xfId="1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12" xr:uid="{00000000-0005-0000-0000-000039000000}"/>
    <cellStyle name="Ezres 5" xfId="13" xr:uid="{00000000-0005-0000-0000-00003A000000}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4" xfId="1" xr:uid="{00000000-0005-0000-0000-000008000000}"/>
    <cellStyle name="Százalék 2" xfId="8" xr:uid="{00000000-0005-0000-0000-000009000000}"/>
    <cellStyle name="Százalék 3" xfId="9" xr:uid="{00000000-0005-0000-0000-00000A000000}"/>
    <cellStyle name="TableStyleLight1" xfId="10" xr:uid="{00000000-0005-0000-0000-00000B000000}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toso/Asztal/Munka/El&#337;terjeszt&#233;sek/&#214;nkorm&#225;nyzat%20el&#337;terjeszt&#233;sei/2015%20&#233;v/Els&#337;%20f&#233;l&#233;v/20150226/Koltsegvetes%202015/V&#233;gleges%20anyagok/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toso/Asztal/Munka/2016%20&#233;vi%20k&#246;lts&#233;gvet&#233;s/R&#233;gi%20t&#225;bla/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toso/Asztal/Munka/2016%20&#233;vi%20k&#246;lts&#233;gvet&#233;s/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osin/Documents/2019%20&#233;vi%20k&#246;lts&#233;gvet&#233;s%20tervez&#233;s/k&#246;nyvvizsg&#225;l&#243;nak/jav&#237;tott%20el&#337;terjeszt&#233;s%20teljes/Ktgv_2019_tablak_rendelet_mell&#233;klete_2018_v&#225;rhat&#243;_teljes&#237;t&#233;sekkel_k&#246;nyvvizsg_j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Könyvtár"/>
      <sheetName val="5 GSZNR fel"/>
      <sheetName val="6. létszámkeret"/>
      <sheetName val="Beruházás"/>
      <sheetName val="Felújítás"/>
      <sheetName val="7. projekt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9">
          <cell r="F29">
            <v>88980</v>
          </cell>
        </row>
      </sheetData>
      <sheetData sheetId="10" refreshError="1"/>
      <sheetData sheetId="11" refreshError="1">
        <row r="45">
          <cell r="V45">
            <v>16546</v>
          </cell>
        </row>
        <row r="46">
          <cell r="V46">
            <v>16546</v>
          </cell>
        </row>
      </sheetData>
      <sheetData sheetId="12" refreshError="1"/>
      <sheetData sheetId="13" refreshError="1">
        <row r="42">
          <cell r="Q42">
            <v>1470</v>
          </cell>
        </row>
      </sheetData>
      <sheetData sheetId="14" refreshError="1">
        <row r="42">
          <cell r="Q42">
            <v>0</v>
          </cell>
        </row>
      </sheetData>
      <sheetData sheetId="15" refreshError="1">
        <row r="42">
          <cell r="Q42">
            <v>300</v>
          </cell>
        </row>
      </sheetData>
      <sheetData sheetId="16" refreshError="1">
        <row r="42">
          <cell r="Q42">
            <v>21114</v>
          </cell>
        </row>
      </sheetData>
      <sheetData sheetId="17" refreshError="1">
        <row r="42">
          <cell r="Q42">
            <v>771</v>
          </cell>
        </row>
      </sheetData>
      <sheetData sheetId="18" refreshError="1">
        <row r="42">
          <cell r="Q42">
            <v>250</v>
          </cell>
        </row>
      </sheetData>
      <sheetData sheetId="19" refreshError="1">
        <row r="42">
          <cell r="Q42">
            <v>2985</v>
          </cell>
        </row>
      </sheetData>
      <sheetData sheetId="20" refreshError="1"/>
      <sheetData sheetId="21" refreshError="1">
        <row r="42">
          <cell r="Q42">
            <v>14320</v>
          </cell>
        </row>
      </sheetData>
      <sheetData sheetId="22" refreshError="1"/>
      <sheetData sheetId="23" refreshError="1">
        <row r="13">
          <cell r="Q13">
            <v>1470</v>
          </cell>
        </row>
        <row r="41">
          <cell r="Q41">
            <v>300</v>
          </cell>
        </row>
        <row r="55">
          <cell r="Q55">
            <v>16758</v>
          </cell>
        </row>
        <row r="56">
          <cell r="Q56">
            <v>4356</v>
          </cell>
        </row>
        <row r="80">
          <cell r="Q80">
            <v>521</v>
          </cell>
        </row>
        <row r="91">
          <cell r="Q91">
            <v>250</v>
          </cell>
        </row>
        <row r="99">
          <cell r="Q99">
            <v>250</v>
          </cell>
        </row>
        <row r="123">
          <cell r="Q123">
            <v>2985</v>
          </cell>
        </row>
        <row r="144">
          <cell r="Q144">
            <v>3800</v>
          </cell>
        </row>
        <row r="155">
          <cell r="Q155">
            <v>1000</v>
          </cell>
        </row>
        <row r="160">
          <cell r="Q160">
            <v>4000</v>
          </cell>
        </row>
        <row r="170">
          <cell r="Q170">
            <v>5520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4.3" x14ac:dyDescent="0.25"/>
  <cols>
    <col min="1" max="1" width="80.625" customWidth="1"/>
    <col min="2" max="2" width="31.125" customWidth="1"/>
  </cols>
  <sheetData>
    <row r="1" spans="1:2" ht="53.5" customHeight="1" x14ac:dyDescent="0.5">
      <c r="A1" s="878" t="s">
        <v>1031</v>
      </c>
      <c r="B1" s="878"/>
    </row>
    <row r="2" spans="1:2" ht="30.6" x14ac:dyDescent="0.5">
      <c r="A2" s="161" t="s">
        <v>588</v>
      </c>
      <c r="B2" s="162">
        <f>'0.Mérleg'!F9</f>
        <v>0.11331496015191078</v>
      </c>
    </row>
    <row r="3" spans="1:2" ht="61.15" x14ac:dyDescent="0.25">
      <c r="A3" s="396" t="s">
        <v>1310</v>
      </c>
      <c r="B3" s="397">
        <f>B2-'2D Céltartalék'!F34</f>
        <v>-171840.88668503985</v>
      </c>
    </row>
    <row r="4" spans="1:2" ht="30.6" x14ac:dyDescent="0.5">
      <c r="A4" s="163" t="s">
        <v>589</v>
      </c>
      <c r="B4" s="164">
        <f>'0.Mérleg'!L9</f>
        <v>0</v>
      </c>
    </row>
    <row r="5" spans="1:2" ht="63" customHeight="1" x14ac:dyDescent="0.5">
      <c r="A5" s="878" t="s">
        <v>1032</v>
      </c>
      <c r="B5" s="878"/>
    </row>
    <row r="6" spans="1:2" ht="30.6" x14ac:dyDescent="0.5">
      <c r="A6" s="165" t="s">
        <v>591</v>
      </c>
      <c r="B6" s="166">
        <f>'0.Mérleg'!F14</f>
        <v>902291.64999999991</v>
      </c>
    </row>
    <row r="7" spans="1:2" ht="30.6" x14ac:dyDescent="0.5">
      <c r="A7" s="167" t="s">
        <v>592</v>
      </c>
      <c r="B7" s="168">
        <f>'0.Mérleg'!L14</f>
        <v>0</v>
      </c>
    </row>
    <row r="8" spans="1:2" ht="60.8" customHeight="1" x14ac:dyDescent="0.5">
      <c r="A8" s="878" t="s">
        <v>1033</v>
      </c>
      <c r="B8" s="878"/>
    </row>
    <row r="9" spans="1:2" ht="30.6" x14ac:dyDescent="0.5">
      <c r="A9" s="165" t="s">
        <v>1029</v>
      </c>
      <c r="B9" s="166">
        <f>'0.Mérleg'!F16</f>
        <v>902291.76331496006</v>
      </c>
    </row>
    <row r="10" spans="1:2" ht="30.6" x14ac:dyDescent="0.5">
      <c r="A10" s="167" t="s">
        <v>1030</v>
      </c>
      <c r="B10" s="168">
        <f>'0.Mérleg'!L16</f>
        <v>0</v>
      </c>
    </row>
    <row r="11" spans="1:2" ht="53.5" customHeight="1" x14ac:dyDescent="0.5">
      <c r="A11" s="878" t="s">
        <v>1034</v>
      </c>
      <c r="B11" s="878"/>
    </row>
    <row r="12" spans="1:2" ht="39.75" customHeight="1" x14ac:dyDescent="0.5">
      <c r="A12" s="236" t="s">
        <v>1153</v>
      </c>
      <c r="B12" s="238">
        <f>'0.Mérleg'!F19</f>
        <v>1100000</v>
      </c>
    </row>
    <row r="13" spans="1:2" ht="41.95" customHeight="1" x14ac:dyDescent="0.5">
      <c r="A13" s="237" t="s">
        <v>1035</v>
      </c>
      <c r="B13" s="239">
        <f>'0.Mérleg'!F20</f>
        <v>0</v>
      </c>
    </row>
    <row r="14" spans="1:2" ht="41.3" customHeight="1" x14ac:dyDescent="0.5">
      <c r="A14" s="235" t="s">
        <v>1036</v>
      </c>
      <c r="B14" s="240">
        <f>B12+B13</f>
        <v>1100000</v>
      </c>
    </row>
    <row r="16" spans="1:2" ht="53.5" customHeight="1" x14ac:dyDescent="0.5">
      <c r="A16" s="878" t="s">
        <v>1305</v>
      </c>
      <c r="B16" s="878"/>
    </row>
    <row r="17" spans="1:6" ht="39.75" customHeight="1" x14ac:dyDescent="0.5">
      <c r="A17" s="235" t="s">
        <v>1306</v>
      </c>
      <c r="B17" s="240">
        <f>'0.Mérleg'!F23</f>
        <v>0</v>
      </c>
    </row>
    <row r="20" spans="1:6" s="94" customFormat="1" ht="68.95" customHeight="1" x14ac:dyDescent="0.25">
      <c r="A20" s="243" t="s">
        <v>1154</v>
      </c>
      <c r="B20" s="244">
        <f>IF('0.Mérleg'!F25-'0.Mérleg'!L25&gt;0,'0.Mérleg'!F25-'0.Mérleg'!L25,B37)</f>
        <v>0.23668503947556019</v>
      </c>
    </row>
    <row r="21" spans="1:6" ht="49.75" customHeight="1" x14ac:dyDescent="0.55000000000000004">
      <c r="B21" s="245">
        <f>'0.Mérleg'!F25-'0.Mérleg'!L25</f>
        <v>0.23668503947556019</v>
      </c>
    </row>
    <row r="22" spans="1:6" ht="14.95" x14ac:dyDescent="0.25">
      <c r="F22">
        <v>138000</v>
      </c>
    </row>
    <row r="23" spans="1:6" ht="14.95" x14ac:dyDescent="0.25">
      <c r="F23" s="841">
        <f>+B21+F22</f>
        <v>138000.23668503948</v>
      </c>
    </row>
    <row r="37" spans="2:2" ht="14.95" x14ac:dyDescent="0.25">
      <c r="B37" t="s">
        <v>1143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3"/>
  <sheetViews>
    <sheetView view="pageBreakPreview" zoomScale="77" zoomScaleNormal="100" zoomScaleSheetLayoutView="77" workbookViewId="0">
      <selection activeCell="C1" sqref="C1:D1048576"/>
    </sheetView>
  </sheetViews>
  <sheetFormatPr defaultColWidth="9.125" defaultRowHeight="14.3" x14ac:dyDescent="0.25"/>
  <cols>
    <col min="1" max="1" width="5.75" style="446" customWidth="1"/>
    <col min="2" max="2" width="61.75" style="425" customWidth="1"/>
    <col min="3" max="4" width="11.375" style="422" hidden="1" customWidth="1"/>
    <col min="5" max="5" width="15.125" style="425" customWidth="1"/>
    <col min="6" max="6" width="15.875" style="425" customWidth="1"/>
    <col min="7" max="16384" width="9.125" style="425"/>
  </cols>
  <sheetData>
    <row r="1" spans="1:6" x14ac:dyDescent="0.25">
      <c r="C1" s="423"/>
      <c r="D1" s="423"/>
      <c r="F1" s="423" t="s">
        <v>302</v>
      </c>
    </row>
    <row r="2" spans="1:6" s="449" customFormat="1" ht="42.8" x14ac:dyDescent="0.25">
      <c r="A2" s="447" t="s">
        <v>1236</v>
      </c>
      <c r="B2" s="447" t="s">
        <v>306</v>
      </c>
      <c r="C2" s="448" t="s">
        <v>1425</v>
      </c>
      <c r="D2" s="448" t="s">
        <v>1426</v>
      </c>
      <c r="E2" s="448" t="s">
        <v>1527</v>
      </c>
      <c r="F2" s="448" t="s">
        <v>1528</v>
      </c>
    </row>
    <row r="3" spans="1:6" x14ac:dyDescent="0.25">
      <c r="A3" s="450" t="s">
        <v>1238</v>
      </c>
      <c r="B3" s="451" t="s">
        <v>1237</v>
      </c>
      <c r="C3" s="452">
        <f>C11+C12</f>
        <v>90723.3</v>
      </c>
      <c r="D3" s="452">
        <f>D32+D33</f>
        <v>90723</v>
      </c>
      <c r="E3" s="452">
        <f>E11+E12</f>
        <v>113090.38596</v>
      </c>
      <c r="F3" s="452">
        <f>F32+F33</f>
        <v>113090</v>
      </c>
    </row>
    <row r="4" spans="1:6" ht="39.75" customHeight="1" x14ac:dyDescent="0.25">
      <c r="A4" s="250" t="s">
        <v>1173</v>
      </c>
      <c r="B4" s="251" t="s">
        <v>1174</v>
      </c>
      <c r="C4" s="252"/>
      <c r="D4" s="252"/>
      <c r="E4" s="252"/>
      <c r="F4" s="252"/>
    </row>
    <row r="5" spans="1:6" x14ac:dyDescent="0.25">
      <c r="A5" s="453" t="s">
        <v>309</v>
      </c>
      <c r="B5" s="454" t="s">
        <v>310</v>
      </c>
      <c r="C5" s="455">
        <f>C6</f>
        <v>62090.3</v>
      </c>
      <c r="D5" s="455"/>
      <c r="E5" s="455">
        <f>E6</f>
        <v>36637.38596</v>
      </c>
      <c r="F5" s="455"/>
    </row>
    <row r="6" spans="1:6" x14ac:dyDescent="0.25">
      <c r="A6" s="456" t="s">
        <v>311</v>
      </c>
      <c r="B6" s="457" t="s">
        <v>314</v>
      </c>
      <c r="C6" s="458">
        <f>C7+C9</f>
        <v>62090.3</v>
      </c>
      <c r="D6" s="459"/>
      <c r="E6" s="458">
        <f>E7+E9+1</f>
        <v>36637.38596</v>
      </c>
      <c r="F6" s="459"/>
    </row>
    <row r="7" spans="1:6" x14ac:dyDescent="0.25">
      <c r="A7" s="460"/>
      <c r="B7" s="461" t="s">
        <v>1175</v>
      </c>
      <c r="C7" s="462">
        <f>SUM(C8)</f>
        <v>48890</v>
      </c>
      <c r="D7" s="462"/>
      <c r="E7" s="462">
        <f>SUM(E8)</f>
        <v>28847.547999999999</v>
      </c>
      <c r="F7" s="462"/>
    </row>
    <row r="8" spans="1:6" x14ac:dyDescent="0.25">
      <c r="A8" s="460"/>
      <c r="B8" s="463" t="s">
        <v>1176</v>
      </c>
      <c r="C8" s="462">
        <v>48890</v>
      </c>
      <c r="D8" s="462"/>
      <c r="E8" s="462">
        <f>7211887*0.004</f>
        <v>28847.547999999999</v>
      </c>
      <c r="F8" s="462"/>
    </row>
    <row r="9" spans="1:6" x14ac:dyDescent="0.25">
      <c r="A9" s="460"/>
      <c r="B9" s="464" t="s">
        <v>1177</v>
      </c>
      <c r="C9" s="462">
        <f>+C8*0.27</f>
        <v>13200.300000000001</v>
      </c>
      <c r="D9" s="462"/>
      <c r="E9" s="462">
        <f>+E8*0.27</f>
        <v>7788.8379599999998</v>
      </c>
      <c r="F9" s="462"/>
    </row>
    <row r="10" spans="1:6" x14ac:dyDescent="0.25">
      <c r="A10" s="453" t="s">
        <v>318</v>
      </c>
      <c r="B10" s="454" t="s">
        <v>1178</v>
      </c>
      <c r="C10" s="455">
        <v>0</v>
      </c>
      <c r="D10" s="455"/>
      <c r="E10" s="455">
        <v>48000</v>
      </c>
      <c r="F10" s="455"/>
    </row>
    <row r="11" spans="1:6" x14ac:dyDescent="0.25">
      <c r="A11" s="465"/>
      <c r="B11" s="466" t="s">
        <v>327</v>
      </c>
      <c r="C11" s="467">
        <f>C5+C10</f>
        <v>62090.3</v>
      </c>
      <c r="D11" s="467"/>
      <c r="E11" s="467">
        <f>E5+E10</f>
        <v>84637.38596</v>
      </c>
      <c r="F11" s="467"/>
    </row>
    <row r="12" spans="1:6" x14ac:dyDescent="0.25">
      <c r="A12" s="453" t="s">
        <v>328</v>
      </c>
      <c r="B12" s="454" t="s">
        <v>329</v>
      </c>
      <c r="C12" s="455">
        <f>C13</f>
        <v>28633</v>
      </c>
      <c r="D12" s="455"/>
      <c r="E12" s="455">
        <f>E13</f>
        <v>28453</v>
      </c>
      <c r="F12" s="455"/>
    </row>
    <row r="13" spans="1:6" x14ac:dyDescent="0.25">
      <c r="A13" s="456" t="s">
        <v>311</v>
      </c>
      <c r="B13" s="457" t="s">
        <v>1179</v>
      </c>
      <c r="C13" s="459">
        <f>C14</f>
        <v>28633</v>
      </c>
      <c r="D13" s="459"/>
      <c r="E13" s="459">
        <f>E14</f>
        <v>28453</v>
      </c>
      <c r="F13" s="459"/>
    </row>
    <row r="14" spans="1:6" x14ac:dyDescent="0.25">
      <c r="A14" s="460"/>
      <c r="B14" s="461" t="s">
        <v>331</v>
      </c>
      <c r="C14" s="462">
        <v>28633</v>
      </c>
      <c r="D14" s="462"/>
      <c r="E14" s="462">
        <v>28453</v>
      </c>
      <c r="F14" s="462"/>
    </row>
    <row r="15" spans="1:6" ht="41.95" customHeight="1" x14ac:dyDescent="0.25">
      <c r="A15" s="250" t="s">
        <v>1180</v>
      </c>
      <c r="B15" s="251" t="s">
        <v>1181</v>
      </c>
      <c r="C15" s="252"/>
      <c r="D15" s="252"/>
      <c r="E15" s="252"/>
      <c r="F15" s="252"/>
    </row>
    <row r="16" spans="1:6" x14ac:dyDescent="0.25">
      <c r="A16" s="453" t="s">
        <v>1136</v>
      </c>
      <c r="B16" s="454" t="s">
        <v>334</v>
      </c>
      <c r="C16" s="455"/>
      <c r="D16" s="455">
        <f>D17</f>
        <v>0</v>
      </c>
      <c r="E16" s="455"/>
      <c r="F16" s="455">
        <f>F17</f>
        <v>0</v>
      </c>
    </row>
    <row r="17" spans="1:6" hidden="1" x14ac:dyDescent="0.25">
      <c r="A17" s="456" t="s">
        <v>311</v>
      </c>
      <c r="B17" s="457" t="s">
        <v>924</v>
      </c>
      <c r="C17" s="459"/>
      <c r="D17" s="459">
        <f>D18</f>
        <v>0</v>
      </c>
      <c r="E17" s="459"/>
      <c r="F17" s="459">
        <f>F18</f>
        <v>0</v>
      </c>
    </row>
    <row r="18" spans="1:6" hidden="1" x14ac:dyDescent="0.25">
      <c r="A18" s="460"/>
      <c r="B18" s="461" t="s">
        <v>1182</v>
      </c>
      <c r="C18" s="462"/>
      <c r="D18" s="462">
        <v>0</v>
      </c>
      <c r="E18" s="462"/>
      <c r="F18" s="462">
        <v>0</v>
      </c>
    </row>
    <row r="19" spans="1:6" x14ac:dyDescent="0.25">
      <c r="A19" s="453" t="s">
        <v>1183</v>
      </c>
      <c r="B19" s="454" t="s">
        <v>340</v>
      </c>
      <c r="C19" s="455"/>
      <c r="D19" s="455">
        <f>D20+D27+D30</f>
        <v>90723</v>
      </c>
      <c r="E19" s="455"/>
      <c r="F19" s="455">
        <f>F20+F27+F30</f>
        <v>113090</v>
      </c>
    </row>
    <row r="20" spans="1:6" x14ac:dyDescent="0.25">
      <c r="A20" s="456" t="s">
        <v>311</v>
      </c>
      <c r="B20" s="457" t="s">
        <v>351</v>
      </c>
      <c r="C20" s="459"/>
      <c r="D20" s="459">
        <f>D21+D22+D23+D24+D25+D26</f>
        <v>16800</v>
      </c>
      <c r="E20" s="459"/>
      <c r="F20" s="459">
        <f>F21+F22+F23+F24+F25+F26</f>
        <v>0</v>
      </c>
    </row>
    <row r="21" spans="1:6" x14ac:dyDescent="0.25">
      <c r="A21" s="460"/>
      <c r="B21" s="461" t="s">
        <v>1360</v>
      </c>
      <c r="C21" s="462"/>
      <c r="D21" s="462">
        <v>16800</v>
      </c>
      <c r="E21" s="462"/>
      <c r="F21" s="462"/>
    </row>
    <row r="22" spans="1:6" hidden="1" x14ac:dyDescent="0.25">
      <c r="A22" s="460"/>
      <c r="B22" s="461"/>
      <c r="C22" s="462"/>
      <c r="D22" s="462">
        <v>0</v>
      </c>
      <c r="E22" s="462"/>
      <c r="F22" s="462">
        <v>0</v>
      </c>
    </row>
    <row r="23" spans="1:6" hidden="1" x14ac:dyDescent="0.25">
      <c r="A23" s="460"/>
      <c r="B23" s="461"/>
      <c r="C23" s="462"/>
      <c r="D23" s="462"/>
      <c r="E23" s="462"/>
      <c r="F23" s="462"/>
    </row>
    <row r="24" spans="1:6" hidden="1" x14ac:dyDescent="0.25">
      <c r="A24" s="460"/>
      <c r="B24" s="461"/>
      <c r="C24" s="462"/>
      <c r="D24" s="462"/>
      <c r="E24" s="462"/>
      <c r="F24" s="462"/>
    </row>
    <row r="25" spans="1:6" hidden="1" x14ac:dyDescent="0.25">
      <c r="A25" s="460"/>
      <c r="B25" s="461"/>
      <c r="C25" s="462"/>
      <c r="D25" s="462"/>
      <c r="E25" s="462"/>
      <c r="F25" s="462"/>
    </row>
    <row r="26" spans="1:6" hidden="1" x14ac:dyDescent="0.25">
      <c r="A26" s="460"/>
      <c r="B26" s="461"/>
      <c r="C26" s="462"/>
      <c r="D26" s="462"/>
      <c r="E26" s="462"/>
      <c r="F26" s="462"/>
    </row>
    <row r="27" spans="1:6" x14ac:dyDescent="0.25">
      <c r="A27" s="456" t="s">
        <v>322</v>
      </c>
      <c r="B27" s="457" t="s">
        <v>342</v>
      </c>
      <c r="C27" s="459"/>
      <c r="D27" s="459">
        <f>SUM(D28:D29)</f>
        <v>48890</v>
      </c>
      <c r="E27" s="459"/>
      <c r="F27" s="459">
        <f>SUM(F28:F29)</f>
        <v>88980</v>
      </c>
    </row>
    <row r="28" spans="1:6" x14ac:dyDescent="0.25">
      <c r="A28" s="460"/>
      <c r="B28" s="461" t="s">
        <v>1361</v>
      </c>
      <c r="C28" s="462"/>
      <c r="D28" s="462">
        <v>4889</v>
      </c>
      <c r="E28" s="462"/>
      <c r="F28" s="462">
        <v>0</v>
      </c>
    </row>
    <row r="29" spans="1:6" x14ac:dyDescent="0.25">
      <c r="A29" s="460"/>
      <c r="B29" s="461" t="s">
        <v>1000</v>
      </c>
      <c r="C29" s="462"/>
      <c r="D29" s="462">
        <v>44001</v>
      </c>
      <c r="E29" s="462"/>
      <c r="F29" s="462">
        <v>88980</v>
      </c>
    </row>
    <row r="30" spans="1:6" x14ac:dyDescent="0.25">
      <c r="A30" s="456" t="s">
        <v>315</v>
      </c>
      <c r="B30" s="457" t="s">
        <v>1354</v>
      </c>
      <c r="C30" s="459"/>
      <c r="D30" s="459">
        <f>D31</f>
        <v>25033</v>
      </c>
      <c r="E30" s="459"/>
      <c r="F30" s="459">
        <f>F31</f>
        <v>24110</v>
      </c>
    </row>
    <row r="31" spans="1:6" x14ac:dyDescent="0.25">
      <c r="A31" s="460"/>
      <c r="B31" s="461" t="s">
        <v>1355</v>
      </c>
      <c r="C31" s="462"/>
      <c r="D31" s="462">
        <v>25033</v>
      </c>
      <c r="E31" s="462"/>
      <c r="F31" s="462">
        <v>24110</v>
      </c>
    </row>
    <row r="32" spans="1:6" x14ac:dyDescent="0.25">
      <c r="A32" s="465"/>
      <c r="B32" s="466" t="s">
        <v>593</v>
      </c>
      <c r="C32" s="467"/>
      <c r="D32" s="467">
        <f>D16+D19</f>
        <v>90723</v>
      </c>
      <c r="E32" s="467"/>
      <c r="F32" s="467">
        <f>F16+F19</f>
        <v>113090</v>
      </c>
    </row>
    <row r="33" spans="1:6" x14ac:dyDescent="0.25">
      <c r="A33" s="453" t="s">
        <v>1184</v>
      </c>
      <c r="B33" s="454" t="s">
        <v>596</v>
      </c>
      <c r="C33" s="455"/>
      <c r="D33" s="455">
        <v>0</v>
      </c>
      <c r="E33" s="455"/>
      <c r="F33" s="455">
        <v>0</v>
      </c>
    </row>
  </sheetData>
  <pageMargins left="0.70866141732283472" right="0.70866141732283472" top="1.2204724409448819" bottom="0.74803149606299213" header="0.70866141732283472" footer="0.31496062992125984"/>
  <pageSetup paperSize="9" scale="88" orientation="portrait" r:id="rId1"/>
  <headerFooter>
    <oddHeader>&amp;L2/E. melléklet a ...../2019. (.......) önkormányzati rendelethez&amp;C&amp;"-,Félkövér"&amp;14
A Vízügyi Építési Alap 2019.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5"/>
  <sheetViews>
    <sheetView view="pageBreakPreview" zoomScale="75" zoomScaleNormal="100" zoomScaleSheetLayoutView="75" workbookViewId="0">
      <selection activeCell="G1" sqref="G1"/>
    </sheetView>
  </sheetViews>
  <sheetFormatPr defaultRowHeight="14.3" x14ac:dyDescent="0.25"/>
  <cols>
    <col min="1" max="1" width="5.75" style="267" customWidth="1"/>
    <col min="2" max="2" width="61.75" customWidth="1"/>
    <col min="3" max="4" width="13.375" style="40" hidden="1" customWidth="1"/>
    <col min="5" max="5" width="13.25" hidden="1" customWidth="1"/>
    <col min="6" max="6" width="12.75" hidden="1" customWidth="1"/>
    <col min="7" max="7" width="15.25" customWidth="1"/>
    <col min="8" max="8" width="15.75" customWidth="1"/>
    <col min="9" max="9" width="11.25" hidden="1" customWidth="1"/>
    <col min="10" max="10" width="12.125" hidden="1" customWidth="1"/>
  </cols>
  <sheetData>
    <row r="1" spans="1:10" x14ac:dyDescent="0.25">
      <c r="C1" s="32"/>
      <c r="D1" s="32"/>
      <c r="F1" s="32"/>
      <c r="H1" s="32" t="s">
        <v>302</v>
      </c>
    </row>
    <row r="2" spans="1:10" s="247" customFormat="1" ht="57.1" x14ac:dyDescent="0.25">
      <c r="A2" s="246" t="s">
        <v>1236</v>
      </c>
      <c r="B2" s="246" t="s">
        <v>306</v>
      </c>
      <c r="C2" s="303" t="s">
        <v>1424</v>
      </c>
      <c r="D2" s="303" t="s">
        <v>1427</v>
      </c>
      <c r="E2" s="303" t="s">
        <v>1521</v>
      </c>
      <c r="F2" s="303" t="s">
        <v>1522</v>
      </c>
      <c r="G2" s="303" t="s">
        <v>1523</v>
      </c>
      <c r="H2" s="303" t="s">
        <v>1524</v>
      </c>
      <c r="I2" s="303" t="s">
        <v>1525</v>
      </c>
      <c r="J2" s="303" t="s">
        <v>1526</v>
      </c>
    </row>
    <row r="3" spans="1:10" x14ac:dyDescent="0.25">
      <c r="A3" s="302" t="s">
        <v>1261</v>
      </c>
      <c r="B3" s="248" t="s">
        <v>1262</v>
      </c>
      <c r="C3" s="249">
        <f>C18+C19</f>
        <v>18534</v>
      </c>
      <c r="D3" s="249">
        <f>D34+D35</f>
        <v>18534</v>
      </c>
      <c r="E3" s="249">
        <f>E18+E19</f>
        <v>18534</v>
      </c>
      <c r="F3" s="249">
        <f>F34+F35</f>
        <v>18534</v>
      </c>
      <c r="G3" s="249">
        <f>G18+G19</f>
        <v>6841</v>
      </c>
      <c r="H3" s="249">
        <f>H34+H35</f>
        <v>6841</v>
      </c>
      <c r="I3" s="249">
        <f>I18+I19</f>
        <v>0</v>
      </c>
      <c r="J3" s="249">
        <f>J34+J35</f>
        <v>0</v>
      </c>
    </row>
    <row r="4" spans="1:10" ht="39.75" customHeight="1" x14ac:dyDescent="0.25">
      <c r="A4" s="250" t="s">
        <v>1173</v>
      </c>
      <c r="B4" s="251" t="s">
        <v>1174</v>
      </c>
      <c r="C4" s="252"/>
      <c r="D4" s="252"/>
      <c r="E4" s="252"/>
      <c r="F4" s="252"/>
      <c r="G4" s="252"/>
      <c r="H4" s="252"/>
      <c r="I4" s="252"/>
      <c r="J4" s="252"/>
    </row>
    <row r="5" spans="1:10" x14ac:dyDescent="0.25">
      <c r="A5" s="253" t="s">
        <v>309</v>
      </c>
      <c r="B5" s="254" t="s">
        <v>310</v>
      </c>
      <c r="C5" s="255">
        <f>C6+C10+C13</f>
        <v>1500</v>
      </c>
      <c r="D5" s="255"/>
      <c r="E5" s="255">
        <f>E6+E10+E13</f>
        <v>1500</v>
      </c>
      <c r="F5" s="255"/>
      <c r="G5" s="255">
        <f>G6+G10+G13</f>
        <v>1500</v>
      </c>
      <c r="H5" s="255"/>
      <c r="I5" s="255">
        <f>I6+I10+I13</f>
        <v>0</v>
      </c>
      <c r="J5" s="255"/>
    </row>
    <row r="6" spans="1:10" x14ac:dyDescent="0.25">
      <c r="A6" s="256" t="s">
        <v>311</v>
      </c>
      <c r="B6" s="257" t="s">
        <v>488</v>
      </c>
      <c r="C6" s="258">
        <f>SUM(C7:C9)</f>
        <v>1500</v>
      </c>
      <c r="D6" s="258"/>
      <c r="E6" s="258">
        <f>SUM(E7:E9)</f>
        <v>1500</v>
      </c>
      <c r="F6" s="258"/>
      <c r="G6" s="258">
        <f>SUM(G7:G9)</f>
        <v>1500</v>
      </c>
      <c r="H6" s="258"/>
      <c r="I6" s="258">
        <f>SUM(I7:I9)</f>
        <v>0</v>
      </c>
      <c r="J6" s="258"/>
    </row>
    <row r="7" spans="1:10" x14ac:dyDescent="0.25">
      <c r="A7" s="259"/>
      <c r="B7" s="266" t="s">
        <v>501</v>
      </c>
      <c r="C7" s="101">
        <v>0</v>
      </c>
      <c r="D7" s="101"/>
      <c r="E7" s="101">
        <v>0</v>
      </c>
      <c r="F7" s="101"/>
      <c r="G7" s="101">
        <v>0</v>
      </c>
      <c r="H7" s="101"/>
      <c r="I7" s="101">
        <v>0</v>
      </c>
      <c r="J7" s="101"/>
    </row>
    <row r="8" spans="1:10" x14ac:dyDescent="0.25">
      <c r="A8" s="259"/>
      <c r="B8" s="266" t="s">
        <v>1263</v>
      </c>
      <c r="C8" s="101">
        <v>0</v>
      </c>
      <c r="D8" s="101"/>
      <c r="E8" s="101">
        <v>0</v>
      </c>
      <c r="F8" s="101"/>
      <c r="G8" s="101">
        <v>0</v>
      </c>
      <c r="H8" s="101"/>
      <c r="I8" s="101">
        <v>0</v>
      </c>
      <c r="J8" s="101"/>
    </row>
    <row r="9" spans="1:10" x14ac:dyDescent="0.25">
      <c r="A9" s="259"/>
      <c r="B9" s="266" t="s">
        <v>496</v>
      </c>
      <c r="C9" s="101">
        <v>1500</v>
      </c>
      <c r="D9" s="101"/>
      <c r="E9" s="101">
        <v>1500</v>
      </c>
      <c r="F9" s="101"/>
      <c r="G9" s="101">
        <v>1500</v>
      </c>
      <c r="H9" s="101"/>
      <c r="I9" s="101"/>
      <c r="J9" s="101"/>
    </row>
    <row r="10" spans="1:10" x14ac:dyDescent="0.25">
      <c r="A10" s="256" t="s">
        <v>322</v>
      </c>
      <c r="B10" s="257" t="s">
        <v>314</v>
      </c>
      <c r="C10" s="258">
        <f>C11</f>
        <v>0</v>
      </c>
      <c r="D10" s="258"/>
      <c r="E10" s="258">
        <f>E11</f>
        <v>0</v>
      </c>
      <c r="F10" s="258"/>
      <c r="G10" s="258">
        <f>G11</f>
        <v>0</v>
      </c>
      <c r="H10" s="258"/>
      <c r="I10" s="258">
        <f>I11</f>
        <v>0</v>
      </c>
      <c r="J10" s="258"/>
    </row>
    <row r="11" spans="1:10" x14ac:dyDescent="0.25">
      <c r="A11" s="261"/>
      <c r="B11" s="262" t="s">
        <v>1265</v>
      </c>
      <c r="C11" s="99">
        <v>0</v>
      </c>
      <c r="D11" s="99"/>
      <c r="E11" s="99">
        <v>0</v>
      </c>
      <c r="F11" s="99"/>
      <c r="G11" s="99">
        <v>0</v>
      </c>
      <c r="H11" s="99"/>
      <c r="I11" s="99">
        <v>0</v>
      </c>
      <c r="J11" s="99"/>
    </row>
    <row r="12" spans="1:10" x14ac:dyDescent="0.25">
      <c r="A12" s="261"/>
      <c r="B12" s="262" t="s">
        <v>1266</v>
      </c>
      <c r="C12" s="99">
        <v>0</v>
      </c>
      <c r="D12" s="99"/>
      <c r="E12" s="99">
        <v>0</v>
      </c>
      <c r="F12" s="99"/>
      <c r="G12" s="99">
        <v>0</v>
      </c>
      <c r="H12" s="99"/>
      <c r="I12" s="99">
        <v>0</v>
      </c>
      <c r="J12" s="99"/>
    </row>
    <row r="13" spans="1:10" x14ac:dyDescent="0.25">
      <c r="A13" s="256" t="s">
        <v>315</v>
      </c>
      <c r="B13" s="257" t="s">
        <v>316</v>
      </c>
      <c r="C13" s="258">
        <f>SUM(C14:C16)</f>
        <v>0</v>
      </c>
      <c r="D13" s="258"/>
      <c r="E13" s="258">
        <f>SUM(E14:E16)</f>
        <v>0</v>
      </c>
      <c r="F13" s="258"/>
      <c r="G13" s="258">
        <f>SUM(G14:G16)</f>
        <v>0</v>
      </c>
      <c r="H13" s="258"/>
      <c r="I13" s="258">
        <f>SUM(I14:I16)</f>
        <v>0</v>
      </c>
      <c r="J13" s="258"/>
    </row>
    <row r="14" spans="1:10" x14ac:dyDescent="0.25">
      <c r="A14" s="261"/>
      <c r="B14" s="262" t="s">
        <v>1264</v>
      </c>
      <c r="C14" s="99">
        <v>0</v>
      </c>
      <c r="D14" s="99"/>
      <c r="E14" s="99">
        <v>0</v>
      </c>
      <c r="F14" s="99"/>
      <c r="G14" s="99">
        <v>0</v>
      </c>
      <c r="H14" s="99"/>
      <c r="I14" s="99">
        <v>0</v>
      </c>
      <c r="J14" s="99"/>
    </row>
    <row r="15" spans="1:10" x14ac:dyDescent="0.25">
      <c r="A15" s="261"/>
      <c r="B15" s="262" t="s">
        <v>1267</v>
      </c>
      <c r="C15" s="99">
        <v>0</v>
      </c>
      <c r="D15" s="99"/>
      <c r="E15" s="99">
        <v>0</v>
      </c>
      <c r="F15" s="99"/>
      <c r="G15" s="99">
        <v>0</v>
      </c>
      <c r="H15" s="99"/>
      <c r="I15" s="99">
        <v>0</v>
      </c>
      <c r="J15" s="99"/>
    </row>
    <row r="16" spans="1:10" s="94" customFormat="1" ht="31.75" customHeight="1" x14ac:dyDescent="0.25">
      <c r="A16" s="326"/>
      <c r="B16" s="327" t="s">
        <v>1268</v>
      </c>
      <c r="C16" s="100">
        <v>0</v>
      </c>
      <c r="D16" s="100"/>
      <c r="E16" s="100">
        <v>0</v>
      </c>
      <c r="F16" s="100"/>
      <c r="G16" s="100">
        <v>0</v>
      </c>
      <c r="H16" s="100"/>
      <c r="I16" s="100">
        <v>0</v>
      </c>
      <c r="J16" s="100"/>
    </row>
    <row r="17" spans="1:10" x14ac:dyDescent="0.25">
      <c r="A17" s="253" t="s">
        <v>318</v>
      </c>
      <c r="B17" s="254" t="s">
        <v>1178</v>
      </c>
      <c r="C17" s="255">
        <v>0</v>
      </c>
      <c r="D17" s="255"/>
      <c r="E17" s="255">
        <v>0</v>
      </c>
      <c r="F17" s="255"/>
      <c r="G17" s="255">
        <v>0</v>
      </c>
      <c r="H17" s="255"/>
      <c r="I17" s="255">
        <v>0</v>
      </c>
      <c r="J17" s="255"/>
    </row>
    <row r="18" spans="1:10" x14ac:dyDescent="0.25">
      <c r="A18" s="263"/>
      <c r="B18" s="264" t="s">
        <v>327</v>
      </c>
      <c r="C18" s="265">
        <f>C5+C17</f>
        <v>1500</v>
      </c>
      <c r="D18" s="265"/>
      <c r="E18" s="265">
        <f>E5+E17</f>
        <v>1500</v>
      </c>
      <c r="F18" s="265"/>
      <c r="G18" s="265">
        <f>G5+G17</f>
        <v>1500</v>
      </c>
      <c r="H18" s="265"/>
      <c r="I18" s="265">
        <f>I5+I17</f>
        <v>0</v>
      </c>
      <c r="J18" s="265"/>
    </row>
    <row r="19" spans="1:10" x14ac:dyDescent="0.25">
      <c r="A19" s="253" t="s">
        <v>328</v>
      </c>
      <c r="B19" s="254" t="s">
        <v>329</v>
      </c>
      <c r="C19" s="255">
        <f>C20</f>
        <v>17034</v>
      </c>
      <c r="D19" s="255"/>
      <c r="E19" s="255">
        <f>E20</f>
        <v>17034</v>
      </c>
      <c r="F19" s="255"/>
      <c r="G19" s="255">
        <f>G20</f>
        <v>5341</v>
      </c>
      <c r="H19" s="255"/>
      <c r="I19" s="255">
        <f>I20</f>
        <v>0</v>
      </c>
      <c r="J19" s="255"/>
    </row>
    <row r="20" spans="1:10" x14ac:dyDescent="0.25">
      <c r="A20" s="256" t="s">
        <v>311</v>
      </c>
      <c r="B20" s="257" t="s">
        <v>1179</v>
      </c>
      <c r="C20" s="258">
        <f>C21</f>
        <v>17034</v>
      </c>
      <c r="D20" s="258"/>
      <c r="E20" s="258">
        <f>E21</f>
        <v>17034</v>
      </c>
      <c r="F20" s="258"/>
      <c r="G20" s="258">
        <f>G21</f>
        <v>5341</v>
      </c>
      <c r="H20" s="258"/>
      <c r="I20" s="258">
        <f>I21</f>
        <v>0</v>
      </c>
      <c r="J20" s="258"/>
    </row>
    <row r="21" spans="1:10" x14ac:dyDescent="0.25">
      <c r="A21" s="259"/>
      <c r="B21" s="260" t="s">
        <v>331</v>
      </c>
      <c r="C21" s="101">
        <v>17034</v>
      </c>
      <c r="D21" s="101"/>
      <c r="E21" s="101">
        <v>17034</v>
      </c>
      <c r="F21" s="101"/>
      <c r="G21" s="101">
        <v>5341</v>
      </c>
      <c r="H21" s="101"/>
      <c r="I21" s="101"/>
      <c r="J21" s="101"/>
    </row>
    <row r="22" spans="1:10" ht="41.95" customHeight="1" x14ac:dyDescent="0.25">
      <c r="A22" s="250" t="s">
        <v>1180</v>
      </c>
      <c r="B22" s="251" t="s">
        <v>1181</v>
      </c>
      <c r="C22" s="252"/>
      <c r="D22" s="252"/>
      <c r="E22" s="252"/>
      <c r="F22" s="252"/>
      <c r="G22" s="252"/>
      <c r="H22" s="252"/>
      <c r="I22" s="252"/>
      <c r="J22" s="252"/>
    </row>
    <row r="23" spans="1:10" x14ac:dyDescent="0.25">
      <c r="A23" s="253" t="s">
        <v>1136</v>
      </c>
      <c r="B23" s="254" t="s">
        <v>334</v>
      </c>
      <c r="C23" s="255"/>
      <c r="D23" s="255">
        <f>D26+D28</f>
        <v>18534</v>
      </c>
      <c r="E23" s="255"/>
      <c r="F23" s="255">
        <f>F26+F28</f>
        <v>18534</v>
      </c>
      <c r="G23" s="255"/>
      <c r="H23" s="255">
        <f>H26+H28</f>
        <v>6841</v>
      </c>
      <c r="I23" s="255"/>
      <c r="J23" s="255">
        <f>J26+J28</f>
        <v>0</v>
      </c>
    </row>
    <row r="24" spans="1:10" x14ac:dyDescent="0.25">
      <c r="A24" s="256" t="s">
        <v>311</v>
      </c>
      <c r="B24" s="257" t="s">
        <v>924</v>
      </c>
      <c r="C24" s="258"/>
      <c r="D24" s="258">
        <f>D25</f>
        <v>0</v>
      </c>
      <c r="E24" s="258"/>
      <c r="F24" s="258">
        <f>F25</f>
        <v>0</v>
      </c>
      <c r="G24" s="258"/>
      <c r="H24" s="258">
        <f>H25</f>
        <v>0</v>
      </c>
      <c r="I24" s="258"/>
      <c r="J24" s="258">
        <f>J25</f>
        <v>0</v>
      </c>
    </row>
    <row r="25" spans="1:10" x14ac:dyDescent="0.25">
      <c r="A25" s="259"/>
      <c r="B25" s="266" t="s">
        <v>1182</v>
      </c>
      <c r="C25" s="101"/>
      <c r="D25" s="101">
        <v>0</v>
      </c>
      <c r="E25" s="101"/>
      <c r="F25" s="101">
        <v>0</v>
      </c>
      <c r="G25" s="101"/>
      <c r="H25" s="101">
        <v>0</v>
      </c>
      <c r="I25" s="101"/>
      <c r="J25" s="101">
        <v>0</v>
      </c>
    </row>
    <row r="26" spans="1:10" x14ac:dyDescent="0.25">
      <c r="A26" s="256" t="s">
        <v>311</v>
      </c>
      <c r="B26" s="257" t="s">
        <v>292</v>
      </c>
      <c r="C26" s="258"/>
      <c r="D26" s="258">
        <f>SUM(D27:D27)</f>
        <v>0</v>
      </c>
      <c r="E26" s="258"/>
      <c r="F26" s="258">
        <v>18534</v>
      </c>
      <c r="G26" s="258"/>
      <c r="H26" s="258">
        <f>SUM(H27:H27)</f>
        <v>0</v>
      </c>
      <c r="I26" s="258"/>
      <c r="J26" s="258"/>
    </row>
    <row r="27" spans="1:10" ht="14.95" x14ac:dyDescent="0.25">
      <c r="A27" s="259"/>
      <c r="B27" s="266"/>
      <c r="C27" s="101"/>
      <c r="D27" s="101"/>
      <c r="E27" s="101"/>
      <c r="F27" s="101">
        <v>0</v>
      </c>
      <c r="G27" s="101"/>
      <c r="H27" s="101"/>
      <c r="I27" s="101"/>
      <c r="J27" s="101"/>
    </row>
    <row r="28" spans="1:10" x14ac:dyDescent="0.25">
      <c r="A28" s="256" t="s">
        <v>322</v>
      </c>
      <c r="B28" s="257" t="s">
        <v>339</v>
      </c>
      <c r="C28" s="258"/>
      <c r="D28" s="258">
        <f>D29</f>
        <v>18534</v>
      </c>
      <c r="E28" s="258"/>
      <c r="F28" s="258">
        <f>F29</f>
        <v>0</v>
      </c>
      <c r="G28" s="258"/>
      <c r="H28" s="258">
        <f>H29</f>
        <v>6841</v>
      </c>
      <c r="I28" s="258"/>
      <c r="J28" s="258">
        <f>J29</f>
        <v>0</v>
      </c>
    </row>
    <row r="29" spans="1:10" x14ac:dyDescent="0.25">
      <c r="A29" s="259"/>
      <c r="B29" s="266" t="s">
        <v>1269</v>
      </c>
      <c r="C29" s="101"/>
      <c r="D29" s="101">
        <v>18534</v>
      </c>
      <c r="E29" s="101"/>
      <c r="F29" s="101">
        <v>0</v>
      </c>
      <c r="G29" s="101"/>
      <c r="H29" s="101">
        <v>6841</v>
      </c>
      <c r="I29" s="101"/>
      <c r="J29" s="101">
        <f>18534-18534</f>
        <v>0</v>
      </c>
    </row>
    <row r="30" spans="1:10" x14ac:dyDescent="0.25">
      <c r="A30" s="253" t="s">
        <v>1183</v>
      </c>
      <c r="B30" s="254" t="s">
        <v>340</v>
      </c>
      <c r="C30" s="255"/>
      <c r="D30" s="255">
        <f>D31+D33</f>
        <v>0</v>
      </c>
      <c r="E30" s="255"/>
      <c r="F30" s="255">
        <f>F31+F33</f>
        <v>0</v>
      </c>
      <c r="G30" s="255"/>
      <c r="H30" s="255">
        <f>H31+H33</f>
        <v>0</v>
      </c>
      <c r="I30" s="255"/>
      <c r="J30" s="255">
        <f>J31+J33</f>
        <v>0</v>
      </c>
    </row>
    <row r="31" spans="1:10" x14ac:dyDescent="0.25">
      <c r="A31" s="256" t="s">
        <v>311</v>
      </c>
      <c r="B31" s="257" t="s">
        <v>351</v>
      </c>
      <c r="C31" s="258"/>
      <c r="D31" s="258">
        <f>D32</f>
        <v>0</v>
      </c>
      <c r="E31" s="258"/>
      <c r="F31" s="258">
        <f>F32</f>
        <v>0</v>
      </c>
      <c r="G31" s="258"/>
      <c r="H31" s="258">
        <f>H32</f>
        <v>0</v>
      </c>
      <c r="I31" s="258"/>
      <c r="J31" s="258">
        <f>J32</f>
        <v>0</v>
      </c>
    </row>
    <row r="32" spans="1:10" ht="28.55" x14ac:dyDescent="0.25">
      <c r="A32" s="328"/>
      <c r="B32" s="329" t="s">
        <v>1270</v>
      </c>
      <c r="C32" s="330"/>
      <c r="D32" s="330"/>
      <c r="E32" s="330"/>
      <c r="F32" s="330"/>
      <c r="G32" s="330"/>
      <c r="H32" s="330"/>
      <c r="I32" s="330"/>
      <c r="J32" s="330"/>
    </row>
    <row r="33" spans="1:10" x14ac:dyDescent="0.25">
      <c r="A33" s="256" t="s">
        <v>322</v>
      </c>
      <c r="B33" s="257" t="s">
        <v>342</v>
      </c>
      <c r="C33" s="258"/>
      <c r="D33" s="258">
        <v>0</v>
      </c>
      <c r="E33" s="258"/>
      <c r="F33" s="258">
        <v>0</v>
      </c>
      <c r="G33" s="258"/>
      <c r="H33" s="258">
        <v>0</v>
      </c>
      <c r="I33" s="258"/>
      <c r="J33" s="258">
        <v>0</v>
      </c>
    </row>
    <row r="34" spans="1:10" x14ac:dyDescent="0.25">
      <c r="A34" s="263"/>
      <c r="B34" s="264" t="s">
        <v>593</v>
      </c>
      <c r="C34" s="265"/>
      <c r="D34" s="265">
        <f>D23+D30</f>
        <v>18534</v>
      </c>
      <c r="E34" s="265"/>
      <c r="F34" s="265">
        <f>F23+F30</f>
        <v>18534</v>
      </c>
      <c r="G34" s="265"/>
      <c r="H34" s="265">
        <f>H23+H30</f>
        <v>6841</v>
      </c>
      <c r="I34" s="265"/>
      <c r="J34" s="265">
        <f>J23+J30</f>
        <v>0</v>
      </c>
    </row>
    <row r="35" spans="1:10" x14ac:dyDescent="0.25">
      <c r="A35" s="253" t="s">
        <v>1184</v>
      </c>
      <c r="B35" s="254" t="s">
        <v>596</v>
      </c>
      <c r="C35" s="255"/>
      <c r="D35" s="255">
        <v>0</v>
      </c>
      <c r="E35" s="255"/>
      <c r="F35" s="255">
        <v>0</v>
      </c>
      <c r="G35" s="255"/>
      <c r="H35" s="255">
        <v>0</v>
      </c>
      <c r="I35" s="255"/>
      <c r="J35" s="255">
        <v>0</v>
      </c>
    </row>
  </sheetData>
  <pageMargins left="0.70866141732283472" right="0.70866141732283472" top="1.1811023622047245" bottom="0.74803149606299213" header="0.70866141732283472" footer="0.31496062992125984"/>
  <pageSetup paperSize="9" scale="88" orientation="portrait" r:id="rId1"/>
  <headerFooter>
    <oddHeader>&amp;L2/F. melléklet a ...../2019. (.......) önkormányzati rendelethez&amp;C&amp;"-,Félkövér"&amp;14
A Környezetvédelmi Alap 2019.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2"/>
  <sheetViews>
    <sheetView view="pageBreakPreview" zoomScale="75" zoomScaleNormal="100" zoomScaleSheetLayoutView="75" workbookViewId="0">
      <selection activeCell="AB59" sqref="AB59"/>
    </sheetView>
  </sheetViews>
  <sheetFormatPr defaultColWidth="9.125" defaultRowHeight="14.3" x14ac:dyDescent="0.25"/>
  <cols>
    <col min="1" max="1" width="5.75" style="247" customWidth="1"/>
    <col min="2" max="2" width="52.125" style="283" customWidth="1"/>
    <col min="3" max="3" width="14.125" style="283" hidden="1" customWidth="1"/>
    <col min="4" max="4" width="11.75" style="283" hidden="1" customWidth="1"/>
    <col min="5" max="5" width="11.125" style="283" hidden="1" customWidth="1"/>
    <col min="6" max="7" width="10.875" style="283" hidden="1" customWidth="1"/>
    <col min="8" max="8" width="10" style="283" hidden="1" customWidth="1"/>
    <col min="9" max="9" width="10.125" style="283" hidden="1" customWidth="1"/>
    <col min="10" max="12" width="9.125" style="283" hidden="1" customWidth="1"/>
    <col min="13" max="13" width="10.875" style="283" hidden="1" customWidth="1"/>
    <col min="14" max="14" width="10.75" style="283" hidden="1" customWidth="1"/>
    <col min="15" max="16" width="9.125" style="283" hidden="1" customWidth="1"/>
    <col min="17" max="17" width="10.125" style="283" hidden="1" customWidth="1"/>
    <col min="18" max="18" width="9.125" style="283" hidden="1" customWidth="1"/>
    <col min="19" max="20" width="9.125" style="283"/>
    <col min="21" max="21" width="10.125" style="283" customWidth="1"/>
    <col min="22" max="24" width="9.125" style="283"/>
    <col min="25" max="25" width="10.125" style="283" customWidth="1"/>
    <col min="26" max="16384" width="9.125" style="283"/>
  </cols>
  <sheetData>
    <row r="1" spans="1:26" ht="14.95" x14ac:dyDescent="0.25">
      <c r="F1" s="531"/>
      <c r="N1" s="32"/>
      <c r="R1" s="32"/>
      <c r="V1" s="32"/>
      <c r="Z1" s="32" t="s">
        <v>302</v>
      </c>
    </row>
    <row r="2" spans="1:26" x14ac:dyDescent="0.25">
      <c r="A2" s="346" t="s">
        <v>468</v>
      </c>
      <c r="B2" s="346" t="s">
        <v>650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</row>
    <row r="3" spans="1:26" ht="52.5" customHeight="1" x14ac:dyDescent="0.25">
      <c r="A3" s="879" t="s">
        <v>305</v>
      </c>
      <c r="B3" s="879" t="s">
        <v>306</v>
      </c>
      <c r="C3" s="880" t="s">
        <v>1505</v>
      </c>
      <c r="D3" s="881"/>
      <c r="E3" s="881"/>
      <c r="F3" s="882"/>
      <c r="G3" s="880" t="s">
        <v>1506</v>
      </c>
      <c r="H3" s="881"/>
      <c r="I3" s="881"/>
      <c r="J3" s="882"/>
      <c r="K3" s="880" t="s">
        <v>1507</v>
      </c>
      <c r="L3" s="881"/>
      <c r="M3" s="881"/>
      <c r="N3" s="882"/>
      <c r="O3" s="880" t="s">
        <v>1498</v>
      </c>
      <c r="P3" s="881"/>
      <c r="Q3" s="881"/>
      <c r="R3" s="882"/>
      <c r="S3" s="880" t="s">
        <v>1501</v>
      </c>
      <c r="T3" s="881"/>
      <c r="U3" s="881"/>
      <c r="V3" s="882"/>
      <c r="W3" s="880" t="s">
        <v>1719</v>
      </c>
      <c r="X3" s="881"/>
      <c r="Y3" s="881"/>
      <c r="Z3" s="882"/>
    </row>
    <row r="4" spans="1:26" ht="56.25" customHeight="1" x14ac:dyDescent="0.25">
      <c r="A4" s="879"/>
      <c r="B4" s="879"/>
      <c r="C4" s="520" t="s">
        <v>1313</v>
      </c>
      <c r="D4" s="520" t="s">
        <v>1314</v>
      </c>
      <c r="E4" s="520" t="s">
        <v>1315</v>
      </c>
      <c r="F4" s="520" t="s">
        <v>553</v>
      </c>
      <c r="G4" s="520" t="s">
        <v>1313</v>
      </c>
      <c r="H4" s="520" t="s">
        <v>1314</v>
      </c>
      <c r="I4" s="520" t="s">
        <v>1315</v>
      </c>
      <c r="J4" s="520" t="s">
        <v>553</v>
      </c>
      <c r="K4" s="520" t="s">
        <v>1313</v>
      </c>
      <c r="L4" s="520" t="s">
        <v>1314</v>
      </c>
      <c r="M4" s="520" t="s">
        <v>1315</v>
      </c>
      <c r="N4" s="520" t="s">
        <v>553</v>
      </c>
      <c r="O4" s="640" t="s">
        <v>1313</v>
      </c>
      <c r="P4" s="640" t="s">
        <v>1314</v>
      </c>
      <c r="Q4" s="640" t="s">
        <v>1315</v>
      </c>
      <c r="R4" s="640" t="s">
        <v>553</v>
      </c>
      <c r="S4" s="640" t="s">
        <v>1313</v>
      </c>
      <c r="T4" s="640" t="s">
        <v>1314</v>
      </c>
      <c r="U4" s="640" t="s">
        <v>1315</v>
      </c>
      <c r="V4" s="640" t="s">
        <v>553</v>
      </c>
      <c r="W4" s="858" t="s">
        <v>1313</v>
      </c>
      <c r="X4" s="858" t="s">
        <v>1314</v>
      </c>
      <c r="Y4" s="858" t="s">
        <v>1315</v>
      </c>
      <c r="Z4" s="858" t="s">
        <v>553</v>
      </c>
    </row>
    <row r="5" spans="1:26" x14ac:dyDescent="0.25">
      <c r="A5" s="347"/>
      <c r="B5" s="556" t="s">
        <v>307</v>
      </c>
      <c r="C5" s="349">
        <v>74</v>
      </c>
      <c r="D5" s="349">
        <v>5</v>
      </c>
      <c r="E5" s="349">
        <v>0</v>
      </c>
      <c r="F5" s="349">
        <f>SUM(C5:E5)</f>
        <v>79</v>
      </c>
      <c r="G5" s="349">
        <v>74</v>
      </c>
      <c r="H5" s="349">
        <v>5</v>
      </c>
      <c r="I5" s="349">
        <v>0</v>
      </c>
      <c r="J5" s="349">
        <f>SUM(G5:I5)</f>
        <v>79</v>
      </c>
      <c r="K5" s="349">
        <f>64+4+1</f>
        <v>69</v>
      </c>
      <c r="L5" s="349">
        <v>5</v>
      </c>
      <c r="M5" s="349">
        <v>0</v>
      </c>
      <c r="N5" s="349">
        <f>SUM(K5:M5)</f>
        <v>74</v>
      </c>
      <c r="O5" s="349">
        <v>74</v>
      </c>
      <c r="P5" s="349">
        <v>5</v>
      </c>
      <c r="Q5" s="349">
        <v>0</v>
      </c>
      <c r="R5" s="349">
        <f>SUM(O5:Q5)</f>
        <v>79</v>
      </c>
      <c r="S5" s="349">
        <v>74</v>
      </c>
      <c r="T5" s="349">
        <v>5</v>
      </c>
      <c r="U5" s="349">
        <v>0</v>
      </c>
      <c r="V5" s="349">
        <f>SUM(S5:U5)</f>
        <v>79</v>
      </c>
      <c r="W5" s="349">
        <v>74</v>
      </c>
      <c r="X5" s="349">
        <v>5</v>
      </c>
      <c r="Y5" s="349">
        <v>0</v>
      </c>
      <c r="Z5" s="349">
        <f>SUM(W5:Y5)</f>
        <v>79</v>
      </c>
    </row>
    <row r="6" spans="1:26" x14ac:dyDescent="0.25">
      <c r="A6" s="347"/>
      <c r="B6" s="556" t="s">
        <v>308</v>
      </c>
      <c r="C6" s="349">
        <v>0</v>
      </c>
      <c r="D6" s="349">
        <v>0</v>
      </c>
      <c r="E6" s="349">
        <v>0</v>
      </c>
      <c r="F6" s="349">
        <f t="shared" ref="F6:F49" si="0">SUM(C6:E6)</f>
        <v>0</v>
      </c>
      <c r="G6" s="349">
        <v>0</v>
      </c>
      <c r="H6" s="349">
        <v>0</v>
      </c>
      <c r="I6" s="349">
        <v>0</v>
      </c>
      <c r="J6" s="349">
        <f t="shared" ref="J6:J49" si="1">SUM(G6:I6)</f>
        <v>0</v>
      </c>
      <c r="K6" s="349">
        <v>0</v>
      </c>
      <c r="L6" s="349">
        <v>0</v>
      </c>
      <c r="M6" s="349">
        <v>0</v>
      </c>
      <c r="N6" s="349">
        <f t="shared" ref="N6:N49" si="2">SUM(K6:M6)</f>
        <v>0</v>
      </c>
      <c r="O6" s="349">
        <v>0</v>
      </c>
      <c r="P6" s="349">
        <v>0</v>
      </c>
      <c r="Q6" s="349">
        <v>0</v>
      </c>
      <c r="R6" s="349">
        <f t="shared" ref="R6:R49" si="3">SUM(O6:Q6)</f>
        <v>0</v>
      </c>
      <c r="S6" s="349">
        <v>0</v>
      </c>
      <c r="T6" s="349">
        <v>0</v>
      </c>
      <c r="U6" s="349">
        <v>0</v>
      </c>
      <c r="V6" s="349">
        <f t="shared" ref="V6:V49" si="4">SUM(S6:U6)</f>
        <v>0</v>
      </c>
      <c r="W6" s="349">
        <v>0</v>
      </c>
      <c r="X6" s="349">
        <v>0</v>
      </c>
      <c r="Y6" s="349">
        <v>0</v>
      </c>
      <c r="Z6" s="349">
        <f t="shared" ref="Z6:Z49" si="5">SUM(W6:Y6)</f>
        <v>0</v>
      </c>
    </row>
    <row r="7" spans="1:26" x14ac:dyDescent="0.25">
      <c r="A7" s="347"/>
      <c r="B7" s="556" t="s">
        <v>651</v>
      </c>
      <c r="C7" s="349">
        <v>7</v>
      </c>
      <c r="D7" s="349">
        <v>0</v>
      </c>
      <c r="E7" s="349">
        <v>0</v>
      </c>
      <c r="F7" s="349">
        <f t="shared" si="0"/>
        <v>7</v>
      </c>
      <c r="G7" s="349">
        <v>7</v>
      </c>
      <c r="H7" s="349">
        <v>0</v>
      </c>
      <c r="I7" s="349">
        <v>0</v>
      </c>
      <c r="J7" s="349">
        <f t="shared" si="1"/>
        <v>7</v>
      </c>
      <c r="K7" s="349">
        <v>7</v>
      </c>
      <c r="L7" s="349">
        <v>0</v>
      </c>
      <c r="M7" s="349">
        <v>0</v>
      </c>
      <c r="N7" s="349">
        <f t="shared" si="2"/>
        <v>7</v>
      </c>
      <c r="O7" s="349">
        <v>7</v>
      </c>
      <c r="P7" s="349">
        <v>0</v>
      </c>
      <c r="Q7" s="349">
        <v>0</v>
      </c>
      <c r="R7" s="349">
        <f t="shared" si="3"/>
        <v>7</v>
      </c>
      <c r="S7" s="349">
        <v>7</v>
      </c>
      <c r="T7" s="349">
        <v>0</v>
      </c>
      <c r="U7" s="349">
        <v>0</v>
      </c>
      <c r="V7" s="349">
        <f t="shared" si="4"/>
        <v>7</v>
      </c>
      <c r="W7" s="349">
        <v>7</v>
      </c>
      <c r="X7" s="349">
        <v>0</v>
      </c>
      <c r="Y7" s="349">
        <v>0</v>
      </c>
      <c r="Z7" s="349">
        <f t="shared" si="5"/>
        <v>7</v>
      </c>
    </row>
    <row r="8" spans="1:26" x14ac:dyDescent="0.25">
      <c r="A8" s="557" t="s">
        <v>309</v>
      </c>
      <c r="B8" s="558" t="s">
        <v>310</v>
      </c>
      <c r="C8" s="559">
        <f t="shared" ref="C8:D8" si="6">C9+C11+C14</f>
        <v>2270</v>
      </c>
      <c r="D8" s="559">
        <f t="shared" si="6"/>
        <v>0</v>
      </c>
      <c r="E8" s="559">
        <f>E9+E11+E14</f>
        <v>0</v>
      </c>
      <c r="F8" s="559">
        <f t="shared" si="0"/>
        <v>2270</v>
      </c>
      <c r="G8" s="559">
        <f t="shared" ref="G8:H8" si="7">G9+G11+G14</f>
        <v>6276</v>
      </c>
      <c r="H8" s="559">
        <f t="shared" si="7"/>
        <v>0</v>
      </c>
      <c r="I8" s="559">
        <f>I9+I11+I14</f>
        <v>0</v>
      </c>
      <c r="J8" s="559">
        <f t="shared" si="1"/>
        <v>6276</v>
      </c>
      <c r="K8" s="559">
        <f t="shared" ref="K8:L8" si="8">K9+K11+K14</f>
        <v>2270</v>
      </c>
      <c r="L8" s="559">
        <f t="shared" si="8"/>
        <v>0</v>
      </c>
      <c r="M8" s="559">
        <f>M9+M11+M14</f>
        <v>0</v>
      </c>
      <c r="N8" s="559">
        <f t="shared" si="2"/>
        <v>2270</v>
      </c>
      <c r="O8" s="559">
        <f t="shared" ref="O8:P8" si="9">O9+O11+O14</f>
        <v>6486</v>
      </c>
      <c r="P8" s="559">
        <f t="shared" si="9"/>
        <v>0</v>
      </c>
      <c r="Q8" s="559">
        <f>Q9+Q11+Q14</f>
        <v>0</v>
      </c>
      <c r="R8" s="559">
        <f t="shared" si="3"/>
        <v>6486</v>
      </c>
      <c r="S8" s="559">
        <f t="shared" ref="S8:T8" si="10">S9+S11+S14</f>
        <v>2270</v>
      </c>
      <c r="T8" s="559">
        <f t="shared" si="10"/>
        <v>0</v>
      </c>
      <c r="U8" s="559">
        <f>U9+U11+U14</f>
        <v>0</v>
      </c>
      <c r="V8" s="559">
        <f t="shared" si="4"/>
        <v>2270</v>
      </c>
      <c r="W8" s="559">
        <f t="shared" ref="W8:X8" si="11">W9+W11+W14</f>
        <v>6131</v>
      </c>
      <c r="X8" s="559">
        <f t="shared" si="11"/>
        <v>0</v>
      </c>
      <c r="Y8" s="559">
        <f>Y9+Y11+Y14</f>
        <v>0</v>
      </c>
      <c r="Z8" s="559">
        <f t="shared" si="5"/>
        <v>6131</v>
      </c>
    </row>
    <row r="9" spans="1:26" x14ac:dyDescent="0.25">
      <c r="A9" s="560" t="s">
        <v>311</v>
      </c>
      <c r="B9" s="561" t="s">
        <v>312</v>
      </c>
      <c r="C9" s="562">
        <f t="shared" ref="C9:Y9" si="12">C10</f>
        <v>0</v>
      </c>
      <c r="D9" s="562">
        <f t="shared" si="12"/>
        <v>0</v>
      </c>
      <c r="E9" s="562">
        <f t="shared" si="12"/>
        <v>0</v>
      </c>
      <c r="F9" s="562">
        <f t="shared" si="0"/>
        <v>0</v>
      </c>
      <c r="G9" s="562">
        <f t="shared" si="12"/>
        <v>4006</v>
      </c>
      <c r="H9" s="562">
        <f t="shared" si="12"/>
        <v>0</v>
      </c>
      <c r="I9" s="562">
        <f t="shared" si="12"/>
        <v>0</v>
      </c>
      <c r="J9" s="562">
        <f t="shared" si="1"/>
        <v>4006</v>
      </c>
      <c r="K9" s="562">
        <f t="shared" si="12"/>
        <v>0</v>
      </c>
      <c r="L9" s="562">
        <f t="shared" si="12"/>
        <v>0</v>
      </c>
      <c r="M9" s="562">
        <f t="shared" si="12"/>
        <v>0</v>
      </c>
      <c r="N9" s="562">
        <f t="shared" si="2"/>
        <v>0</v>
      </c>
      <c r="O9" s="562">
        <f t="shared" si="12"/>
        <v>4006</v>
      </c>
      <c r="P9" s="562">
        <f t="shared" si="12"/>
        <v>0</v>
      </c>
      <c r="Q9" s="562">
        <f t="shared" si="12"/>
        <v>0</v>
      </c>
      <c r="R9" s="562">
        <f t="shared" si="3"/>
        <v>4006</v>
      </c>
      <c r="S9" s="562">
        <f t="shared" si="12"/>
        <v>0</v>
      </c>
      <c r="T9" s="562">
        <f t="shared" si="12"/>
        <v>0</v>
      </c>
      <c r="U9" s="562">
        <f t="shared" si="12"/>
        <v>0</v>
      </c>
      <c r="V9" s="562">
        <f t="shared" si="4"/>
        <v>0</v>
      </c>
      <c r="W9" s="562">
        <f t="shared" si="12"/>
        <v>3861</v>
      </c>
      <c r="X9" s="562">
        <f t="shared" si="12"/>
        <v>0</v>
      </c>
      <c r="Y9" s="562">
        <f t="shared" si="12"/>
        <v>0</v>
      </c>
      <c r="Z9" s="562">
        <f t="shared" si="5"/>
        <v>3861</v>
      </c>
    </row>
    <row r="10" spans="1:26" ht="28.55" x14ac:dyDescent="0.25">
      <c r="A10" s="522"/>
      <c r="B10" s="356" t="s">
        <v>313</v>
      </c>
      <c r="C10" s="546">
        <v>0</v>
      </c>
      <c r="D10" s="546">
        <v>0</v>
      </c>
      <c r="E10" s="546">
        <v>0</v>
      </c>
      <c r="F10" s="546">
        <f t="shared" si="0"/>
        <v>0</v>
      </c>
      <c r="G10" s="546">
        <v>4006</v>
      </c>
      <c r="H10" s="546">
        <v>0</v>
      </c>
      <c r="I10" s="546">
        <v>0</v>
      </c>
      <c r="J10" s="546">
        <f t="shared" si="1"/>
        <v>4006</v>
      </c>
      <c r="K10" s="546">
        <v>0</v>
      </c>
      <c r="L10" s="546">
        <v>0</v>
      </c>
      <c r="M10" s="546">
        <v>0</v>
      </c>
      <c r="N10" s="546">
        <f t="shared" si="2"/>
        <v>0</v>
      </c>
      <c r="O10" s="546">
        <v>4006</v>
      </c>
      <c r="P10" s="546">
        <v>0</v>
      </c>
      <c r="Q10" s="546">
        <v>0</v>
      </c>
      <c r="R10" s="546">
        <f t="shared" si="3"/>
        <v>4006</v>
      </c>
      <c r="S10" s="546">
        <v>0</v>
      </c>
      <c r="T10" s="546">
        <v>0</v>
      </c>
      <c r="U10" s="546">
        <v>0</v>
      </c>
      <c r="V10" s="546">
        <f t="shared" si="4"/>
        <v>0</v>
      </c>
      <c r="W10" s="546">
        <v>3861</v>
      </c>
      <c r="X10" s="546">
        <v>0</v>
      </c>
      <c r="Y10" s="546">
        <v>0</v>
      </c>
      <c r="Z10" s="546">
        <f t="shared" si="5"/>
        <v>3861</v>
      </c>
    </row>
    <row r="11" spans="1:26" x14ac:dyDescent="0.25">
      <c r="A11" s="560" t="s">
        <v>311</v>
      </c>
      <c r="B11" s="561" t="s">
        <v>488</v>
      </c>
      <c r="C11" s="562">
        <f t="shared" ref="C11:E11" si="13">SUM(C12:C13)</f>
        <v>1000</v>
      </c>
      <c r="D11" s="562">
        <f t="shared" si="13"/>
        <v>0</v>
      </c>
      <c r="E11" s="562">
        <f t="shared" si="13"/>
        <v>0</v>
      </c>
      <c r="F11" s="562">
        <f t="shared" si="0"/>
        <v>1000</v>
      </c>
      <c r="G11" s="562">
        <f t="shared" ref="G11:I11" si="14">SUM(G12:G13)</f>
        <v>1000</v>
      </c>
      <c r="H11" s="562">
        <f t="shared" si="14"/>
        <v>0</v>
      </c>
      <c r="I11" s="562">
        <f t="shared" si="14"/>
        <v>0</v>
      </c>
      <c r="J11" s="562">
        <f t="shared" si="1"/>
        <v>1000</v>
      </c>
      <c r="K11" s="562">
        <f t="shared" ref="K11:M11" si="15">SUM(K12:K13)</f>
        <v>1000</v>
      </c>
      <c r="L11" s="562">
        <f t="shared" si="15"/>
        <v>0</v>
      </c>
      <c r="M11" s="562">
        <f t="shared" si="15"/>
        <v>0</v>
      </c>
      <c r="N11" s="562">
        <f t="shared" si="2"/>
        <v>1000</v>
      </c>
      <c r="O11" s="562">
        <f t="shared" ref="O11:Q11" si="16">SUM(O12:O13)</f>
        <v>977</v>
      </c>
      <c r="P11" s="562">
        <f t="shared" si="16"/>
        <v>0</v>
      </c>
      <c r="Q11" s="562">
        <f t="shared" si="16"/>
        <v>0</v>
      </c>
      <c r="R11" s="562">
        <f t="shared" si="3"/>
        <v>977</v>
      </c>
      <c r="S11" s="562">
        <f t="shared" ref="S11:U11" si="17">SUM(S12:S13)</f>
        <v>1000</v>
      </c>
      <c r="T11" s="562">
        <f t="shared" si="17"/>
        <v>0</v>
      </c>
      <c r="U11" s="562">
        <f t="shared" si="17"/>
        <v>0</v>
      </c>
      <c r="V11" s="562">
        <f t="shared" si="4"/>
        <v>1000</v>
      </c>
      <c r="W11" s="562">
        <f t="shared" ref="W11:Y11" si="18">SUM(W12:W13)</f>
        <v>1000</v>
      </c>
      <c r="X11" s="562">
        <f t="shared" si="18"/>
        <v>0</v>
      </c>
      <c r="Y11" s="562">
        <f t="shared" si="18"/>
        <v>0</v>
      </c>
      <c r="Z11" s="562">
        <f t="shared" si="5"/>
        <v>1000</v>
      </c>
    </row>
    <row r="12" spans="1:26" x14ac:dyDescent="0.25">
      <c r="A12" s="522"/>
      <c r="B12" s="382" t="s">
        <v>652</v>
      </c>
      <c r="C12" s="546">
        <v>1000</v>
      </c>
      <c r="D12" s="546">
        <v>0</v>
      </c>
      <c r="E12" s="546">
        <v>0</v>
      </c>
      <c r="F12" s="546">
        <f t="shared" si="0"/>
        <v>1000</v>
      </c>
      <c r="G12" s="546">
        <v>1000</v>
      </c>
      <c r="H12" s="546">
        <v>0</v>
      </c>
      <c r="I12" s="546">
        <v>0</v>
      </c>
      <c r="J12" s="546">
        <f t="shared" si="1"/>
        <v>1000</v>
      </c>
      <c r="K12" s="546">
        <v>1000</v>
      </c>
      <c r="L12" s="546">
        <v>0</v>
      </c>
      <c r="M12" s="546">
        <v>0</v>
      </c>
      <c r="N12" s="546">
        <f t="shared" si="2"/>
        <v>1000</v>
      </c>
      <c r="O12" s="546">
        <v>977</v>
      </c>
      <c r="P12" s="546">
        <v>0</v>
      </c>
      <c r="Q12" s="546">
        <v>0</v>
      </c>
      <c r="R12" s="546">
        <f t="shared" si="3"/>
        <v>977</v>
      </c>
      <c r="S12" s="546">
        <v>1000</v>
      </c>
      <c r="T12" s="546">
        <v>0</v>
      </c>
      <c r="U12" s="546">
        <v>0</v>
      </c>
      <c r="V12" s="546">
        <f t="shared" si="4"/>
        <v>1000</v>
      </c>
      <c r="W12" s="546">
        <v>1000</v>
      </c>
      <c r="X12" s="546">
        <v>0</v>
      </c>
      <c r="Y12" s="546">
        <v>0</v>
      </c>
      <c r="Z12" s="546">
        <f t="shared" si="5"/>
        <v>1000</v>
      </c>
    </row>
    <row r="13" spans="1:26" x14ac:dyDescent="0.25">
      <c r="A13" s="522"/>
      <c r="B13" s="356" t="s">
        <v>653</v>
      </c>
      <c r="C13" s="546">
        <v>0</v>
      </c>
      <c r="D13" s="546">
        <v>0</v>
      </c>
      <c r="E13" s="546">
        <v>0</v>
      </c>
      <c r="F13" s="546">
        <f t="shared" si="0"/>
        <v>0</v>
      </c>
      <c r="G13" s="546">
        <v>0</v>
      </c>
      <c r="H13" s="546">
        <v>0</v>
      </c>
      <c r="I13" s="546">
        <v>0</v>
      </c>
      <c r="J13" s="546">
        <f t="shared" si="1"/>
        <v>0</v>
      </c>
      <c r="K13" s="546">
        <v>0</v>
      </c>
      <c r="L13" s="546">
        <v>0</v>
      </c>
      <c r="M13" s="546">
        <v>0</v>
      </c>
      <c r="N13" s="546">
        <f t="shared" si="2"/>
        <v>0</v>
      </c>
      <c r="O13" s="546">
        <v>0</v>
      </c>
      <c r="P13" s="546">
        <v>0</v>
      </c>
      <c r="Q13" s="546">
        <v>0</v>
      </c>
      <c r="R13" s="546">
        <f t="shared" si="3"/>
        <v>0</v>
      </c>
      <c r="S13" s="546">
        <v>0</v>
      </c>
      <c r="T13" s="546">
        <v>0</v>
      </c>
      <c r="U13" s="546">
        <v>0</v>
      </c>
      <c r="V13" s="546">
        <f t="shared" si="4"/>
        <v>0</v>
      </c>
      <c r="W13" s="546">
        <v>0</v>
      </c>
      <c r="X13" s="546">
        <v>0</v>
      </c>
      <c r="Y13" s="546">
        <v>0</v>
      </c>
      <c r="Z13" s="546">
        <f t="shared" si="5"/>
        <v>0</v>
      </c>
    </row>
    <row r="14" spans="1:26" x14ac:dyDescent="0.25">
      <c r="A14" s="560" t="s">
        <v>322</v>
      </c>
      <c r="B14" s="561" t="s">
        <v>314</v>
      </c>
      <c r="C14" s="562">
        <f t="shared" ref="C14:E14" si="19">SUM(C15:C22)</f>
        <v>1270</v>
      </c>
      <c r="D14" s="562">
        <f t="shared" si="19"/>
        <v>0</v>
      </c>
      <c r="E14" s="562">
        <f t="shared" si="19"/>
        <v>0</v>
      </c>
      <c r="F14" s="562">
        <f t="shared" si="0"/>
        <v>1270</v>
      </c>
      <c r="G14" s="562">
        <f t="shared" ref="G14:I14" si="20">SUM(G15:G22)</f>
        <v>1270</v>
      </c>
      <c r="H14" s="562">
        <f t="shared" si="20"/>
        <v>0</v>
      </c>
      <c r="I14" s="562">
        <f t="shared" si="20"/>
        <v>0</v>
      </c>
      <c r="J14" s="562">
        <f t="shared" si="1"/>
        <v>1270</v>
      </c>
      <c r="K14" s="562">
        <f t="shared" ref="K14:M14" si="21">SUM(K15:K22)</f>
        <v>1270</v>
      </c>
      <c r="L14" s="562">
        <f t="shared" si="21"/>
        <v>0</v>
      </c>
      <c r="M14" s="562">
        <f t="shared" si="21"/>
        <v>0</v>
      </c>
      <c r="N14" s="562">
        <f t="shared" si="2"/>
        <v>1270</v>
      </c>
      <c r="O14" s="562">
        <f t="shared" ref="O14:Q14" si="22">SUM(O15:O22)</f>
        <v>1503</v>
      </c>
      <c r="P14" s="562">
        <f t="shared" si="22"/>
        <v>0</v>
      </c>
      <c r="Q14" s="562">
        <f t="shared" si="22"/>
        <v>0</v>
      </c>
      <c r="R14" s="562">
        <f t="shared" si="3"/>
        <v>1503</v>
      </c>
      <c r="S14" s="562">
        <f t="shared" ref="S14:U14" si="23">SUM(S15:S22)</f>
        <v>1270</v>
      </c>
      <c r="T14" s="562">
        <f t="shared" si="23"/>
        <v>0</v>
      </c>
      <c r="U14" s="562">
        <f t="shared" si="23"/>
        <v>0</v>
      </c>
      <c r="V14" s="562">
        <f t="shared" si="4"/>
        <v>1270</v>
      </c>
      <c r="W14" s="562">
        <f t="shared" ref="W14:Y14" si="24">SUM(W15:W22)</f>
        <v>1270</v>
      </c>
      <c r="X14" s="562">
        <f t="shared" si="24"/>
        <v>0</v>
      </c>
      <c r="Y14" s="562">
        <f t="shared" si="24"/>
        <v>0</v>
      </c>
      <c r="Z14" s="562">
        <f t="shared" si="5"/>
        <v>1270</v>
      </c>
    </row>
    <row r="15" spans="1:26" x14ac:dyDescent="0.25">
      <c r="A15" s="522"/>
      <c r="B15" s="356" t="s">
        <v>654</v>
      </c>
      <c r="C15" s="546">
        <f>PH!G181</f>
        <v>0</v>
      </c>
      <c r="D15" s="546">
        <f>PH!H181</f>
        <v>0</v>
      </c>
      <c r="E15" s="546">
        <f>PH!I181</f>
        <v>0</v>
      </c>
      <c r="F15" s="546">
        <f t="shared" si="0"/>
        <v>0</v>
      </c>
      <c r="G15" s="546">
        <f>PH!K181</f>
        <v>0</v>
      </c>
      <c r="H15" s="546">
        <f>PH!L181</f>
        <v>0</v>
      </c>
      <c r="I15" s="546">
        <f>PH!M181</f>
        <v>0</v>
      </c>
      <c r="J15" s="546">
        <f t="shared" si="1"/>
        <v>0</v>
      </c>
      <c r="K15" s="546">
        <f>PH!O181</f>
        <v>0</v>
      </c>
      <c r="L15" s="546">
        <f>PH!P181</f>
        <v>0</v>
      </c>
      <c r="M15" s="546">
        <f>PH!Q181</f>
        <v>0</v>
      </c>
      <c r="N15" s="546">
        <f t="shared" si="2"/>
        <v>0</v>
      </c>
      <c r="O15" s="546">
        <f>PH!S181</f>
        <v>0</v>
      </c>
      <c r="P15" s="546">
        <f>PH!T181</f>
        <v>0</v>
      </c>
      <c r="Q15" s="546">
        <f>PH!U181</f>
        <v>0</v>
      </c>
      <c r="R15" s="546">
        <f t="shared" si="3"/>
        <v>0</v>
      </c>
      <c r="S15" s="546">
        <f>PH!W181</f>
        <v>0</v>
      </c>
      <c r="T15" s="546">
        <f>PH!X181</f>
        <v>0</v>
      </c>
      <c r="U15" s="546">
        <f>PH!Y181</f>
        <v>0</v>
      </c>
      <c r="V15" s="546">
        <f t="shared" si="4"/>
        <v>0</v>
      </c>
      <c r="W15" s="546">
        <f>PH!AA181</f>
        <v>0</v>
      </c>
      <c r="X15" s="546">
        <f>PH!AB181</f>
        <v>0</v>
      </c>
      <c r="Y15" s="546">
        <f>PH!AC181</f>
        <v>0</v>
      </c>
      <c r="Z15" s="546">
        <f t="shared" si="5"/>
        <v>0</v>
      </c>
    </row>
    <row r="16" spans="1:26" x14ac:dyDescent="0.25">
      <c r="A16" s="522"/>
      <c r="B16" s="356" t="s">
        <v>655</v>
      </c>
      <c r="C16" s="546">
        <v>1000</v>
      </c>
      <c r="D16" s="546">
        <v>0</v>
      </c>
      <c r="E16" s="546">
        <v>0</v>
      </c>
      <c r="F16" s="546">
        <f t="shared" si="0"/>
        <v>1000</v>
      </c>
      <c r="G16" s="546">
        <v>1000</v>
      </c>
      <c r="H16" s="546">
        <v>0</v>
      </c>
      <c r="I16" s="546">
        <v>0</v>
      </c>
      <c r="J16" s="546">
        <f t="shared" si="1"/>
        <v>1000</v>
      </c>
      <c r="K16" s="546">
        <v>1000</v>
      </c>
      <c r="L16" s="546">
        <v>0</v>
      </c>
      <c r="M16" s="546">
        <v>0</v>
      </c>
      <c r="N16" s="546">
        <f t="shared" si="2"/>
        <v>1000</v>
      </c>
      <c r="O16" s="546">
        <v>1034</v>
      </c>
      <c r="P16" s="546">
        <v>0</v>
      </c>
      <c r="Q16" s="546">
        <v>0</v>
      </c>
      <c r="R16" s="546">
        <f t="shared" si="3"/>
        <v>1034</v>
      </c>
      <c r="S16" s="546">
        <v>1000</v>
      </c>
      <c r="T16" s="546">
        <v>0</v>
      </c>
      <c r="U16" s="546">
        <v>0</v>
      </c>
      <c r="V16" s="546">
        <f t="shared" si="4"/>
        <v>1000</v>
      </c>
      <c r="W16" s="546">
        <v>1000</v>
      </c>
      <c r="X16" s="546">
        <v>0</v>
      </c>
      <c r="Y16" s="546">
        <v>0</v>
      </c>
      <c r="Z16" s="546">
        <f t="shared" si="5"/>
        <v>1000</v>
      </c>
    </row>
    <row r="17" spans="1:26" x14ac:dyDescent="0.25">
      <c r="A17" s="522"/>
      <c r="B17" s="356" t="s">
        <v>663</v>
      </c>
      <c r="C17" s="546">
        <f>PH!G184</f>
        <v>0</v>
      </c>
      <c r="D17" s="546">
        <f>PH!H184</f>
        <v>0</v>
      </c>
      <c r="E17" s="546">
        <f>PH!I184</f>
        <v>0</v>
      </c>
      <c r="F17" s="546">
        <f t="shared" si="0"/>
        <v>0</v>
      </c>
      <c r="G17" s="546">
        <f>PH!K184</f>
        <v>0</v>
      </c>
      <c r="H17" s="546">
        <f>PH!L184</f>
        <v>0</v>
      </c>
      <c r="I17" s="546">
        <f>PH!M184</f>
        <v>0</v>
      </c>
      <c r="J17" s="546">
        <f t="shared" si="1"/>
        <v>0</v>
      </c>
      <c r="K17" s="546">
        <f>PH!O184</f>
        <v>0</v>
      </c>
      <c r="L17" s="546">
        <f>PH!P184</f>
        <v>0</v>
      </c>
      <c r="M17" s="546">
        <f>PH!Q184</f>
        <v>0</v>
      </c>
      <c r="N17" s="546">
        <f t="shared" si="2"/>
        <v>0</v>
      </c>
      <c r="O17" s="546">
        <f>PH!S184</f>
        <v>0</v>
      </c>
      <c r="P17" s="546">
        <f>PH!T184</f>
        <v>0</v>
      </c>
      <c r="Q17" s="546">
        <f>PH!U184</f>
        <v>0</v>
      </c>
      <c r="R17" s="546">
        <f t="shared" si="3"/>
        <v>0</v>
      </c>
      <c r="S17" s="546">
        <f>PH!W184</f>
        <v>0</v>
      </c>
      <c r="T17" s="546">
        <f>PH!X184</f>
        <v>0</v>
      </c>
      <c r="U17" s="546">
        <f>PH!Y184</f>
        <v>0</v>
      </c>
      <c r="V17" s="546">
        <f t="shared" si="4"/>
        <v>0</v>
      </c>
      <c r="W17" s="546">
        <f>PH!AA184</f>
        <v>0</v>
      </c>
      <c r="X17" s="546">
        <f>PH!AB184</f>
        <v>0</v>
      </c>
      <c r="Y17" s="546">
        <f>PH!AC184</f>
        <v>0</v>
      </c>
      <c r="Z17" s="546">
        <f t="shared" si="5"/>
        <v>0</v>
      </c>
    </row>
    <row r="18" spans="1:26" x14ac:dyDescent="0.25">
      <c r="A18" s="522"/>
      <c r="B18" s="356" t="s">
        <v>664</v>
      </c>
      <c r="C18" s="546">
        <f>PH!G185</f>
        <v>0</v>
      </c>
      <c r="D18" s="546">
        <f>PH!H185</f>
        <v>0</v>
      </c>
      <c r="E18" s="546">
        <f>PH!I185</f>
        <v>0</v>
      </c>
      <c r="F18" s="546">
        <f t="shared" si="0"/>
        <v>0</v>
      </c>
      <c r="G18" s="546">
        <f>PH!K185</f>
        <v>0</v>
      </c>
      <c r="H18" s="546">
        <f>PH!L185</f>
        <v>0</v>
      </c>
      <c r="I18" s="546">
        <f>PH!M185</f>
        <v>0</v>
      </c>
      <c r="J18" s="546">
        <f t="shared" si="1"/>
        <v>0</v>
      </c>
      <c r="K18" s="546">
        <f>PH!O185</f>
        <v>0</v>
      </c>
      <c r="L18" s="546">
        <f>PH!P185</f>
        <v>0</v>
      </c>
      <c r="M18" s="546">
        <f>PH!Q185</f>
        <v>0</v>
      </c>
      <c r="N18" s="546">
        <f t="shared" si="2"/>
        <v>0</v>
      </c>
      <c r="O18" s="546">
        <f>PH!S185</f>
        <v>0</v>
      </c>
      <c r="P18" s="546">
        <f>PH!T185</f>
        <v>0</v>
      </c>
      <c r="Q18" s="546">
        <f>PH!U185</f>
        <v>0</v>
      </c>
      <c r="R18" s="546">
        <f t="shared" si="3"/>
        <v>0</v>
      </c>
      <c r="S18" s="546">
        <f>PH!W185</f>
        <v>0</v>
      </c>
      <c r="T18" s="546">
        <f>PH!X185</f>
        <v>0</v>
      </c>
      <c r="U18" s="546">
        <f>PH!Y185</f>
        <v>0</v>
      </c>
      <c r="V18" s="546">
        <f t="shared" si="4"/>
        <v>0</v>
      </c>
      <c r="W18" s="546">
        <f>PH!AA185</f>
        <v>0</v>
      </c>
      <c r="X18" s="546">
        <f>PH!AB185</f>
        <v>0</v>
      </c>
      <c r="Y18" s="546">
        <f>PH!AC185</f>
        <v>0</v>
      </c>
      <c r="Z18" s="546">
        <f t="shared" si="5"/>
        <v>0</v>
      </c>
    </row>
    <row r="19" spans="1:26" x14ac:dyDescent="0.25">
      <c r="A19" s="522"/>
      <c r="B19" s="356" t="s">
        <v>665</v>
      </c>
      <c r="C19" s="546">
        <v>270</v>
      </c>
      <c r="D19" s="546">
        <v>0</v>
      </c>
      <c r="E19" s="546">
        <v>0</v>
      </c>
      <c r="F19" s="546">
        <f t="shared" si="0"/>
        <v>270</v>
      </c>
      <c r="G19" s="546">
        <v>270</v>
      </c>
      <c r="H19" s="546">
        <v>0</v>
      </c>
      <c r="I19" s="546">
        <v>0</v>
      </c>
      <c r="J19" s="546">
        <f t="shared" si="1"/>
        <v>270</v>
      </c>
      <c r="K19" s="546">
        <v>270</v>
      </c>
      <c r="L19" s="546">
        <v>0</v>
      </c>
      <c r="M19" s="546">
        <v>0</v>
      </c>
      <c r="N19" s="546">
        <f t="shared" si="2"/>
        <v>270</v>
      </c>
      <c r="O19" s="546">
        <v>289</v>
      </c>
      <c r="P19" s="546">
        <v>0</v>
      </c>
      <c r="Q19" s="546">
        <v>0</v>
      </c>
      <c r="R19" s="546">
        <f t="shared" si="3"/>
        <v>289</v>
      </c>
      <c r="S19" s="546">
        <v>270</v>
      </c>
      <c r="T19" s="546">
        <v>0</v>
      </c>
      <c r="U19" s="546">
        <v>0</v>
      </c>
      <c r="V19" s="546">
        <f t="shared" si="4"/>
        <v>270</v>
      </c>
      <c r="W19" s="546">
        <v>270</v>
      </c>
      <c r="X19" s="546">
        <v>0</v>
      </c>
      <c r="Y19" s="546">
        <v>0</v>
      </c>
      <c r="Z19" s="546">
        <f t="shared" si="5"/>
        <v>270</v>
      </c>
    </row>
    <row r="20" spans="1:26" x14ac:dyDescent="0.25">
      <c r="A20" s="522"/>
      <c r="B20" s="356" t="s">
        <v>666</v>
      </c>
      <c r="C20" s="546">
        <f>PH!G187</f>
        <v>0</v>
      </c>
      <c r="D20" s="546">
        <f>PH!H187</f>
        <v>0</v>
      </c>
      <c r="E20" s="546">
        <f>PH!I187</f>
        <v>0</v>
      </c>
      <c r="F20" s="546">
        <f t="shared" si="0"/>
        <v>0</v>
      </c>
      <c r="G20" s="546">
        <f>PH!K187</f>
        <v>0</v>
      </c>
      <c r="H20" s="546">
        <f>PH!L187</f>
        <v>0</v>
      </c>
      <c r="I20" s="546">
        <f>PH!M187</f>
        <v>0</v>
      </c>
      <c r="J20" s="546">
        <f t="shared" si="1"/>
        <v>0</v>
      </c>
      <c r="K20" s="546">
        <f>PH!O187</f>
        <v>0</v>
      </c>
      <c r="L20" s="546">
        <f>PH!P187</f>
        <v>0</v>
      </c>
      <c r="M20" s="546">
        <f>PH!Q187</f>
        <v>0</v>
      </c>
      <c r="N20" s="546">
        <f t="shared" si="2"/>
        <v>0</v>
      </c>
      <c r="O20" s="546">
        <f>PH!S187</f>
        <v>0</v>
      </c>
      <c r="P20" s="546">
        <f>PH!T187</f>
        <v>0</v>
      </c>
      <c r="Q20" s="546">
        <f>PH!U187</f>
        <v>0</v>
      </c>
      <c r="R20" s="546">
        <f t="shared" si="3"/>
        <v>0</v>
      </c>
      <c r="S20" s="546">
        <f>PH!W187</f>
        <v>0</v>
      </c>
      <c r="T20" s="546">
        <f>PH!X187</f>
        <v>0</v>
      </c>
      <c r="U20" s="546">
        <f>PH!Y187</f>
        <v>0</v>
      </c>
      <c r="V20" s="546">
        <f t="shared" si="4"/>
        <v>0</v>
      </c>
      <c r="W20" s="546">
        <f>PH!AA187</f>
        <v>0</v>
      </c>
      <c r="X20" s="546">
        <f>PH!AB187</f>
        <v>0</v>
      </c>
      <c r="Y20" s="546">
        <f>PH!AC187</f>
        <v>0</v>
      </c>
      <c r="Z20" s="546">
        <f t="shared" si="5"/>
        <v>0</v>
      </c>
    </row>
    <row r="21" spans="1:26" x14ac:dyDescent="0.25">
      <c r="A21" s="522"/>
      <c r="B21" s="356" t="s">
        <v>667</v>
      </c>
      <c r="C21" s="546">
        <f>PH!G188</f>
        <v>0</v>
      </c>
      <c r="D21" s="546">
        <f>PH!H188</f>
        <v>0</v>
      </c>
      <c r="E21" s="546">
        <f>PH!I188</f>
        <v>0</v>
      </c>
      <c r="F21" s="546">
        <f t="shared" si="0"/>
        <v>0</v>
      </c>
      <c r="G21" s="546">
        <f>PH!K188</f>
        <v>0</v>
      </c>
      <c r="H21" s="546">
        <f>PH!L188</f>
        <v>0</v>
      </c>
      <c r="I21" s="546">
        <f>PH!M188</f>
        <v>0</v>
      </c>
      <c r="J21" s="546">
        <f t="shared" si="1"/>
        <v>0</v>
      </c>
      <c r="K21" s="546">
        <f>PH!O188</f>
        <v>0</v>
      </c>
      <c r="L21" s="546">
        <f>PH!P188</f>
        <v>0</v>
      </c>
      <c r="M21" s="546">
        <f>PH!Q188</f>
        <v>0</v>
      </c>
      <c r="N21" s="546">
        <f t="shared" si="2"/>
        <v>0</v>
      </c>
      <c r="O21" s="546">
        <f>PH!S188</f>
        <v>0</v>
      </c>
      <c r="P21" s="546">
        <f>PH!T188</f>
        <v>0</v>
      </c>
      <c r="Q21" s="546">
        <f>PH!U188</f>
        <v>0</v>
      </c>
      <c r="R21" s="546">
        <f t="shared" si="3"/>
        <v>0</v>
      </c>
      <c r="S21" s="546">
        <f>PH!W188</f>
        <v>0</v>
      </c>
      <c r="T21" s="546">
        <f>PH!X188</f>
        <v>0</v>
      </c>
      <c r="U21" s="546">
        <f>PH!Y188</f>
        <v>0</v>
      </c>
      <c r="V21" s="546">
        <f t="shared" si="4"/>
        <v>0</v>
      </c>
      <c r="W21" s="546">
        <f>PH!AA188</f>
        <v>0</v>
      </c>
      <c r="X21" s="546">
        <f>PH!AB188</f>
        <v>0</v>
      </c>
      <c r="Y21" s="546">
        <f>PH!AC188</f>
        <v>0</v>
      </c>
      <c r="Z21" s="546">
        <f t="shared" si="5"/>
        <v>0</v>
      </c>
    </row>
    <row r="22" spans="1:26" x14ac:dyDescent="0.25">
      <c r="A22" s="522"/>
      <c r="B22" s="356" t="s">
        <v>668</v>
      </c>
      <c r="C22" s="546">
        <f>PH!G190</f>
        <v>0</v>
      </c>
      <c r="D22" s="546">
        <f>PH!H190</f>
        <v>0</v>
      </c>
      <c r="E22" s="546">
        <f>PH!I190</f>
        <v>0</v>
      </c>
      <c r="F22" s="546">
        <f t="shared" si="0"/>
        <v>0</v>
      </c>
      <c r="G22" s="546">
        <f>PH!K190</f>
        <v>0</v>
      </c>
      <c r="H22" s="546">
        <f>PH!L190</f>
        <v>0</v>
      </c>
      <c r="I22" s="546">
        <f>PH!M190</f>
        <v>0</v>
      </c>
      <c r="J22" s="546">
        <f t="shared" si="1"/>
        <v>0</v>
      </c>
      <c r="K22" s="546">
        <f>PH!O190</f>
        <v>0</v>
      </c>
      <c r="L22" s="546">
        <f>PH!P190</f>
        <v>0</v>
      </c>
      <c r="M22" s="546">
        <f>PH!Q190</f>
        <v>0</v>
      </c>
      <c r="N22" s="546">
        <f t="shared" si="2"/>
        <v>0</v>
      </c>
      <c r="O22" s="546">
        <v>180</v>
      </c>
      <c r="P22" s="546">
        <f>PH!T190</f>
        <v>0</v>
      </c>
      <c r="Q22" s="546">
        <f>PH!U190</f>
        <v>0</v>
      </c>
      <c r="R22" s="546">
        <f t="shared" si="3"/>
        <v>180</v>
      </c>
      <c r="S22" s="546">
        <f>PH!W190</f>
        <v>0</v>
      </c>
      <c r="T22" s="546">
        <f>PH!X190</f>
        <v>0</v>
      </c>
      <c r="U22" s="546">
        <f>PH!Y190</f>
        <v>0</v>
      </c>
      <c r="V22" s="546">
        <f t="shared" si="4"/>
        <v>0</v>
      </c>
      <c r="W22" s="546">
        <f>PH!AA190</f>
        <v>0</v>
      </c>
      <c r="X22" s="546">
        <f>PH!AB190</f>
        <v>0</v>
      </c>
      <c r="Y22" s="546">
        <f>PH!AC190</f>
        <v>0</v>
      </c>
      <c r="Z22" s="546">
        <f t="shared" si="5"/>
        <v>0</v>
      </c>
    </row>
    <row r="23" spans="1:26" x14ac:dyDescent="0.25">
      <c r="A23" s="560" t="s">
        <v>315</v>
      </c>
      <c r="B23" s="561" t="s">
        <v>316</v>
      </c>
      <c r="C23" s="562">
        <f t="shared" ref="C23:Y23" si="25">SUM(C24:C24)</f>
        <v>0</v>
      </c>
      <c r="D23" s="562">
        <f t="shared" si="25"/>
        <v>0</v>
      </c>
      <c r="E23" s="562">
        <f t="shared" si="25"/>
        <v>0</v>
      </c>
      <c r="F23" s="562">
        <f t="shared" si="0"/>
        <v>0</v>
      </c>
      <c r="G23" s="562">
        <f t="shared" si="25"/>
        <v>0</v>
      </c>
      <c r="H23" s="562">
        <f t="shared" si="25"/>
        <v>0</v>
      </c>
      <c r="I23" s="562">
        <f t="shared" si="25"/>
        <v>0</v>
      </c>
      <c r="J23" s="562">
        <f t="shared" si="1"/>
        <v>0</v>
      </c>
      <c r="K23" s="562">
        <f t="shared" si="25"/>
        <v>0</v>
      </c>
      <c r="L23" s="562">
        <f t="shared" si="25"/>
        <v>0</v>
      </c>
      <c r="M23" s="562">
        <f t="shared" si="25"/>
        <v>0</v>
      </c>
      <c r="N23" s="562">
        <f t="shared" si="2"/>
        <v>0</v>
      </c>
      <c r="O23" s="562">
        <f t="shared" si="25"/>
        <v>0</v>
      </c>
      <c r="P23" s="562">
        <f t="shared" si="25"/>
        <v>0</v>
      </c>
      <c r="Q23" s="562">
        <f t="shared" si="25"/>
        <v>0</v>
      </c>
      <c r="R23" s="562">
        <f t="shared" si="3"/>
        <v>0</v>
      </c>
      <c r="S23" s="562">
        <f t="shared" si="25"/>
        <v>0</v>
      </c>
      <c r="T23" s="562">
        <f t="shared" si="25"/>
        <v>0</v>
      </c>
      <c r="U23" s="562">
        <f t="shared" si="25"/>
        <v>0</v>
      </c>
      <c r="V23" s="562">
        <f t="shared" si="4"/>
        <v>0</v>
      </c>
      <c r="W23" s="562">
        <f t="shared" si="25"/>
        <v>0</v>
      </c>
      <c r="X23" s="562">
        <f t="shared" si="25"/>
        <v>0</v>
      </c>
      <c r="Y23" s="562">
        <f t="shared" si="25"/>
        <v>0</v>
      </c>
      <c r="Z23" s="562">
        <f t="shared" si="5"/>
        <v>0</v>
      </c>
    </row>
    <row r="24" spans="1:26" x14ac:dyDescent="0.25">
      <c r="A24" s="522"/>
      <c r="B24" s="356" t="s">
        <v>317</v>
      </c>
      <c r="C24" s="546">
        <v>0</v>
      </c>
      <c r="D24" s="546">
        <v>0</v>
      </c>
      <c r="E24" s="546">
        <v>0</v>
      </c>
      <c r="F24" s="546">
        <f t="shared" si="0"/>
        <v>0</v>
      </c>
      <c r="G24" s="546">
        <v>0</v>
      </c>
      <c r="H24" s="546">
        <v>0</v>
      </c>
      <c r="I24" s="546">
        <v>0</v>
      </c>
      <c r="J24" s="546">
        <f t="shared" si="1"/>
        <v>0</v>
      </c>
      <c r="K24" s="546">
        <v>0</v>
      </c>
      <c r="L24" s="546">
        <v>0</v>
      </c>
      <c r="M24" s="546">
        <v>0</v>
      </c>
      <c r="N24" s="546">
        <f t="shared" si="2"/>
        <v>0</v>
      </c>
      <c r="O24" s="546">
        <v>0</v>
      </c>
      <c r="P24" s="546">
        <v>0</v>
      </c>
      <c r="Q24" s="546">
        <v>0</v>
      </c>
      <c r="R24" s="546">
        <f t="shared" si="3"/>
        <v>0</v>
      </c>
      <c r="S24" s="546">
        <v>0</v>
      </c>
      <c r="T24" s="546">
        <v>0</v>
      </c>
      <c r="U24" s="546">
        <v>0</v>
      </c>
      <c r="V24" s="546">
        <f t="shared" si="4"/>
        <v>0</v>
      </c>
      <c r="W24" s="546">
        <v>0</v>
      </c>
      <c r="X24" s="546">
        <v>0</v>
      </c>
      <c r="Y24" s="546">
        <v>0</v>
      </c>
      <c r="Z24" s="546">
        <f t="shared" si="5"/>
        <v>0</v>
      </c>
    </row>
    <row r="25" spans="1:26" x14ac:dyDescent="0.25">
      <c r="A25" s="557" t="s">
        <v>318</v>
      </c>
      <c r="B25" s="558" t="s">
        <v>319</v>
      </c>
      <c r="C25" s="559">
        <f t="shared" ref="C25:E25" si="26">C26+C28+C31</f>
        <v>0</v>
      </c>
      <c r="D25" s="559">
        <f t="shared" si="26"/>
        <v>0</v>
      </c>
      <c r="E25" s="559">
        <f t="shared" si="26"/>
        <v>0</v>
      </c>
      <c r="F25" s="559">
        <f t="shared" si="0"/>
        <v>0</v>
      </c>
      <c r="G25" s="559">
        <f t="shared" ref="G25:I25" si="27">G26+G28+G31</f>
        <v>0</v>
      </c>
      <c r="H25" s="559">
        <f t="shared" si="27"/>
        <v>0</v>
      </c>
      <c r="I25" s="559">
        <f t="shared" si="27"/>
        <v>0</v>
      </c>
      <c r="J25" s="559">
        <f t="shared" si="1"/>
        <v>0</v>
      </c>
      <c r="K25" s="559">
        <f t="shared" ref="K25:M25" si="28">K26+K28+K31</f>
        <v>0</v>
      </c>
      <c r="L25" s="559">
        <f t="shared" si="28"/>
        <v>0</v>
      </c>
      <c r="M25" s="559">
        <f t="shared" si="28"/>
        <v>0</v>
      </c>
      <c r="N25" s="559">
        <f t="shared" si="2"/>
        <v>0</v>
      </c>
      <c r="O25" s="559">
        <f t="shared" ref="O25:Q25" si="29">O26+O28+O31</f>
        <v>0</v>
      </c>
      <c r="P25" s="559">
        <f t="shared" si="29"/>
        <v>0</v>
      </c>
      <c r="Q25" s="559">
        <f t="shared" si="29"/>
        <v>0</v>
      </c>
      <c r="R25" s="559">
        <f t="shared" si="3"/>
        <v>0</v>
      </c>
      <c r="S25" s="559">
        <f t="shared" ref="S25:U25" si="30">S26+S28+S31</f>
        <v>0</v>
      </c>
      <c r="T25" s="559">
        <f t="shared" si="30"/>
        <v>0</v>
      </c>
      <c r="U25" s="559">
        <f t="shared" si="30"/>
        <v>0</v>
      </c>
      <c r="V25" s="559">
        <f t="shared" si="4"/>
        <v>0</v>
      </c>
      <c r="W25" s="559">
        <f t="shared" ref="W25:Y25" si="31">W26+W28+W31</f>
        <v>0</v>
      </c>
      <c r="X25" s="559">
        <f t="shared" si="31"/>
        <v>0</v>
      </c>
      <c r="Y25" s="559">
        <f t="shared" si="31"/>
        <v>0</v>
      </c>
      <c r="Z25" s="559">
        <f t="shared" si="5"/>
        <v>0</v>
      </c>
    </row>
    <row r="26" spans="1:26" x14ac:dyDescent="0.25">
      <c r="A26" s="560" t="s">
        <v>311</v>
      </c>
      <c r="B26" s="561" t="s">
        <v>320</v>
      </c>
      <c r="C26" s="562">
        <f t="shared" ref="C26:Y26" si="32">SUM(C27:C27)</f>
        <v>0</v>
      </c>
      <c r="D26" s="562">
        <f t="shared" si="32"/>
        <v>0</v>
      </c>
      <c r="E26" s="562">
        <f t="shared" si="32"/>
        <v>0</v>
      </c>
      <c r="F26" s="562">
        <f t="shared" si="0"/>
        <v>0</v>
      </c>
      <c r="G26" s="562">
        <f t="shared" si="32"/>
        <v>0</v>
      </c>
      <c r="H26" s="562">
        <f t="shared" si="32"/>
        <v>0</v>
      </c>
      <c r="I26" s="562">
        <f t="shared" si="32"/>
        <v>0</v>
      </c>
      <c r="J26" s="562">
        <f t="shared" si="1"/>
        <v>0</v>
      </c>
      <c r="K26" s="562">
        <f t="shared" si="32"/>
        <v>0</v>
      </c>
      <c r="L26" s="562">
        <f t="shared" si="32"/>
        <v>0</v>
      </c>
      <c r="M26" s="562">
        <f t="shared" si="32"/>
        <v>0</v>
      </c>
      <c r="N26" s="562">
        <f t="shared" si="2"/>
        <v>0</v>
      </c>
      <c r="O26" s="562">
        <f t="shared" si="32"/>
        <v>0</v>
      </c>
      <c r="P26" s="562">
        <f t="shared" si="32"/>
        <v>0</v>
      </c>
      <c r="Q26" s="562">
        <f t="shared" si="32"/>
        <v>0</v>
      </c>
      <c r="R26" s="562">
        <f t="shared" si="3"/>
        <v>0</v>
      </c>
      <c r="S26" s="562">
        <f t="shared" si="32"/>
        <v>0</v>
      </c>
      <c r="T26" s="562">
        <f t="shared" si="32"/>
        <v>0</v>
      </c>
      <c r="U26" s="562">
        <f t="shared" si="32"/>
        <v>0</v>
      </c>
      <c r="V26" s="562">
        <f t="shared" si="4"/>
        <v>0</v>
      </c>
      <c r="W26" s="562">
        <f t="shared" si="32"/>
        <v>0</v>
      </c>
      <c r="X26" s="562">
        <f t="shared" si="32"/>
        <v>0</v>
      </c>
      <c r="Y26" s="562">
        <f t="shared" si="32"/>
        <v>0</v>
      </c>
      <c r="Z26" s="562">
        <f t="shared" si="5"/>
        <v>0</v>
      </c>
    </row>
    <row r="27" spans="1:26" ht="28.55" x14ac:dyDescent="0.25">
      <c r="A27" s="522"/>
      <c r="B27" s="272" t="s">
        <v>321</v>
      </c>
      <c r="C27" s="546">
        <v>0</v>
      </c>
      <c r="D27" s="546">
        <v>0</v>
      </c>
      <c r="E27" s="546">
        <v>0</v>
      </c>
      <c r="F27" s="546">
        <f t="shared" si="0"/>
        <v>0</v>
      </c>
      <c r="G27" s="546">
        <v>0</v>
      </c>
      <c r="H27" s="546">
        <v>0</v>
      </c>
      <c r="I27" s="546">
        <v>0</v>
      </c>
      <c r="J27" s="546">
        <f t="shared" si="1"/>
        <v>0</v>
      </c>
      <c r="K27" s="546">
        <v>0</v>
      </c>
      <c r="L27" s="546">
        <v>0</v>
      </c>
      <c r="M27" s="546">
        <v>0</v>
      </c>
      <c r="N27" s="546">
        <f t="shared" si="2"/>
        <v>0</v>
      </c>
      <c r="O27" s="546">
        <v>0</v>
      </c>
      <c r="P27" s="546">
        <v>0</v>
      </c>
      <c r="Q27" s="546">
        <v>0</v>
      </c>
      <c r="R27" s="546">
        <f t="shared" si="3"/>
        <v>0</v>
      </c>
      <c r="S27" s="546">
        <v>0</v>
      </c>
      <c r="T27" s="546">
        <v>0</v>
      </c>
      <c r="U27" s="546">
        <v>0</v>
      </c>
      <c r="V27" s="546">
        <f t="shared" si="4"/>
        <v>0</v>
      </c>
      <c r="W27" s="546">
        <v>0</v>
      </c>
      <c r="X27" s="546">
        <v>0</v>
      </c>
      <c r="Y27" s="546">
        <v>0</v>
      </c>
      <c r="Z27" s="546">
        <f t="shared" si="5"/>
        <v>0</v>
      </c>
    </row>
    <row r="28" spans="1:26" x14ac:dyDescent="0.25">
      <c r="A28" s="560" t="s">
        <v>322</v>
      </c>
      <c r="B28" s="561" t="s">
        <v>257</v>
      </c>
      <c r="C28" s="562">
        <f t="shared" ref="C28:E28" si="33">SUM(C29:C30)</f>
        <v>0</v>
      </c>
      <c r="D28" s="562">
        <f t="shared" si="33"/>
        <v>0</v>
      </c>
      <c r="E28" s="562">
        <f t="shared" si="33"/>
        <v>0</v>
      </c>
      <c r="F28" s="562">
        <f t="shared" si="0"/>
        <v>0</v>
      </c>
      <c r="G28" s="562">
        <f t="shared" ref="G28:I28" si="34">SUM(G29:G30)</f>
        <v>0</v>
      </c>
      <c r="H28" s="562">
        <f t="shared" si="34"/>
        <v>0</v>
      </c>
      <c r="I28" s="562">
        <f t="shared" si="34"/>
        <v>0</v>
      </c>
      <c r="J28" s="562">
        <f t="shared" si="1"/>
        <v>0</v>
      </c>
      <c r="K28" s="562">
        <f t="shared" ref="K28:M28" si="35">SUM(K29:K30)</f>
        <v>0</v>
      </c>
      <c r="L28" s="562">
        <f t="shared" si="35"/>
        <v>0</v>
      </c>
      <c r="M28" s="562">
        <f t="shared" si="35"/>
        <v>0</v>
      </c>
      <c r="N28" s="562">
        <f t="shared" si="2"/>
        <v>0</v>
      </c>
      <c r="O28" s="562">
        <f t="shared" ref="O28:Q28" si="36">SUM(O29:O30)</f>
        <v>0</v>
      </c>
      <c r="P28" s="562">
        <f t="shared" si="36"/>
        <v>0</v>
      </c>
      <c r="Q28" s="562">
        <f t="shared" si="36"/>
        <v>0</v>
      </c>
      <c r="R28" s="562">
        <f t="shared" si="3"/>
        <v>0</v>
      </c>
      <c r="S28" s="562">
        <f t="shared" ref="S28:U28" si="37">SUM(S29:S30)</f>
        <v>0</v>
      </c>
      <c r="T28" s="562">
        <f t="shared" si="37"/>
        <v>0</v>
      </c>
      <c r="U28" s="562">
        <f t="shared" si="37"/>
        <v>0</v>
      </c>
      <c r="V28" s="562">
        <f t="shared" si="4"/>
        <v>0</v>
      </c>
      <c r="W28" s="562">
        <f t="shared" ref="W28:Y28" si="38">SUM(W29:W30)</f>
        <v>0</v>
      </c>
      <c r="X28" s="562">
        <f t="shared" si="38"/>
        <v>0</v>
      </c>
      <c r="Y28" s="562">
        <f t="shared" si="38"/>
        <v>0</v>
      </c>
      <c r="Z28" s="562">
        <f t="shared" si="5"/>
        <v>0</v>
      </c>
    </row>
    <row r="29" spans="1:26" x14ac:dyDescent="0.25">
      <c r="A29" s="522"/>
      <c r="B29" s="272" t="s">
        <v>323</v>
      </c>
      <c r="C29" s="546">
        <v>0</v>
      </c>
      <c r="D29" s="546">
        <v>0</v>
      </c>
      <c r="E29" s="546">
        <v>0</v>
      </c>
      <c r="F29" s="546">
        <f t="shared" si="0"/>
        <v>0</v>
      </c>
      <c r="G29" s="546">
        <v>0</v>
      </c>
      <c r="H29" s="546">
        <v>0</v>
      </c>
      <c r="I29" s="546">
        <v>0</v>
      </c>
      <c r="J29" s="546">
        <f t="shared" si="1"/>
        <v>0</v>
      </c>
      <c r="K29" s="546">
        <v>0</v>
      </c>
      <c r="L29" s="546">
        <v>0</v>
      </c>
      <c r="M29" s="546">
        <v>0</v>
      </c>
      <c r="N29" s="546">
        <f t="shared" si="2"/>
        <v>0</v>
      </c>
      <c r="O29" s="546">
        <v>0</v>
      </c>
      <c r="P29" s="546">
        <v>0</v>
      </c>
      <c r="Q29" s="546">
        <v>0</v>
      </c>
      <c r="R29" s="546">
        <f t="shared" si="3"/>
        <v>0</v>
      </c>
      <c r="S29" s="546">
        <v>0</v>
      </c>
      <c r="T29" s="546">
        <v>0</v>
      </c>
      <c r="U29" s="546">
        <v>0</v>
      </c>
      <c r="V29" s="546">
        <f t="shared" si="4"/>
        <v>0</v>
      </c>
      <c r="W29" s="546">
        <v>0</v>
      </c>
      <c r="X29" s="546">
        <v>0</v>
      </c>
      <c r="Y29" s="546">
        <v>0</v>
      </c>
      <c r="Z29" s="546">
        <f t="shared" si="5"/>
        <v>0</v>
      </c>
    </row>
    <row r="30" spans="1:26" x14ac:dyDescent="0.25">
      <c r="A30" s="522"/>
      <c r="B30" s="272" t="s">
        <v>324</v>
      </c>
      <c r="C30" s="546">
        <v>0</v>
      </c>
      <c r="D30" s="546">
        <v>0</v>
      </c>
      <c r="E30" s="546">
        <v>0</v>
      </c>
      <c r="F30" s="546">
        <f t="shared" si="0"/>
        <v>0</v>
      </c>
      <c r="G30" s="546">
        <v>0</v>
      </c>
      <c r="H30" s="546">
        <v>0</v>
      </c>
      <c r="I30" s="546">
        <v>0</v>
      </c>
      <c r="J30" s="546">
        <f t="shared" si="1"/>
        <v>0</v>
      </c>
      <c r="K30" s="546">
        <v>0</v>
      </c>
      <c r="L30" s="546">
        <v>0</v>
      </c>
      <c r="M30" s="546">
        <v>0</v>
      </c>
      <c r="N30" s="546">
        <f t="shared" si="2"/>
        <v>0</v>
      </c>
      <c r="O30" s="546">
        <v>0</v>
      </c>
      <c r="P30" s="546">
        <v>0</v>
      </c>
      <c r="Q30" s="546">
        <v>0</v>
      </c>
      <c r="R30" s="546">
        <f t="shared" si="3"/>
        <v>0</v>
      </c>
      <c r="S30" s="546">
        <v>0</v>
      </c>
      <c r="T30" s="546">
        <v>0</v>
      </c>
      <c r="U30" s="546">
        <v>0</v>
      </c>
      <c r="V30" s="546">
        <f t="shared" si="4"/>
        <v>0</v>
      </c>
      <c r="W30" s="546">
        <v>0</v>
      </c>
      <c r="X30" s="546">
        <v>0</v>
      </c>
      <c r="Y30" s="546">
        <v>0</v>
      </c>
      <c r="Z30" s="546">
        <f t="shared" si="5"/>
        <v>0</v>
      </c>
    </row>
    <row r="31" spans="1:26" x14ac:dyDescent="0.25">
      <c r="A31" s="560" t="s">
        <v>315</v>
      </c>
      <c r="B31" s="561" t="s">
        <v>325</v>
      </c>
      <c r="C31" s="562">
        <f t="shared" ref="C31:Y31" si="39">SUM(C32:C32)</f>
        <v>0</v>
      </c>
      <c r="D31" s="562">
        <f t="shared" si="39"/>
        <v>0</v>
      </c>
      <c r="E31" s="562">
        <f t="shared" si="39"/>
        <v>0</v>
      </c>
      <c r="F31" s="562">
        <f t="shared" si="0"/>
        <v>0</v>
      </c>
      <c r="G31" s="562">
        <f t="shared" si="39"/>
        <v>0</v>
      </c>
      <c r="H31" s="562">
        <f t="shared" si="39"/>
        <v>0</v>
      </c>
      <c r="I31" s="562">
        <f t="shared" si="39"/>
        <v>0</v>
      </c>
      <c r="J31" s="562">
        <f t="shared" si="1"/>
        <v>0</v>
      </c>
      <c r="K31" s="562">
        <f t="shared" si="39"/>
        <v>0</v>
      </c>
      <c r="L31" s="562">
        <f t="shared" si="39"/>
        <v>0</v>
      </c>
      <c r="M31" s="562">
        <f t="shared" si="39"/>
        <v>0</v>
      </c>
      <c r="N31" s="562">
        <f t="shared" si="2"/>
        <v>0</v>
      </c>
      <c r="O31" s="562">
        <f t="shared" si="39"/>
        <v>0</v>
      </c>
      <c r="P31" s="562">
        <f t="shared" si="39"/>
        <v>0</v>
      </c>
      <c r="Q31" s="562">
        <f t="shared" si="39"/>
        <v>0</v>
      </c>
      <c r="R31" s="562">
        <f t="shared" si="3"/>
        <v>0</v>
      </c>
      <c r="S31" s="562">
        <f t="shared" si="39"/>
        <v>0</v>
      </c>
      <c r="T31" s="562">
        <f t="shared" si="39"/>
        <v>0</v>
      </c>
      <c r="U31" s="562">
        <f t="shared" si="39"/>
        <v>0</v>
      </c>
      <c r="V31" s="562">
        <f t="shared" si="4"/>
        <v>0</v>
      </c>
      <c r="W31" s="562">
        <f t="shared" si="39"/>
        <v>0</v>
      </c>
      <c r="X31" s="562">
        <f t="shared" si="39"/>
        <v>0</v>
      </c>
      <c r="Y31" s="562">
        <f t="shared" si="39"/>
        <v>0</v>
      </c>
      <c r="Z31" s="562">
        <f t="shared" si="5"/>
        <v>0</v>
      </c>
    </row>
    <row r="32" spans="1:26" x14ac:dyDescent="0.25">
      <c r="A32" s="522"/>
      <c r="B32" s="272" t="s">
        <v>326</v>
      </c>
      <c r="C32" s="546">
        <v>0</v>
      </c>
      <c r="D32" s="546">
        <v>0</v>
      </c>
      <c r="E32" s="546">
        <v>0</v>
      </c>
      <c r="F32" s="546">
        <f t="shared" si="0"/>
        <v>0</v>
      </c>
      <c r="G32" s="546">
        <v>0</v>
      </c>
      <c r="H32" s="546">
        <v>0</v>
      </c>
      <c r="I32" s="546">
        <v>0</v>
      </c>
      <c r="J32" s="546">
        <f t="shared" si="1"/>
        <v>0</v>
      </c>
      <c r="K32" s="546">
        <v>0</v>
      </c>
      <c r="L32" s="546">
        <v>0</v>
      </c>
      <c r="M32" s="546">
        <v>0</v>
      </c>
      <c r="N32" s="546">
        <f t="shared" si="2"/>
        <v>0</v>
      </c>
      <c r="O32" s="546">
        <v>0</v>
      </c>
      <c r="P32" s="546">
        <v>0</v>
      </c>
      <c r="Q32" s="546">
        <v>0</v>
      </c>
      <c r="R32" s="546">
        <f t="shared" si="3"/>
        <v>0</v>
      </c>
      <c r="S32" s="546">
        <v>0</v>
      </c>
      <c r="T32" s="546">
        <v>0</v>
      </c>
      <c r="U32" s="546">
        <v>0</v>
      </c>
      <c r="V32" s="546">
        <f t="shared" si="4"/>
        <v>0</v>
      </c>
      <c r="W32" s="546">
        <v>0</v>
      </c>
      <c r="X32" s="546">
        <v>0</v>
      </c>
      <c r="Y32" s="546">
        <v>0</v>
      </c>
      <c r="Z32" s="546">
        <f t="shared" si="5"/>
        <v>0</v>
      </c>
    </row>
    <row r="33" spans="1:26" x14ac:dyDescent="0.25">
      <c r="A33" s="521"/>
      <c r="B33" s="563" t="s">
        <v>327</v>
      </c>
      <c r="C33" s="360">
        <f t="shared" ref="C33:E33" si="40">C25+C8</f>
        <v>2270</v>
      </c>
      <c r="D33" s="360">
        <f t="shared" si="40"/>
        <v>0</v>
      </c>
      <c r="E33" s="360">
        <f t="shared" si="40"/>
        <v>0</v>
      </c>
      <c r="F33" s="360">
        <f t="shared" si="0"/>
        <v>2270</v>
      </c>
      <c r="G33" s="360">
        <f t="shared" ref="G33:I33" si="41">G25+G8</f>
        <v>6276</v>
      </c>
      <c r="H33" s="360">
        <f t="shared" si="41"/>
        <v>0</v>
      </c>
      <c r="I33" s="360">
        <f t="shared" si="41"/>
        <v>0</v>
      </c>
      <c r="J33" s="360">
        <f t="shared" si="1"/>
        <v>6276</v>
      </c>
      <c r="K33" s="360">
        <f t="shared" ref="K33:M33" si="42">K25+K8</f>
        <v>2270</v>
      </c>
      <c r="L33" s="360">
        <f t="shared" si="42"/>
        <v>0</v>
      </c>
      <c r="M33" s="360">
        <f t="shared" si="42"/>
        <v>0</v>
      </c>
      <c r="N33" s="360">
        <f t="shared" si="2"/>
        <v>2270</v>
      </c>
      <c r="O33" s="360">
        <f t="shared" ref="O33:Q33" si="43">O25+O8</f>
        <v>6486</v>
      </c>
      <c r="P33" s="360">
        <f t="shared" si="43"/>
        <v>0</v>
      </c>
      <c r="Q33" s="360">
        <f t="shared" si="43"/>
        <v>0</v>
      </c>
      <c r="R33" s="360">
        <f t="shared" si="3"/>
        <v>6486</v>
      </c>
      <c r="S33" s="360">
        <f t="shared" ref="S33:U33" si="44">S25+S8</f>
        <v>2270</v>
      </c>
      <c r="T33" s="360">
        <f t="shared" si="44"/>
        <v>0</v>
      </c>
      <c r="U33" s="360">
        <f t="shared" si="44"/>
        <v>0</v>
      </c>
      <c r="V33" s="360">
        <f t="shared" si="4"/>
        <v>2270</v>
      </c>
      <c r="W33" s="360">
        <f t="shared" ref="W33:Y33" si="45">W25+W8</f>
        <v>6131</v>
      </c>
      <c r="X33" s="360">
        <f t="shared" si="45"/>
        <v>0</v>
      </c>
      <c r="Y33" s="360">
        <f t="shared" si="45"/>
        <v>0</v>
      </c>
      <c r="Z33" s="360">
        <f t="shared" si="5"/>
        <v>6131</v>
      </c>
    </row>
    <row r="34" spans="1:26" x14ac:dyDescent="0.25">
      <c r="A34" s="557" t="s">
        <v>328</v>
      </c>
      <c r="B34" s="558" t="s">
        <v>329</v>
      </c>
      <c r="C34" s="559">
        <f t="shared" ref="C34:Y34" si="46">C35</f>
        <v>690316</v>
      </c>
      <c r="D34" s="559">
        <f t="shared" si="46"/>
        <v>29094</v>
      </c>
      <c r="E34" s="559">
        <f t="shared" si="46"/>
        <v>4290</v>
      </c>
      <c r="F34" s="559">
        <f t="shared" si="0"/>
        <v>723700</v>
      </c>
      <c r="G34" s="559">
        <f t="shared" si="46"/>
        <v>727154</v>
      </c>
      <c r="H34" s="559">
        <f t="shared" si="46"/>
        <v>29094</v>
      </c>
      <c r="I34" s="559">
        <f t="shared" si="46"/>
        <v>4290</v>
      </c>
      <c r="J34" s="559">
        <f t="shared" si="1"/>
        <v>760538</v>
      </c>
      <c r="K34" s="559">
        <f t="shared" si="46"/>
        <v>731160</v>
      </c>
      <c r="L34" s="559">
        <f t="shared" si="46"/>
        <v>29094</v>
      </c>
      <c r="M34" s="559">
        <f t="shared" si="46"/>
        <v>4290</v>
      </c>
      <c r="N34" s="559">
        <f t="shared" si="2"/>
        <v>764544</v>
      </c>
      <c r="O34" s="559">
        <f t="shared" si="46"/>
        <v>685715</v>
      </c>
      <c r="P34" s="559">
        <f t="shared" si="46"/>
        <v>0</v>
      </c>
      <c r="Q34" s="559">
        <f t="shared" si="46"/>
        <v>0</v>
      </c>
      <c r="R34" s="559">
        <f t="shared" si="3"/>
        <v>685715</v>
      </c>
      <c r="S34" s="559">
        <f t="shared" si="46"/>
        <v>727953</v>
      </c>
      <c r="T34" s="559">
        <f t="shared" si="46"/>
        <v>29435</v>
      </c>
      <c r="U34" s="559">
        <f t="shared" si="46"/>
        <v>3277</v>
      </c>
      <c r="V34" s="559">
        <f t="shared" si="4"/>
        <v>760665</v>
      </c>
      <c r="W34" s="559">
        <f t="shared" si="46"/>
        <v>795318</v>
      </c>
      <c r="X34" s="559">
        <f t="shared" si="46"/>
        <v>29435</v>
      </c>
      <c r="Y34" s="559">
        <f t="shared" si="46"/>
        <v>3277</v>
      </c>
      <c r="Z34" s="559">
        <f t="shared" si="5"/>
        <v>828030</v>
      </c>
    </row>
    <row r="35" spans="1:26" x14ac:dyDescent="0.25">
      <c r="A35" s="560" t="s">
        <v>311</v>
      </c>
      <c r="B35" s="561" t="s">
        <v>330</v>
      </c>
      <c r="C35" s="562">
        <f t="shared" ref="C35:E35" si="47">SUM(C36:C37)</f>
        <v>690316</v>
      </c>
      <c r="D35" s="562">
        <f t="shared" si="47"/>
        <v>29094</v>
      </c>
      <c r="E35" s="562">
        <f t="shared" si="47"/>
        <v>4290</v>
      </c>
      <c r="F35" s="562">
        <f t="shared" si="0"/>
        <v>723700</v>
      </c>
      <c r="G35" s="562">
        <f t="shared" ref="G35:I35" si="48">SUM(G36:G37)</f>
        <v>727154</v>
      </c>
      <c r="H35" s="562">
        <f t="shared" si="48"/>
        <v>29094</v>
      </c>
      <c r="I35" s="562">
        <f t="shared" si="48"/>
        <v>4290</v>
      </c>
      <c r="J35" s="562">
        <f t="shared" si="1"/>
        <v>760538</v>
      </c>
      <c r="K35" s="562">
        <f t="shared" ref="K35:M35" si="49">SUM(K36:K37)</f>
        <v>731160</v>
      </c>
      <c r="L35" s="562">
        <f t="shared" si="49"/>
        <v>29094</v>
      </c>
      <c r="M35" s="562">
        <f t="shared" si="49"/>
        <v>4290</v>
      </c>
      <c r="N35" s="562">
        <f t="shared" si="2"/>
        <v>764544</v>
      </c>
      <c r="O35" s="562">
        <f t="shared" ref="O35:Q35" si="50">SUM(O36:O37)</f>
        <v>685715</v>
      </c>
      <c r="P35" s="562">
        <f t="shared" si="50"/>
        <v>0</v>
      </c>
      <c r="Q35" s="562">
        <f t="shared" si="50"/>
        <v>0</v>
      </c>
      <c r="R35" s="562">
        <f t="shared" si="3"/>
        <v>685715</v>
      </c>
      <c r="S35" s="562">
        <f t="shared" ref="S35:U35" si="51">SUM(S36:S37)</f>
        <v>727953</v>
      </c>
      <c r="T35" s="562">
        <f t="shared" si="51"/>
        <v>29435</v>
      </c>
      <c r="U35" s="562">
        <f t="shared" si="51"/>
        <v>3277</v>
      </c>
      <c r="V35" s="562">
        <f t="shared" si="4"/>
        <v>760665</v>
      </c>
      <c r="W35" s="562">
        <f t="shared" ref="W35:Y35" si="52">SUM(W36:W37)</f>
        <v>795318</v>
      </c>
      <c r="X35" s="562">
        <f t="shared" si="52"/>
        <v>29435</v>
      </c>
      <c r="Y35" s="562">
        <f t="shared" si="52"/>
        <v>3277</v>
      </c>
      <c r="Z35" s="562">
        <f t="shared" si="5"/>
        <v>828030</v>
      </c>
    </row>
    <row r="36" spans="1:26" x14ac:dyDescent="0.25">
      <c r="A36" s="522"/>
      <c r="B36" s="272" t="s">
        <v>331</v>
      </c>
      <c r="C36" s="546">
        <v>0</v>
      </c>
      <c r="D36" s="546">
        <v>0</v>
      </c>
      <c r="E36" s="546">
        <v>0</v>
      </c>
      <c r="F36" s="546">
        <f t="shared" si="0"/>
        <v>0</v>
      </c>
      <c r="G36" s="546">
        <v>6838</v>
      </c>
      <c r="H36" s="546">
        <v>0</v>
      </c>
      <c r="I36" s="546">
        <v>0</v>
      </c>
      <c r="J36" s="546">
        <f t="shared" si="1"/>
        <v>6838</v>
      </c>
      <c r="K36" s="546">
        <v>6137</v>
      </c>
      <c r="L36" s="546">
        <v>0</v>
      </c>
      <c r="M36" s="546">
        <v>0</v>
      </c>
      <c r="N36" s="546">
        <f t="shared" si="2"/>
        <v>6137</v>
      </c>
      <c r="O36" s="546">
        <v>6838</v>
      </c>
      <c r="P36" s="546">
        <v>0</v>
      </c>
      <c r="Q36" s="546">
        <v>0</v>
      </c>
      <c r="R36" s="546">
        <f t="shared" si="3"/>
        <v>6838</v>
      </c>
      <c r="S36" s="546">
        <v>0</v>
      </c>
      <c r="T36" s="546">
        <v>0</v>
      </c>
      <c r="U36" s="546">
        <v>0</v>
      </c>
      <c r="V36" s="546">
        <f t="shared" si="4"/>
        <v>0</v>
      </c>
      <c r="W36" s="546">
        <v>765</v>
      </c>
      <c r="X36" s="546">
        <v>0</v>
      </c>
      <c r="Y36" s="546">
        <v>0</v>
      </c>
      <c r="Z36" s="546">
        <f t="shared" si="5"/>
        <v>765</v>
      </c>
    </row>
    <row r="37" spans="1:26" x14ac:dyDescent="0.25">
      <c r="A37" s="522"/>
      <c r="B37" s="272" t="s">
        <v>332</v>
      </c>
      <c r="C37" s="546">
        <f t="shared" ref="C37:E37" si="53">C39+C45-C33-C36</f>
        <v>690316</v>
      </c>
      <c r="D37" s="546">
        <f t="shared" si="53"/>
        <v>29094</v>
      </c>
      <c r="E37" s="546">
        <f t="shared" si="53"/>
        <v>4290</v>
      </c>
      <c r="F37" s="546">
        <f t="shared" si="0"/>
        <v>723700</v>
      </c>
      <c r="G37" s="546">
        <f t="shared" ref="G37:I37" si="54">G39+G45-G33-G36</f>
        <v>720316</v>
      </c>
      <c r="H37" s="546">
        <f t="shared" si="54"/>
        <v>29094</v>
      </c>
      <c r="I37" s="546">
        <f t="shared" si="54"/>
        <v>4290</v>
      </c>
      <c r="J37" s="546">
        <f t="shared" si="1"/>
        <v>753700</v>
      </c>
      <c r="K37" s="546">
        <f t="shared" ref="K37:M37" si="55">K39+K45-K33-K36</f>
        <v>725023</v>
      </c>
      <c r="L37" s="546">
        <f t="shared" si="55"/>
        <v>29094</v>
      </c>
      <c r="M37" s="546">
        <f t="shared" si="55"/>
        <v>4290</v>
      </c>
      <c r="N37" s="546">
        <f t="shared" si="2"/>
        <v>758407</v>
      </c>
      <c r="O37" s="546">
        <v>678877</v>
      </c>
      <c r="P37" s="546"/>
      <c r="Q37" s="546"/>
      <c r="R37" s="546">
        <f t="shared" si="3"/>
        <v>678877</v>
      </c>
      <c r="S37" s="546">
        <f t="shared" ref="S37:U37" si="56">S39+S45-S33-S36</f>
        <v>727953</v>
      </c>
      <c r="T37" s="546">
        <f t="shared" si="56"/>
        <v>29435</v>
      </c>
      <c r="U37" s="546">
        <f t="shared" si="56"/>
        <v>3277</v>
      </c>
      <c r="V37" s="546">
        <f t="shared" si="4"/>
        <v>760665</v>
      </c>
      <c r="W37" s="546">
        <f t="shared" ref="W37:Y37" si="57">W39+W45-W33-W36</f>
        <v>794553</v>
      </c>
      <c r="X37" s="546">
        <f t="shared" si="57"/>
        <v>29435</v>
      </c>
      <c r="Y37" s="546">
        <f t="shared" si="57"/>
        <v>3277</v>
      </c>
      <c r="Z37" s="546">
        <f t="shared" si="5"/>
        <v>827265</v>
      </c>
    </row>
    <row r="38" spans="1:26" x14ac:dyDescent="0.25">
      <c r="A38" s="564"/>
      <c r="B38" s="565" t="s">
        <v>333</v>
      </c>
      <c r="C38" s="373">
        <f t="shared" ref="C38:E38" si="58">C34+C25+C8</f>
        <v>692586</v>
      </c>
      <c r="D38" s="373">
        <f t="shared" si="58"/>
        <v>29094</v>
      </c>
      <c r="E38" s="373">
        <f t="shared" si="58"/>
        <v>4290</v>
      </c>
      <c r="F38" s="373">
        <f t="shared" si="0"/>
        <v>725970</v>
      </c>
      <c r="G38" s="373">
        <f t="shared" ref="G38:I38" si="59">G34+G25+G8</f>
        <v>733430</v>
      </c>
      <c r="H38" s="373">
        <f t="shared" si="59"/>
        <v>29094</v>
      </c>
      <c r="I38" s="373">
        <f t="shared" si="59"/>
        <v>4290</v>
      </c>
      <c r="J38" s="373">
        <f t="shared" si="1"/>
        <v>766814</v>
      </c>
      <c r="K38" s="373">
        <f t="shared" ref="K38:M38" si="60">K34+K25+K8</f>
        <v>733430</v>
      </c>
      <c r="L38" s="373">
        <f t="shared" si="60"/>
        <v>29094</v>
      </c>
      <c r="M38" s="373">
        <f t="shared" si="60"/>
        <v>4290</v>
      </c>
      <c r="N38" s="373">
        <f t="shared" si="2"/>
        <v>766814</v>
      </c>
      <c r="O38" s="373">
        <f t="shared" ref="O38:Q38" si="61">O34+O25+O8</f>
        <v>692201</v>
      </c>
      <c r="P38" s="373">
        <f t="shared" si="61"/>
        <v>0</v>
      </c>
      <c r="Q38" s="373">
        <f t="shared" si="61"/>
        <v>0</v>
      </c>
      <c r="R38" s="373">
        <f t="shared" si="3"/>
        <v>692201</v>
      </c>
      <c r="S38" s="373">
        <f t="shared" ref="S38:U38" si="62">S34+S25+S8</f>
        <v>730223</v>
      </c>
      <c r="T38" s="373">
        <f t="shared" si="62"/>
        <v>29435</v>
      </c>
      <c r="U38" s="373">
        <f t="shared" si="62"/>
        <v>3277</v>
      </c>
      <c r="V38" s="373">
        <f t="shared" si="4"/>
        <v>762935</v>
      </c>
      <c r="W38" s="373">
        <f t="shared" ref="W38:Y38" si="63">W34+W25+W8</f>
        <v>801449</v>
      </c>
      <c r="X38" s="373">
        <f t="shared" si="63"/>
        <v>29435</v>
      </c>
      <c r="Y38" s="373">
        <f t="shared" si="63"/>
        <v>3277</v>
      </c>
      <c r="Z38" s="373">
        <f t="shared" si="5"/>
        <v>834161</v>
      </c>
    </row>
    <row r="39" spans="1:26" x14ac:dyDescent="0.25">
      <c r="A39" s="557" t="s">
        <v>309</v>
      </c>
      <c r="B39" s="558" t="s">
        <v>334</v>
      </c>
      <c r="C39" s="559">
        <f t="shared" ref="C39:E39" si="64">SUM(C40:C44)</f>
        <v>664646</v>
      </c>
      <c r="D39" s="559">
        <f t="shared" si="64"/>
        <v>29049</v>
      </c>
      <c r="E39" s="559">
        <f t="shared" si="64"/>
        <v>4290</v>
      </c>
      <c r="F39" s="559">
        <f t="shared" si="0"/>
        <v>697985</v>
      </c>
      <c r="G39" s="559">
        <f t="shared" ref="G39:I39" si="65">SUM(G40:G44)</f>
        <v>705490</v>
      </c>
      <c r="H39" s="559">
        <f t="shared" si="65"/>
        <v>29049</v>
      </c>
      <c r="I39" s="559">
        <f t="shared" si="65"/>
        <v>4290</v>
      </c>
      <c r="J39" s="559">
        <f t="shared" si="1"/>
        <v>738829</v>
      </c>
      <c r="K39" s="559">
        <f t="shared" ref="K39:M39" si="66">SUM(K40:K44)</f>
        <v>705490</v>
      </c>
      <c r="L39" s="559">
        <f t="shared" si="66"/>
        <v>29049</v>
      </c>
      <c r="M39" s="559">
        <f t="shared" si="66"/>
        <v>4290</v>
      </c>
      <c r="N39" s="559">
        <f t="shared" si="2"/>
        <v>738829</v>
      </c>
      <c r="O39" s="559">
        <f t="shared" ref="O39:Q39" si="67">SUM(O40:O44)</f>
        <v>642443</v>
      </c>
      <c r="P39" s="559">
        <f t="shared" si="67"/>
        <v>21078</v>
      </c>
      <c r="Q39" s="559">
        <f t="shared" si="67"/>
        <v>4037</v>
      </c>
      <c r="R39" s="559">
        <f t="shared" si="3"/>
        <v>667558</v>
      </c>
      <c r="S39" s="559">
        <f t="shared" ref="S39:U39" si="68">SUM(S40:S44)</f>
        <v>713677</v>
      </c>
      <c r="T39" s="559">
        <f t="shared" si="68"/>
        <v>29435</v>
      </c>
      <c r="U39" s="559">
        <f t="shared" si="68"/>
        <v>3277</v>
      </c>
      <c r="V39" s="559">
        <f t="shared" si="4"/>
        <v>746389</v>
      </c>
      <c r="W39" s="559">
        <f t="shared" ref="W39:Y39" si="69">SUM(W40:W44)</f>
        <v>772771</v>
      </c>
      <c r="X39" s="559">
        <f t="shared" si="69"/>
        <v>29435</v>
      </c>
      <c r="Y39" s="559">
        <f t="shared" si="69"/>
        <v>3277</v>
      </c>
      <c r="Z39" s="559">
        <f t="shared" si="5"/>
        <v>805483</v>
      </c>
    </row>
    <row r="40" spans="1:26" x14ac:dyDescent="0.25">
      <c r="A40" s="560" t="s">
        <v>311</v>
      </c>
      <c r="B40" s="561" t="s">
        <v>286</v>
      </c>
      <c r="C40" s="562">
        <f>'3B PH fel'!F7+'3B PH fel'!F13</f>
        <v>436052</v>
      </c>
      <c r="D40" s="562">
        <f>'3B PH fel'!F18+'3B PH fel'!F23</f>
        <v>21636</v>
      </c>
      <c r="E40" s="562">
        <f>'3B PH fel'!F31</f>
        <v>40</v>
      </c>
      <c r="F40" s="562">
        <f t="shared" si="0"/>
        <v>457728</v>
      </c>
      <c r="G40" s="562">
        <f>'3B PH fel'!J7+'3B PH fel'!J13</f>
        <v>464242</v>
      </c>
      <c r="H40" s="562">
        <f>'3B PH fel'!J18+'3B PH fel'!J23</f>
        <v>21636</v>
      </c>
      <c r="I40" s="562">
        <f>'3B PH fel'!J31</f>
        <v>40</v>
      </c>
      <c r="J40" s="562">
        <f t="shared" si="1"/>
        <v>485918</v>
      </c>
      <c r="K40" s="562">
        <f>'3B PH fel'!N7+'3B PH fel'!N13</f>
        <v>464242</v>
      </c>
      <c r="L40" s="562">
        <f>'3B PH fel'!N18+'3B PH fel'!N23</f>
        <v>21636</v>
      </c>
      <c r="M40" s="562">
        <f>'3B PH fel'!N31</f>
        <v>40</v>
      </c>
      <c r="N40" s="562">
        <f t="shared" si="2"/>
        <v>485918</v>
      </c>
      <c r="O40" s="562">
        <f>'3B PH fel'!R7+'3B PH fel'!R13</f>
        <v>423978</v>
      </c>
      <c r="P40" s="562">
        <f>'3B PH fel'!R18+'3B PH fel'!R23</f>
        <v>15597</v>
      </c>
      <c r="Q40" s="562">
        <f>'3B PH fel'!R31</f>
        <v>160</v>
      </c>
      <c r="R40" s="562">
        <f t="shared" si="3"/>
        <v>439735</v>
      </c>
      <c r="S40" s="562">
        <f>'3B PH fel'!V7+'3B PH fel'!V13</f>
        <v>449932</v>
      </c>
      <c r="T40" s="562">
        <f>'3B PH fel'!V18+'3B PH fel'!V23</f>
        <v>22112</v>
      </c>
      <c r="U40" s="562">
        <f>'3B PH fel'!V31</f>
        <v>40</v>
      </c>
      <c r="V40" s="562">
        <f t="shared" si="4"/>
        <v>472084</v>
      </c>
      <c r="W40" s="562">
        <f>'3B PH fel'!Z7+'3B PH fel'!Z13</f>
        <v>497977</v>
      </c>
      <c r="X40" s="562">
        <f>'3B PH fel'!Z18+'3B PH fel'!Z23</f>
        <v>22112</v>
      </c>
      <c r="Y40" s="562">
        <f>'3B PH fel'!Z31</f>
        <v>40</v>
      </c>
      <c r="Z40" s="562">
        <f t="shared" si="5"/>
        <v>520129</v>
      </c>
    </row>
    <row r="41" spans="1:26" ht="17.7" customHeight="1" x14ac:dyDescent="0.25">
      <c r="A41" s="560" t="s">
        <v>322</v>
      </c>
      <c r="B41" s="561" t="s">
        <v>335</v>
      </c>
      <c r="C41" s="562">
        <f>'3B PH fel'!F8+'3B PH fel'!F14</f>
        <v>89866</v>
      </c>
      <c r="D41" s="562">
        <f>'3B PH fel'!F19+'3B PH fel'!F24</f>
        <v>3928</v>
      </c>
      <c r="E41" s="562">
        <f>'3B PH fel'!F32</f>
        <v>16</v>
      </c>
      <c r="F41" s="562">
        <f t="shared" si="0"/>
        <v>93810</v>
      </c>
      <c r="G41" s="562">
        <f>'3B PH fel'!J8+'3B PH fel'!J14</f>
        <v>95312</v>
      </c>
      <c r="H41" s="562">
        <f>'3B PH fel'!J19+'3B PH fel'!J24</f>
        <v>3928</v>
      </c>
      <c r="I41" s="562">
        <f>'3B PH fel'!J32</f>
        <v>16</v>
      </c>
      <c r="J41" s="562">
        <f t="shared" si="1"/>
        <v>99256</v>
      </c>
      <c r="K41" s="562">
        <f>'3B PH fel'!N8+'3B PH fel'!N14</f>
        <v>95312</v>
      </c>
      <c r="L41" s="562">
        <f>'3B PH fel'!N19+'3B PH fel'!N24</f>
        <v>3928</v>
      </c>
      <c r="M41" s="562">
        <f>'3B PH fel'!N32</f>
        <v>16</v>
      </c>
      <c r="N41" s="562">
        <f t="shared" si="2"/>
        <v>99256</v>
      </c>
      <c r="O41" s="562">
        <f>'3B PH fel'!R8+'3B PH fel'!R14</f>
        <v>90086</v>
      </c>
      <c r="P41" s="562">
        <f>'3B PH fel'!R19+'3B PH fel'!R24</f>
        <v>3099</v>
      </c>
      <c r="Q41" s="562">
        <f>'3B PH fel'!R32</f>
        <v>0</v>
      </c>
      <c r="R41" s="562">
        <f t="shared" si="3"/>
        <v>93185</v>
      </c>
      <c r="S41" s="562">
        <f>'3B PH fel'!V8+'3B PH fel'!V14</f>
        <v>90021</v>
      </c>
      <c r="T41" s="562">
        <f>'3B PH fel'!V19+'3B PH fel'!V24</f>
        <v>4202</v>
      </c>
      <c r="U41" s="562">
        <f>'3B PH fel'!V32</f>
        <v>7</v>
      </c>
      <c r="V41" s="562">
        <f t="shared" si="4"/>
        <v>94230</v>
      </c>
      <c r="W41" s="562">
        <f>'3B PH fel'!Z8+'3B PH fel'!Z14</f>
        <v>99444</v>
      </c>
      <c r="X41" s="562">
        <f>'3B PH fel'!Z19+'3B PH fel'!Z24</f>
        <v>4202</v>
      </c>
      <c r="Y41" s="562">
        <f>'3B PH fel'!Z32</f>
        <v>7</v>
      </c>
      <c r="Z41" s="562">
        <f t="shared" si="5"/>
        <v>103653</v>
      </c>
    </row>
    <row r="42" spans="1:26" x14ac:dyDescent="0.25">
      <c r="A42" s="560" t="s">
        <v>315</v>
      </c>
      <c r="B42" s="561" t="s">
        <v>292</v>
      </c>
      <c r="C42" s="562">
        <f>'3B PH fel'!F9+'3B PH fel'!F15</f>
        <v>138728</v>
      </c>
      <c r="D42" s="562">
        <f>'3B PH fel'!F20+'3B PH fel'!F25</f>
        <v>3485</v>
      </c>
      <c r="E42" s="562">
        <f>'3B PH fel'!F33</f>
        <v>4234</v>
      </c>
      <c r="F42" s="562">
        <f t="shared" si="0"/>
        <v>146447</v>
      </c>
      <c r="G42" s="562">
        <f>'3B PH fel'!J9+'3B PH fel'!J15</f>
        <v>145936</v>
      </c>
      <c r="H42" s="562">
        <f>'3B PH fel'!J20+'3B PH fel'!J25</f>
        <v>3485</v>
      </c>
      <c r="I42" s="562">
        <f>'3B PH fel'!J33</f>
        <v>4234</v>
      </c>
      <c r="J42" s="562">
        <f t="shared" si="1"/>
        <v>153655</v>
      </c>
      <c r="K42" s="562">
        <f>'3B PH fel'!N9+'3B PH fel'!N15</f>
        <v>145936</v>
      </c>
      <c r="L42" s="562">
        <f>'3B PH fel'!N20+'3B PH fel'!N25</f>
        <v>3485</v>
      </c>
      <c r="M42" s="562">
        <f>'3B PH fel'!N33</f>
        <v>4234</v>
      </c>
      <c r="N42" s="562">
        <f t="shared" si="2"/>
        <v>153655</v>
      </c>
      <c r="O42" s="562">
        <f>'3B PH fel'!R9+'3B PH fel'!R15</f>
        <v>128379</v>
      </c>
      <c r="P42" s="562">
        <f>'3B PH fel'!R20+'3B PH fel'!R25</f>
        <v>2382</v>
      </c>
      <c r="Q42" s="562">
        <f>'3B PH fel'!R33</f>
        <v>3877</v>
      </c>
      <c r="R42" s="562">
        <f t="shared" si="3"/>
        <v>134638</v>
      </c>
      <c r="S42" s="562">
        <f>'3B PH fel'!V9+'3B PH fel'!V15</f>
        <v>173724</v>
      </c>
      <c r="T42" s="562">
        <f>'3B PH fel'!V20+'3B PH fel'!V25</f>
        <v>3121</v>
      </c>
      <c r="U42" s="562">
        <f>'3B PH fel'!V33</f>
        <v>3230</v>
      </c>
      <c r="V42" s="562">
        <f t="shared" si="4"/>
        <v>180075</v>
      </c>
      <c r="W42" s="562">
        <f>'3B PH fel'!Z9+'3B PH fel'!Z15</f>
        <v>175350</v>
      </c>
      <c r="X42" s="562">
        <f>'3B PH fel'!Z20+'3B PH fel'!Z25</f>
        <v>3121</v>
      </c>
      <c r="Y42" s="562">
        <f>'3B PH fel'!Z33</f>
        <v>3230</v>
      </c>
      <c r="Z42" s="562">
        <f t="shared" si="5"/>
        <v>181701</v>
      </c>
    </row>
    <row r="43" spans="1:26" x14ac:dyDescent="0.25">
      <c r="A43" s="560" t="s">
        <v>336</v>
      </c>
      <c r="B43" s="561" t="s">
        <v>337</v>
      </c>
      <c r="C43" s="562">
        <f>'3B PH fel'!C40</f>
        <v>0</v>
      </c>
      <c r="D43" s="562">
        <f>'3B PH fel'!D40</f>
        <v>0</v>
      </c>
      <c r="E43" s="562">
        <f>'3B PH fel'!E40</f>
        <v>0</v>
      </c>
      <c r="F43" s="562">
        <f t="shared" si="0"/>
        <v>0</v>
      </c>
      <c r="G43" s="562">
        <f>'3B PH fel'!G40</f>
        <v>0</v>
      </c>
      <c r="H43" s="562">
        <f>'3B PH fel'!H40</f>
        <v>0</v>
      </c>
      <c r="I43" s="562">
        <f>'3B PH fel'!I40</f>
        <v>0</v>
      </c>
      <c r="J43" s="562">
        <f t="shared" si="1"/>
        <v>0</v>
      </c>
      <c r="K43" s="562">
        <f>'3B PH fel'!K40</f>
        <v>0</v>
      </c>
      <c r="L43" s="562">
        <f>'3B PH fel'!L40</f>
        <v>0</v>
      </c>
      <c r="M43" s="562">
        <f>'3B PH fel'!M40</f>
        <v>0</v>
      </c>
      <c r="N43" s="562">
        <f t="shared" si="2"/>
        <v>0</v>
      </c>
      <c r="O43" s="562">
        <f>'3B PH fel'!O40</f>
        <v>0</v>
      </c>
      <c r="P43" s="562">
        <f>'3B PH fel'!P40</f>
        <v>0</v>
      </c>
      <c r="Q43" s="562">
        <f>'3B PH fel'!Q40</f>
        <v>0</v>
      </c>
      <c r="R43" s="562">
        <f t="shared" si="3"/>
        <v>0</v>
      </c>
      <c r="S43" s="562">
        <f>'3B PH fel'!S40</f>
        <v>0</v>
      </c>
      <c r="T43" s="562">
        <f>'3B PH fel'!T40</f>
        <v>0</v>
      </c>
      <c r="U43" s="562">
        <f>'3B PH fel'!U40</f>
        <v>0</v>
      </c>
      <c r="V43" s="562">
        <f t="shared" si="4"/>
        <v>0</v>
      </c>
      <c r="W43" s="562">
        <f>'3B PH fel'!W40</f>
        <v>0</v>
      </c>
      <c r="X43" s="562">
        <f>'3B PH fel'!X40</f>
        <v>0</v>
      </c>
      <c r="Y43" s="562">
        <f>'3B PH fel'!Y40</f>
        <v>0</v>
      </c>
      <c r="Z43" s="562">
        <f t="shared" si="5"/>
        <v>0</v>
      </c>
    </row>
    <row r="44" spans="1:26" x14ac:dyDescent="0.25">
      <c r="A44" s="560" t="s">
        <v>338</v>
      </c>
      <c r="B44" s="561" t="s">
        <v>339</v>
      </c>
      <c r="C44" s="562">
        <f>'3B PH fel'!C41</f>
        <v>0</v>
      </c>
      <c r="D44" s="562">
        <f>'3B PH fel'!D41</f>
        <v>0</v>
      </c>
      <c r="E44" s="562">
        <f>'3B PH fel'!E41</f>
        <v>0</v>
      </c>
      <c r="F44" s="562">
        <f t="shared" si="0"/>
        <v>0</v>
      </c>
      <c r="G44" s="562">
        <f>'3B PH fel'!G41</f>
        <v>0</v>
      </c>
      <c r="H44" s="562">
        <f>'3B PH fel'!H41</f>
        <v>0</v>
      </c>
      <c r="I44" s="562">
        <f>'3B PH fel'!I41</f>
        <v>0</v>
      </c>
      <c r="J44" s="562">
        <f t="shared" si="1"/>
        <v>0</v>
      </c>
      <c r="K44" s="562">
        <f>'3B PH fel'!K41</f>
        <v>0</v>
      </c>
      <c r="L44" s="562">
        <f>'3B PH fel'!L41</f>
        <v>0</v>
      </c>
      <c r="M44" s="562">
        <f>'3B PH fel'!M41</f>
        <v>0</v>
      </c>
      <c r="N44" s="562">
        <f t="shared" si="2"/>
        <v>0</v>
      </c>
      <c r="O44" s="562">
        <f>'3B PH fel'!O41</f>
        <v>0</v>
      </c>
      <c r="P44" s="562">
        <f>'3B PH fel'!P41</f>
        <v>0</v>
      </c>
      <c r="Q44" s="562">
        <f>'3B PH fel'!Q41</f>
        <v>0</v>
      </c>
      <c r="R44" s="562">
        <f t="shared" si="3"/>
        <v>0</v>
      </c>
      <c r="S44" s="562">
        <f>'3B PH fel'!S41</f>
        <v>0</v>
      </c>
      <c r="T44" s="562">
        <f>'3B PH fel'!T41</f>
        <v>0</v>
      </c>
      <c r="U44" s="562">
        <f>'3B PH fel'!U41</f>
        <v>0</v>
      </c>
      <c r="V44" s="562">
        <f t="shared" si="4"/>
        <v>0</v>
      </c>
      <c r="W44" s="562">
        <f>'3B PH fel'!W41</f>
        <v>0</v>
      </c>
      <c r="X44" s="562">
        <f>'3B PH fel'!X41</f>
        <v>0</v>
      </c>
      <c r="Y44" s="562">
        <f>'3B PH fel'!Y41</f>
        <v>0</v>
      </c>
      <c r="Z44" s="562">
        <f t="shared" si="5"/>
        <v>0</v>
      </c>
    </row>
    <row r="45" spans="1:26" x14ac:dyDescent="0.25">
      <c r="A45" s="557" t="s">
        <v>318</v>
      </c>
      <c r="B45" s="558" t="s">
        <v>340</v>
      </c>
      <c r="C45" s="559">
        <f t="shared" ref="C45:E45" si="70">SUM(C46:C48)</f>
        <v>27940</v>
      </c>
      <c r="D45" s="559">
        <f t="shared" si="70"/>
        <v>45</v>
      </c>
      <c r="E45" s="559">
        <f t="shared" si="70"/>
        <v>0</v>
      </c>
      <c r="F45" s="559">
        <f t="shared" si="0"/>
        <v>27985</v>
      </c>
      <c r="G45" s="559">
        <f t="shared" ref="G45:I45" si="71">SUM(G46:G48)</f>
        <v>27940</v>
      </c>
      <c r="H45" s="559">
        <f t="shared" si="71"/>
        <v>45</v>
      </c>
      <c r="I45" s="559">
        <f t="shared" si="71"/>
        <v>0</v>
      </c>
      <c r="J45" s="559">
        <f t="shared" si="1"/>
        <v>27985</v>
      </c>
      <c r="K45" s="559">
        <f t="shared" ref="K45:M45" si="72">SUM(K46:K48)</f>
        <v>27940</v>
      </c>
      <c r="L45" s="559">
        <f t="shared" si="72"/>
        <v>45</v>
      </c>
      <c r="M45" s="559">
        <f t="shared" si="72"/>
        <v>0</v>
      </c>
      <c r="N45" s="559">
        <f t="shared" si="2"/>
        <v>27985</v>
      </c>
      <c r="O45" s="559">
        <f t="shared" ref="O45:Q45" si="73">SUM(O46:O48)</f>
        <v>23217</v>
      </c>
      <c r="P45" s="559">
        <f t="shared" si="73"/>
        <v>295</v>
      </c>
      <c r="Q45" s="559">
        <f t="shared" si="73"/>
        <v>0</v>
      </c>
      <c r="R45" s="559">
        <f t="shared" si="3"/>
        <v>23512</v>
      </c>
      <c r="S45" s="559">
        <f t="shared" ref="S45:U45" si="74">SUM(S46:S48)</f>
        <v>16546</v>
      </c>
      <c r="T45" s="559">
        <f t="shared" si="74"/>
        <v>0</v>
      </c>
      <c r="U45" s="559">
        <f t="shared" si="74"/>
        <v>0</v>
      </c>
      <c r="V45" s="559">
        <f t="shared" si="4"/>
        <v>16546</v>
      </c>
      <c r="W45" s="559">
        <f t="shared" ref="W45:Y45" si="75">SUM(W46:W48)</f>
        <v>28678</v>
      </c>
      <c r="X45" s="559">
        <f t="shared" si="75"/>
        <v>0</v>
      </c>
      <c r="Y45" s="559">
        <f t="shared" si="75"/>
        <v>0</v>
      </c>
      <c r="Z45" s="559">
        <f t="shared" si="5"/>
        <v>28678</v>
      </c>
    </row>
    <row r="46" spans="1:26" x14ac:dyDescent="0.25">
      <c r="A46" s="560" t="s">
        <v>311</v>
      </c>
      <c r="B46" s="561" t="s">
        <v>341</v>
      </c>
      <c r="C46" s="562">
        <f>'3B PH fel'!F11</f>
        <v>27940</v>
      </c>
      <c r="D46" s="562">
        <f>'3B PH fel'!F21+'3B PH fel'!F26</f>
        <v>45</v>
      </c>
      <c r="E46" s="562">
        <f>'3B PH fel'!E42</f>
        <v>0</v>
      </c>
      <c r="F46" s="562">
        <f t="shared" si="0"/>
        <v>27985</v>
      </c>
      <c r="G46" s="562">
        <f>'3B PH fel'!J11</f>
        <v>27940</v>
      </c>
      <c r="H46" s="562">
        <f>'3B PH fel'!J21+'3B PH fel'!J26</f>
        <v>45</v>
      </c>
      <c r="I46" s="562">
        <f>'3B PH fel'!I42</f>
        <v>0</v>
      </c>
      <c r="J46" s="562">
        <f t="shared" si="1"/>
        <v>27985</v>
      </c>
      <c r="K46" s="562">
        <f>'3B PH fel'!N11</f>
        <v>27940</v>
      </c>
      <c r="L46" s="562">
        <f>'3B PH fel'!N21+'3B PH fel'!N26</f>
        <v>45</v>
      </c>
      <c r="M46" s="562">
        <f>'3B PH fel'!M42</f>
        <v>0</v>
      </c>
      <c r="N46" s="562">
        <f t="shared" si="2"/>
        <v>27985</v>
      </c>
      <c r="O46" s="562">
        <f>'3B PH fel'!R11</f>
        <v>23217</v>
      </c>
      <c r="P46" s="562">
        <f>'3B PH fel'!R21+'3B PH fel'!R26</f>
        <v>295</v>
      </c>
      <c r="Q46" s="562">
        <f>'3B PH fel'!Q42</f>
        <v>0</v>
      </c>
      <c r="R46" s="562">
        <f t="shared" si="3"/>
        <v>23512</v>
      </c>
      <c r="S46" s="562">
        <f>'3B PH fel'!V11</f>
        <v>16546</v>
      </c>
      <c r="T46" s="562">
        <f>'3B PH fel'!V21+'3B PH fel'!V26</f>
        <v>0</v>
      </c>
      <c r="U46" s="562">
        <f>'3B PH fel'!U42</f>
        <v>0</v>
      </c>
      <c r="V46" s="562">
        <f t="shared" si="4"/>
        <v>16546</v>
      </c>
      <c r="W46" s="562">
        <f>'3B PH fel'!Z11</f>
        <v>28678</v>
      </c>
      <c r="X46" s="562">
        <f>'3B PH fel'!Z21+'3B PH fel'!Z26</f>
        <v>0</v>
      </c>
      <c r="Y46" s="562">
        <f>'3B PH fel'!Y42</f>
        <v>0</v>
      </c>
      <c r="Z46" s="562">
        <f t="shared" si="5"/>
        <v>28678</v>
      </c>
    </row>
    <row r="47" spans="1:26" x14ac:dyDescent="0.25">
      <c r="A47" s="560" t="s">
        <v>322</v>
      </c>
      <c r="B47" s="561" t="s">
        <v>342</v>
      </c>
      <c r="C47" s="562">
        <f>'3B PH fel'!C43</f>
        <v>0</v>
      </c>
      <c r="D47" s="562">
        <f>'3B PH fel'!D43</f>
        <v>0</v>
      </c>
      <c r="E47" s="562">
        <f>'3B PH fel'!E43</f>
        <v>0</v>
      </c>
      <c r="F47" s="562">
        <f t="shared" si="0"/>
        <v>0</v>
      </c>
      <c r="G47" s="562">
        <f>'3B PH fel'!G43</f>
        <v>0</v>
      </c>
      <c r="H47" s="562">
        <f>'3B PH fel'!H43</f>
        <v>0</v>
      </c>
      <c r="I47" s="562">
        <f>'3B PH fel'!I43</f>
        <v>0</v>
      </c>
      <c r="J47" s="562">
        <f t="shared" si="1"/>
        <v>0</v>
      </c>
      <c r="K47" s="562">
        <f>'3B PH fel'!K43</f>
        <v>0</v>
      </c>
      <c r="L47" s="562">
        <f>'3B PH fel'!L43</f>
        <v>0</v>
      </c>
      <c r="M47" s="562">
        <f>'3B PH fel'!M43</f>
        <v>0</v>
      </c>
      <c r="N47" s="562">
        <f t="shared" si="2"/>
        <v>0</v>
      </c>
      <c r="O47" s="562">
        <f>'3B PH fel'!O43</f>
        <v>0</v>
      </c>
      <c r="P47" s="562">
        <f>'3B PH fel'!P43</f>
        <v>0</v>
      </c>
      <c r="Q47" s="562">
        <f>'3B PH fel'!Q43</f>
        <v>0</v>
      </c>
      <c r="R47" s="562">
        <f t="shared" si="3"/>
        <v>0</v>
      </c>
      <c r="S47" s="562">
        <f>'3B PH fel'!S43</f>
        <v>0</v>
      </c>
      <c r="T47" s="562">
        <f>'3B PH fel'!T43</f>
        <v>0</v>
      </c>
      <c r="U47" s="562">
        <f>'3B PH fel'!U43</f>
        <v>0</v>
      </c>
      <c r="V47" s="562">
        <f t="shared" si="4"/>
        <v>0</v>
      </c>
      <c r="W47" s="562">
        <f>'3B PH fel'!W43</f>
        <v>0</v>
      </c>
      <c r="X47" s="562">
        <f>'3B PH fel'!X43</f>
        <v>0</v>
      </c>
      <c r="Y47" s="562">
        <f>'3B PH fel'!Y43</f>
        <v>0</v>
      </c>
      <c r="Z47" s="562">
        <f t="shared" si="5"/>
        <v>0</v>
      </c>
    </row>
    <row r="48" spans="1:26" x14ac:dyDescent="0.25">
      <c r="A48" s="560" t="s">
        <v>315</v>
      </c>
      <c r="B48" s="561" t="s">
        <v>343</v>
      </c>
      <c r="C48" s="562">
        <f>'3B PH fel'!C44</f>
        <v>0</v>
      </c>
      <c r="D48" s="562">
        <f>'3B PH fel'!D44</f>
        <v>0</v>
      </c>
      <c r="E48" s="562">
        <f>'3B PH fel'!E44</f>
        <v>0</v>
      </c>
      <c r="F48" s="562">
        <f t="shared" si="0"/>
        <v>0</v>
      </c>
      <c r="G48" s="562">
        <f>'3B PH fel'!G44</f>
        <v>0</v>
      </c>
      <c r="H48" s="562">
        <f>'3B PH fel'!H44</f>
        <v>0</v>
      </c>
      <c r="I48" s="562">
        <f>'3B PH fel'!I44</f>
        <v>0</v>
      </c>
      <c r="J48" s="562">
        <f t="shared" si="1"/>
        <v>0</v>
      </c>
      <c r="K48" s="562">
        <f>'3B PH fel'!K44</f>
        <v>0</v>
      </c>
      <c r="L48" s="562">
        <f>'3B PH fel'!L44</f>
        <v>0</v>
      </c>
      <c r="M48" s="562">
        <f>'3B PH fel'!M44</f>
        <v>0</v>
      </c>
      <c r="N48" s="562">
        <f t="shared" si="2"/>
        <v>0</v>
      </c>
      <c r="O48" s="562">
        <f>'3B PH fel'!O44</f>
        <v>0</v>
      </c>
      <c r="P48" s="562">
        <f>'3B PH fel'!P44</f>
        <v>0</v>
      </c>
      <c r="Q48" s="562">
        <f>'3B PH fel'!Q44</f>
        <v>0</v>
      </c>
      <c r="R48" s="562">
        <f t="shared" si="3"/>
        <v>0</v>
      </c>
      <c r="S48" s="562">
        <f>'3B PH fel'!S44</f>
        <v>0</v>
      </c>
      <c r="T48" s="562">
        <f>'3B PH fel'!T44</f>
        <v>0</v>
      </c>
      <c r="U48" s="562">
        <f>'3B PH fel'!U44</f>
        <v>0</v>
      </c>
      <c r="V48" s="562">
        <f t="shared" si="4"/>
        <v>0</v>
      </c>
      <c r="W48" s="562">
        <f>'3B PH fel'!W44</f>
        <v>0</v>
      </c>
      <c r="X48" s="562">
        <f>'3B PH fel'!X44</f>
        <v>0</v>
      </c>
      <c r="Y48" s="562">
        <f>'3B PH fel'!Y44</f>
        <v>0</v>
      </c>
      <c r="Z48" s="562">
        <f t="shared" si="5"/>
        <v>0</v>
      </c>
    </row>
    <row r="49" spans="1:26" x14ac:dyDescent="0.25">
      <c r="A49" s="564"/>
      <c r="B49" s="565" t="s">
        <v>344</v>
      </c>
      <c r="C49" s="373">
        <f t="shared" ref="C49:E49" si="76">C39+C45</f>
        <v>692586</v>
      </c>
      <c r="D49" s="373">
        <f t="shared" si="76"/>
        <v>29094</v>
      </c>
      <c r="E49" s="373">
        <f t="shared" si="76"/>
        <v>4290</v>
      </c>
      <c r="F49" s="373">
        <f t="shared" si="0"/>
        <v>725970</v>
      </c>
      <c r="G49" s="373">
        <f t="shared" ref="G49:I49" si="77">G39+G45</f>
        <v>733430</v>
      </c>
      <c r="H49" s="373">
        <f t="shared" si="77"/>
        <v>29094</v>
      </c>
      <c r="I49" s="373">
        <f t="shared" si="77"/>
        <v>4290</v>
      </c>
      <c r="J49" s="373">
        <f t="shared" si="1"/>
        <v>766814</v>
      </c>
      <c r="K49" s="373">
        <f t="shared" ref="K49:M49" si="78">K39+K45</f>
        <v>733430</v>
      </c>
      <c r="L49" s="373">
        <f t="shared" si="78"/>
        <v>29094</v>
      </c>
      <c r="M49" s="373">
        <f t="shared" si="78"/>
        <v>4290</v>
      </c>
      <c r="N49" s="373">
        <f t="shared" si="2"/>
        <v>766814</v>
      </c>
      <c r="O49" s="373">
        <f t="shared" ref="O49:Q49" si="79">O39+O45</f>
        <v>665660</v>
      </c>
      <c r="P49" s="373">
        <f t="shared" si="79"/>
        <v>21373</v>
      </c>
      <c r="Q49" s="373">
        <f t="shared" si="79"/>
        <v>4037</v>
      </c>
      <c r="R49" s="373">
        <f t="shared" si="3"/>
        <v>691070</v>
      </c>
      <c r="S49" s="373">
        <f t="shared" ref="S49:U49" si="80">S39+S45</f>
        <v>730223</v>
      </c>
      <c r="T49" s="373">
        <f t="shared" si="80"/>
        <v>29435</v>
      </c>
      <c r="U49" s="373">
        <f t="shared" si="80"/>
        <v>3277</v>
      </c>
      <c r="V49" s="373">
        <f t="shared" si="4"/>
        <v>762935</v>
      </c>
      <c r="W49" s="373">
        <f t="shared" ref="W49:Y49" si="81">W39+W45</f>
        <v>801449</v>
      </c>
      <c r="X49" s="373">
        <f t="shared" si="81"/>
        <v>29435</v>
      </c>
      <c r="Y49" s="373">
        <f t="shared" si="81"/>
        <v>3277</v>
      </c>
      <c r="Z49" s="373">
        <f t="shared" si="5"/>
        <v>834161</v>
      </c>
    </row>
    <row r="51" spans="1:26" ht="14.95" x14ac:dyDescent="0.25">
      <c r="J51" s="530">
        <f>28643-J46</f>
        <v>658</v>
      </c>
    </row>
    <row r="52" spans="1:26" ht="14.95" x14ac:dyDescent="0.25">
      <c r="J52" s="530">
        <f>738171-J39</f>
        <v>-658</v>
      </c>
    </row>
  </sheetData>
  <mergeCells count="8">
    <mergeCell ref="W3:Z3"/>
    <mergeCell ref="A3:A4"/>
    <mergeCell ref="B3:B4"/>
    <mergeCell ref="O3:R3"/>
    <mergeCell ref="S3:V3"/>
    <mergeCell ref="C3:F3"/>
    <mergeCell ref="K3:N3"/>
    <mergeCell ref="G3:J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52" orientation="portrait" r:id="rId1"/>
  <headerFooter>
    <oddHeader>&amp;L3/A.  melléklet a ...../2019. (.......) önkormányzati rendelethez&amp;C&amp;"-,Félkövér"&amp;16
A Polgármesteri Hivatal 2019. évi bevételei és kiadásai jogcímenként és feladatonként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5"/>
  <sheetViews>
    <sheetView view="pageBreakPreview" zoomScale="75" zoomScaleNormal="100" zoomScaleSheetLayoutView="75" workbookViewId="0">
      <selection activeCell="Z11" sqref="Z11"/>
    </sheetView>
  </sheetViews>
  <sheetFormatPr defaultColWidth="9.125" defaultRowHeight="14.3" x14ac:dyDescent="0.25"/>
  <cols>
    <col min="1" max="1" width="7.75" style="528" bestFit="1" customWidth="1"/>
    <col min="2" max="2" width="41.875" style="529" customWidth="1"/>
    <col min="3" max="3" width="10.875" style="553" hidden="1" customWidth="1"/>
    <col min="4" max="4" width="10.125" style="553" hidden="1" customWidth="1"/>
    <col min="5" max="5" width="11.375" style="553" hidden="1" customWidth="1"/>
    <col min="6" max="6" width="10.625" style="530" hidden="1" customWidth="1"/>
    <col min="7" max="7" width="11" style="530" hidden="1" customWidth="1"/>
    <col min="8" max="8" width="10.25" style="283" hidden="1" customWidth="1"/>
    <col min="9" max="9" width="11.125" style="283" hidden="1" customWidth="1"/>
    <col min="10" max="10" width="10.875" style="283" hidden="1" customWidth="1"/>
    <col min="11" max="11" width="10.25" style="283" hidden="1" customWidth="1"/>
    <col min="12" max="12" width="10.375" style="283" hidden="1" customWidth="1"/>
    <col min="13" max="14" width="10.875" style="283" hidden="1" customWidth="1"/>
    <col min="15" max="15" width="10.25" style="283" hidden="1" customWidth="1"/>
    <col min="16" max="16" width="10.375" style="283" hidden="1" customWidth="1"/>
    <col min="17" max="18" width="10.875" style="283" hidden="1" customWidth="1"/>
    <col min="19" max="19" width="10.25" style="283" customWidth="1"/>
    <col min="20" max="20" width="10.375" style="283" customWidth="1"/>
    <col min="21" max="22" width="10.875" style="283" customWidth="1"/>
    <col min="23" max="23" width="11.25" style="283" customWidth="1"/>
    <col min="24" max="24" width="10.75" style="283" customWidth="1"/>
    <col min="25" max="25" width="11.25" style="283" customWidth="1"/>
    <col min="26" max="26" width="11.625" style="283" customWidth="1"/>
    <col min="27" max="16384" width="9.125" style="283"/>
  </cols>
  <sheetData>
    <row r="1" spans="1:26" ht="14.95" customHeight="1" x14ac:dyDescent="0.25">
      <c r="C1" s="532"/>
      <c r="D1" s="533"/>
      <c r="E1" s="534"/>
      <c r="F1" s="531"/>
      <c r="G1" s="532"/>
      <c r="H1" s="533"/>
      <c r="I1" s="534"/>
      <c r="N1" s="32"/>
      <c r="R1" s="32"/>
      <c r="V1" s="32"/>
      <c r="Z1" s="32" t="s">
        <v>302</v>
      </c>
    </row>
    <row r="2" spans="1:26" ht="57.1" x14ac:dyDescent="0.25">
      <c r="A2" s="886" t="s">
        <v>552</v>
      </c>
      <c r="B2" s="886" t="s">
        <v>306</v>
      </c>
      <c r="C2" s="555" t="s">
        <v>1369</v>
      </c>
      <c r="D2" s="555" t="s">
        <v>1316</v>
      </c>
      <c r="E2" s="555" t="s">
        <v>1318</v>
      </c>
      <c r="F2" s="520" t="s">
        <v>345</v>
      </c>
      <c r="G2" s="555" t="s">
        <v>1369</v>
      </c>
      <c r="H2" s="555" t="s">
        <v>1316</v>
      </c>
      <c r="I2" s="555" t="s">
        <v>1318</v>
      </c>
      <c r="J2" s="520" t="s">
        <v>345</v>
      </c>
      <c r="K2" s="555" t="s">
        <v>1369</v>
      </c>
      <c r="L2" s="555" t="s">
        <v>1316</v>
      </c>
      <c r="M2" s="555" t="s">
        <v>1318</v>
      </c>
      <c r="N2" s="520" t="s">
        <v>345</v>
      </c>
      <c r="O2" s="555" t="s">
        <v>1369</v>
      </c>
      <c r="P2" s="555" t="s">
        <v>1316</v>
      </c>
      <c r="Q2" s="555" t="s">
        <v>1318</v>
      </c>
      <c r="R2" s="640" t="s">
        <v>345</v>
      </c>
      <c r="S2" s="555" t="s">
        <v>1369</v>
      </c>
      <c r="T2" s="555" t="s">
        <v>1316</v>
      </c>
      <c r="U2" s="555" t="s">
        <v>1318</v>
      </c>
      <c r="V2" s="640" t="s">
        <v>345</v>
      </c>
      <c r="W2" s="555" t="s">
        <v>1369</v>
      </c>
      <c r="X2" s="555" t="s">
        <v>1316</v>
      </c>
      <c r="Y2" s="555" t="s">
        <v>1318</v>
      </c>
      <c r="Z2" s="858" t="s">
        <v>345</v>
      </c>
    </row>
    <row r="3" spans="1:26" s="247" customFormat="1" ht="30.25" customHeight="1" x14ac:dyDescent="0.25">
      <c r="A3" s="885"/>
      <c r="B3" s="885"/>
      <c r="C3" s="884" t="s">
        <v>1496</v>
      </c>
      <c r="D3" s="885"/>
      <c r="E3" s="885"/>
      <c r="F3" s="885"/>
      <c r="G3" s="884" t="s">
        <v>1519</v>
      </c>
      <c r="H3" s="885"/>
      <c r="I3" s="885"/>
      <c r="J3" s="885"/>
      <c r="K3" s="884" t="s">
        <v>1520</v>
      </c>
      <c r="L3" s="885"/>
      <c r="M3" s="885"/>
      <c r="N3" s="885"/>
      <c r="O3" s="884" t="s">
        <v>1498</v>
      </c>
      <c r="P3" s="885"/>
      <c r="Q3" s="885"/>
      <c r="R3" s="885"/>
      <c r="S3" s="880" t="s">
        <v>1501</v>
      </c>
      <c r="T3" s="881"/>
      <c r="U3" s="881"/>
      <c r="V3" s="882"/>
      <c r="W3" s="880" t="s">
        <v>1719</v>
      </c>
      <c r="X3" s="881"/>
      <c r="Y3" s="881"/>
      <c r="Z3" s="882"/>
    </row>
    <row r="4" spans="1:26" s="247" customFormat="1" x14ac:dyDescent="0.25">
      <c r="A4" s="535" t="s">
        <v>322</v>
      </c>
      <c r="B4" s="363" t="s">
        <v>656</v>
      </c>
      <c r="C4" s="536">
        <v>79</v>
      </c>
      <c r="D4" s="536">
        <v>0</v>
      </c>
      <c r="E4" s="536">
        <v>7</v>
      </c>
      <c r="F4" s="373">
        <v>725970</v>
      </c>
      <c r="G4" s="536">
        <v>79</v>
      </c>
      <c r="H4" s="536">
        <v>0</v>
      </c>
      <c r="I4" s="536">
        <v>7</v>
      </c>
      <c r="J4" s="373">
        <v>766814</v>
      </c>
      <c r="K4" s="536">
        <v>74</v>
      </c>
      <c r="L4" s="536">
        <v>0</v>
      </c>
      <c r="M4" s="536">
        <v>7</v>
      </c>
      <c r="N4" s="373">
        <v>766814</v>
      </c>
      <c r="O4" s="536">
        <v>74</v>
      </c>
      <c r="P4" s="536">
        <v>0</v>
      </c>
      <c r="Q4" s="536">
        <v>7</v>
      </c>
      <c r="R4" s="373">
        <v>691070</v>
      </c>
      <c r="S4" s="536">
        <v>79</v>
      </c>
      <c r="T4" s="536">
        <v>0</v>
      </c>
      <c r="U4" s="536">
        <v>7</v>
      </c>
      <c r="V4" s="373">
        <f>+V5+V16+V27</f>
        <v>762935</v>
      </c>
      <c r="W4" s="536">
        <v>79</v>
      </c>
      <c r="X4" s="536">
        <v>0</v>
      </c>
      <c r="Y4" s="536">
        <v>7</v>
      </c>
      <c r="Z4" s="373">
        <f>+Z5+Z16+Z27</f>
        <v>834161</v>
      </c>
    </row>
    <row r="5" spans="1:26" x14ac:dyDescent="0.25">
      <c r="A5" s="537" t="s">
        <v>309</v>
      </c>
      <c r="B5" s="538" t="s">
        <v>348</v>
      </c>
      <c r="C5" s="540">
        <v>74</v>
      </c>
      <c r="D5" s="540">
        <v>0</v>
      </c>
      <c r="E5" s="540">
        <v>7</v>
      </c>
      <c r="F5" s="539">
        <v>692586</v>
      </c>
      <c r="G5" s="540">
        <v>74</v>
      </c>
      <c r="H5" s="540">
        <v>0</v>
      </c>
      <c r="I5" s="540">
        <v>7</v>
      </c>
      <c r="J5" s="539">
        <v>733430</v>
      </c>
      <c r="K5" s="540">
        <v>69</v>
      </c>
      <c r="L5" s="540">
        <v>0</v>
      </c>
      <c r="M5" s="540">
        <v>7</v>
      </c>
      <c r="N5" s="539">
        <v>733430</v>
      </c>
      <c r="O5" s="540">
        <v>69</v>
      </c>
      <c r="P5" s="540">
        <v>0</v>
      </c>
      <c r="Q5" s="540">
        <v>7</v>
      </c>
      <c r="R5" s="539">
        <v>665660</v>
      </c>
      <c r="S5" s="540">
        <v>74</v>
      </c>
      <c r="T5" s="540">
        <v>0</v>
      </c>
      <c r="U5" s="540">
        <v>7</v>
      </c>
      <c r="V5" s="539">
        <f>+V6+V12</f>
        <v>730223</v>
      </c>
      <c r="W5" s="540">
        <v>74</v>
      </c>
      <c r="X5" s="540">
        <v>0</v>
      </c>
      <c r="Y5" s="540">
        <v>7</v>
      </c>
      <c r="Z5" s="539">
        <f>+Z6+Z12</f>
        <v>801449</v>
      </c>
    </row>
    <row r="6" spans="1:26" x14ac:dyDescent="0.25">
      <c r="A6" s="541" t="s">
        <v>311</v>
      </c>
      <c r="B6" s="527" t="s">
        <v>657</v>
      </c>
      <c r="C6" s="543">
        <v>74</v>
      </c>
      <c r="D6" s="543"/>
      <c r="E6" s="543">
        <v>7</v>
      </c>
      <c r="F6" s="542">
        <v>692586</v>
      </c>
      <c r="G6" s="543">
        <v>74</v>
      </c>
      <c r="H6" s="543"/>
      <c r="I6" s="543">
        <v>7</v>
      </c>
      <c r="J6" s="542">
        <v>729304</v>
      </c>
      <c r="K6" s="543">
        <v>69</v>
      </c>
      <c r="L6" s="543"/>
      <c r="M6" s="543">
        <v>7</v>
      </c>
      <c r="N6" s="542">
        <v>729304</v>
      </c>
      <c r="O6" s="543">
        <v>69</v>
      </c>
      <c r="P6" s="543"/>
      <c r="Q6" s="543">
        <v>7</v>
      </c>
      <c r="R6" s="542">
        <v>662152</v>
      </c>
      <c r="S6" s="543">
        <v>74</v>
      </c>
      <c r="T6" s="543"/>
      <c r="U6" s="543">
        <v>7</v>
      </c>
      <c r="V6" s="542">
        <f>SUM(V7:V11)</f>
        <v>721658</v>
      </c>
      <c r="W6" s="543">
        <v>74</v>
      </c>
      <c r="X6" s="543"/>
      <c r="Y6" s="543">
        <v>7</v>
      </c>
      <c r="Z6" s="542">
        <f>SUM(Z7:Z11)</f>
        <v>789023</v>
      </c>
    </row>
    <row r="7" spans="1:26" x14ac:dyDescent="0.25">
      <c r="A7" s="544"/>
      <c r="B7" s="545" t="s">
        <v>286</v>
      </c>
      <c r="C7" s="547"/>
      <c r="D7" s="547"/>
      <c r="E7" s="547"/>
      <c r="F7" s="546">
        <v>436052</v>
      </c>
      <c r="G7" s="547"/>
      <c r="H7" s="547"/>
      <c r="I7" s="547"/>
      <c r="J7" s="546">
        <v>461069</v>
      </c>
      <c r="K7" s="547"/>
      <c r="L7" s="547"/>
      <c r="M7" s="547"/>
      <c r="N7" s="546">
        <v>461069</v>
      </c>
      <c r="O7" s="547"/>
      <c r="P7" s="547"/>
      <c r="Q7" s="547"/>
      <c r="R7" s="546">
        <v>421423</v>
      </c>
      <c r="S7" s="547"/>
      <c r="T7" s="547"/>
      <c r="U7" s="547"/>
      <c r="V7" s="546">
        <v>443812</v>
      </c>
      <c r="W7" s="547"/>
      <c r="X7" s="547"/>
      <c r="Y7" s="547"/>
      <c r="Z7" s="546">
        <f>443812+25104+20000</f>
        <v>488916</v>
      </c>
    </row>
    <row r="8" spans="1:26" x14ac:dyDescent="0.25">
      <c r="A8" s="544"/>
      <c r="B8" s="545" t="s">
        <v>287</v>
      </c>
      <c r="C8" s="547"/>
      <c r="D8" s="547"/>
      <c r="E8" s="547"/>
      <c r="F8" s="546">
        <v>89866</v>
      </c>
      <c r="G8" s="547"/>
      <c r="H8" s="547"/>
      <c r="I8" s="547"/>
      <c r="J8" s="546">
        <v>94761</v>
      </c>
      <c r="K8" s="547"/>
      <c r="L8" s="547"/>
      <c r="M8" s="547"/>
      <c r="N8" s="546">
        <v>94761</v>
      </c>
      <c r="O8" s="547"/>
      <c r="P8" s="547"/>
      <c r="Q8" s="547"/>
      <c r="R8" s="546">
        <v>89535</v>
      </c>
      <c r="S8" s="547"/>
      <c r="T8" s="547"/>
      <c r="U8" s="547"/>
      <c r="V8" s="546">
        <v>88919</v>
      </c>
      <c r="W8" s="547"/>
      <c r="X8" s="547"/>
      <c r="Y8" s="547"/>
      <c r="Z8" s="546">
        <f>88919+4896+3900</f>
        <v>97715</v>
      </c>
    </row>
    <row r="9" spans="1:26" x14ac:dyDescent="0.25">
      <c r="A9" s="544"/>
      <c r="B9" s="545" t="s">
        <v>292</v>
      </c>
      <c r="C9" s="547"/>
      <c r="D9" s="547"/>
      <c r="E9" s="547"/>
      <c r="F9" s="546">
        <v>138728</v>
      </c>
      <c r="G9" s="547"/>
      <c r="H9" s="547"/>
      <c r="I9" s="547"/>
      <c r="J9" s="546">
        <v>145534</v>
      </c>
      <c r="K9" s="547"/>
      <c r="L9" s="547"/>
      <c r="M9" s="547"/>
      <c r="N9" s="546">
        <v>145534</v>
      </c>
      <c r="O9" s="547"/>
      <c r="P9" s="547"/>
      <c r="Q9" s="547"/>
      <c r="R9" s="546">
        <v>127977</v>
      </c>
      <c r="S9" s="547"/>
      <c r="T9" s="547"/>
      <c r="U9" s="547"/>
      <c r="V9" s="546">
        <v>172381</v>
      </c>
      <c r="W9" s="547"/>
      <c r="X9" s="547"/>
      <c r="Y9" s="547"/>
      <c r="Z9" s="546">
        <f>172381-5207+100+5675+765</f>
        <v>173714</v>
      </c>
    </row>
    <row r="10" spans="1:26" ht="28.55" x14ac:dyDescent="0.25">
      <c r="A10" s="544"/>
      <c r="B10" s="545" t="s">
        <v>568</v>
      </c>
      <c r="C10" s="547"/>
      <c r="D10" s="547"/>
      <c r="E10" s="547"/>
      <c r="F10" s="546">
        <v>0</v>
      </c>
      <c r="G10" s="547"/>
      <c r="H10" s="547"/>
      <c r="I10" s="547"/>
      <c r="J10" s="546">
        <v>0</v>
      </c>
      <c r="K10" s="547"/>
      <c r="L10" s="547"/>
      <c r="M10" s="547"/>
      <c r="N10" s="546">
        <v>0</v>
      </c>
      <c r="O10" s="547"/>
      <c r="P10" s="547"/>
      <c r="Q10" s="547"/>
      <c r="R10" s="546"/>
      <c r="S10" s="547"/>
      <c r="T10" s="547"/>
      <c r="U10" s="547"/>
      <c r="V10" s="546"/>
      <c r="W10" s="547"/>
      <c r="X10" s="547"/>
      <c r="Y10" s="547"/>
      <c r="Z10" s="546"/>
    </row>
    <row r="11" spans="1:26" x14ac:dyDescent="0.25">
      <c r="A11" s="544"/>
      <c r="B11" s="545" t="s">
        <v>351</v>
      </c>
      <c r="C11" s="547"/>
      <c r="D11" s="547"/>
      <c r="E11" s="547"/>
      <c r="F11" s="546">
        <v>27940</v>
      </c>
      <c r="G11" s="547"/>
      <c r="H11" s="547"/>
      <c r="I11" s="547"/>
      <c r="J11" s="546">
        <v>27940</v>
      </c>
      <c r="K11" s="547"/>
      <c r="L11" s="547"/>
      <c r="M11" s="547"/>
      <c r="N11" s="546">
        <v>27940</v>
      </c>
      <c r="O11" s="547"/>
      <c r="P11" s="547"/>
      <c r="Q11" s="547"/>
      <c r="R11" s="546">
        <v>23217</v>
      </c>
      <c r="S11" s="547"/>
      <c r="T11" s="547"/>
      <c r="U11" s="547"/>
      <c r="V11" s="546">
        <v>16546</v>
      </c>
      <c r="W11" s="547"/>
      <c r="X11" s="547"/>
      <c r="Y11" s="547"/>
      <c r="Z11" s="546">
        <f>16546+5207+6925</f>
        <v>28678</v>
      </c>
    </row>
    <row r="12" spans="1:26" s="548" customFormat="1" x14ac:dyDescent="0.25">
      <c r="A12" s="541" t="s">
        <v>322</v>
      </c>
      <c r="B12" s="527" t="s">
        <v>1464</v>
      </c>
      <c r="C12" s="543"/>
      <c r="D12" s="543"/>
      <c r="E12" s="543"/>
      <c r="F12" s="542"/>
      <c r="G12" s="543"/>
      <c r="H12" s="543"/>
      <c r="I12" s="543"/>
      <c r="J12" s="542">
        <v>4126</v>
      </c>
      <c r="K12" s="543"/>
      <c r="L12" s="543"/>
      <c r="M12" s="543"/>
      <c r="N12" s="542">
        <v>4126</v>
      </c>
      <c r="O12" s="543"/>
      <c r="P12" s="543"/>
      <c r="Q12" s="543"/>
      <c r="R12" s="542">
        <v>3508</v>
      </c>
      <c r="S12" s="543"/>
      <c r="T12" s="543"/>
      <c r="U12" s="543"/>
      <c r="V12" s="542">
        <v>8565</v>
      </c>
      <c r="W12" s="543"/>
      <c r="X12" s="543"/>
      <c r="Y12" s="543"/>
      <c r="Z12" s="542">
        <f>SUM(Z13:Z15)</f>
        <v>12426</v>
      </c>
    </row>
    <row r="13" spans="1:26" x14ac:dyDescent="0.25">
      <c r="A13" s="544"/>
      <c r="B13" s="545" t="s">
        <v>286</v>
      </c>
      <c r="C13" s="547"/>
      <c r="D13" s="547"/>
      <c r="E13" s="547"/>
      <c r="F13" s="546"/>
      <c r="G13" s="547"/>
      <c r="H13" s="547"/>
      <c r="I13" s="547"/>
      <c r="J13" s="546">
        <v>3173</v>
      </c>
      <c r="K13" s="547"/>
      <c r="L13" s="547"/>
      <c r="M13" s="547"/>
      <c r="N13" s="546">
        <v>3173</v>
      </c>
      <c r="O13" s="547"/>
      <c r="P13" s="547"/>
      <c r="Q13" s="547"/>
      <c r="R13" s="546">
        <v>2555</v>
      </c>
      <c r="S13" s="547"/>
      <c r="T13" s="547"/>
      <c r="U13" s="547"/>
      <c r="V13" s="546">
        <v>6120</v>
      </c>
      <c r="W13" s="547"/>
      <c r="X13" s="547"/>
      <c r="Y13" s="547"/>
      <c r="Z13" s="546">
        <f>6120+2941</f>
        <v>9061</v>
      </c>
    </row>
    <row r="14" spans="1:26" x14ac:dyDescent="0.25">
      <c r="A14" s="544"/>
      <c r="B14" s="545" t="s">
        <v>287</v>
      </c>
      <c r="C14" s="547"/>
      <c r="D14" s="547"/>
      <c r="E14" s="547"/>
      <c r="F14" s="546"/>
      <c r="G14" s="547"/>
      <c r="H14" s="547"/>
      <c r="I14" s="547"/>
      <c r="J14" s="546">
        <v>551</v>
      </c>
      <c r="K14" s="547"/>
      <c r="L14" s="547"/>
      <c r="M14" s="547"/>
      <c r="N14" s="546">
        <v>551</v>
      </c>
      <c r="O14" s="547"/>
      <c r="P14" s="547"/>
      <c r="Q14" s="547"/>
      <c r="R14" s="546">
        <v>551</v>
      </c>
      <c r="S14" s="547"/>
      <c r="T14" s="547"/>
      <c r="U14" s="547"/>
      <c r="V14" s="546">
        <v>1102</v>
      </c>
      <c r="W14" s="547"/>
      <c r="X14" s="547"/>
      <c r="Y14" s="547"/>
      <c r="Z14" s="546">
        <f>1102+627</f>
        <v>1729</v>
      </c>
    </row>
    <row r="15" spans="1:26" x14ac:dyDescent="0.25">
      <c r="A15" s="544"/>
      <c r="B15" s="545" t="s">
        <v>292</v>
      </c>
      <c r="C15" s="547"/>
      <c r="D15" s="547"/>
      <c r="E15" s="547"/>
      <c r="F15" s="546"/>
      <c r="G15" s="547"/>
      <c r="H15" s="547"/>
      <c r="I15" s="547"/>
      <c r="J15" s="546">
        <v>402</v>
      </c>
      <c r="K15" s="547"/>
      <c r="L15" s="547"/>
      <c r="M15" s="547"/>
      <c r="N15" s="546">
        <v>402</v>
      </c>
      <c r="O15" s="547"/>
      <c r="P15" s="547"/>
      <c r="Q15" s="547"/>
      <c r="R15" s="546">
        <v>402</v>
      </c>
      <c r="S15" s="547"/>
      <c r="T15" s="547"/>
      <c r="U15" s="547"/>
      <c r="V15" s="546">
        <v>1343</v>
      </c>
      <c r="W15" s="547"/>
      <c r="X15" s="547"/>
      <c r="Y15" s="547"/>
      <c r="Z15" s="546">
        <f>1343+293</f>
        <v>1636</v>
      </c>
    </row>
    <row r="16" spans="1:26" x14ac:dyDescent="0.25">
      <c r="A16" s="537" t="s">
        <v>318</v>
      </c>
      <c r="B16" s="538" t="s">
        <v>353</v>
      </c>
      <c r="C16" s="540">
        <v>5</v>
      </c>
      <c r="D16" s="540">
        <v>0</v>
      </c>
      <c r="E16" s="540">
        <v>0</v>
      </c>
      <c r="F16" s="539">
        <v>29094</v>
      </c>
      <c r="G16" s="540">
        <v>5</v>
      </c>
      <c r="H16" s="540">
        <v>0</v>
      </c>
      <c r="I16" s="540">
        <v>0</v>
      </c>
      <c r="J16" s="539">
        <v>29094</v>
      </c>
      <c r="K16" s="540">
        <v>5</v>
      </c>
      <c r="L16" s="540">
        <v>0</v>
      </c>
      <c r="M16" s="540">
        <v>0</v>
      </c>
      <c r="N16" s="539">
        <v>29094</v>
      </c>
      <c r="O16" s="540">
        <v>5</v>
      </c>
      <c r="P16" s="540">
        <v>0</v>
      </c>
      <c r="Q16" s="540">
        <v>0</v>
      </c>
      <c r="R16" s="539">
        <v>21373</v>
      </c>
      <c r="S16" s="540">
        <v>5</v>
      </c>
      <c r="T16" s="540">
        <v>0</v>
      </c>
      <c r="U16" s="540">
        <v>0</v>
      </c>
      <c r="V16" s="539">
        <v>29435</v>
      </c>
      <c r="W16" s="540">
        <v>5</v>
      </c>
      <c r="X16" s="540">
        <v>0</v>
      </c>
      <c r="Y16" s="540">
        <v>0</v>
      </c>
      <c r="Z16" s="539">
        <v>29435</v>
      </c>
    </row>
    <row r="17" spans="1:26" s="548" customFormat="1" x14ac:dyDescent="0.25">
      <c r="A17" s="541" t="s">
        <v>311</v>
      </c>
      <c r="B17" s="527" t="s">
        <v>1408</v>
      </c>
      <c r="C17" s="543">
        <v>5</v>
      </c>
      <c r="D17" s="543"/>
      <c r="E17" s="543"/>
      <c r="F17" s="542">
        <v>24426</v>
      </c>
      <c r="G17" s="543">
        <v>5</v>
      </c>
      <c r="H17" s="543"/>
      <c r="I17" s="543"/>
      <c r="J17" s="542">
        <v>24426</v>
      </c>
      <c r="K17" s="543">
        <v>5</v>
      </c>
      <c r="L17" s="543"/>
      <c r="M17" s="543"/>
      <c r="N17" s="542">
        <v>24426</v>
      </c>
      <c r="O17" s="543">
        <v>5</v>
      </c>
      <c r="P17" s="543"/>
      <c r="Q17" s="543"/>
      <c r="R17" s="542">
        <v>17296</v>
      </c>
      <c r="S17" s="543">
        <v>4</v>
      </c>
      <c r="T17" s="543"/>
      <c r="U17" s="543"/>
      <c r="V17" s="542">
        <v>24343</v>
      </c>
      <c r="W17" s="543">
        <v>4</v>
      </c>
      <c r="X17" s="543"/>
      <c r="Y17" s="543"/>
      <c r="Z17" s="542">
        <v>24343</v>
      </c>
    </row>
    <row r="18" spans="1:26" x14ac:dyDescent="0.25">
      <c r="A18" s="544"/>
      <c r="B18" s="545" t="s">
        <v>286</v>
      </c>
      <c r="C18" s="547"/>
      <c r="D18" s="547"/>
      <c r="E18" s="547"/>
      <c r="F18" s="546">
        <v>18198</v>
      </c>
      <c r="G18" s="547"/>
      <c r="H18" s="547"/>
      <c r="I18" s="547"/>
      <c r="J18" s="546">
        <v>18198</v>
      </c>
      <c r="K18" s="547"/>
      <c r="L18" s="547"/>
      <c r="M18" s="547"/>
      <c r="N18" s="546">
        <v>18198</v>
      </c>
      <c r="O18" s="547"/>
      <c r="P18" s="547"/>
      <c r="Q18" s="547"/>
      <c r="R18" s="546">
        <v>12297</v>
      </c>
      <c r="S18" s="547"/>
      <c r="T18" s="547"/>
      <c r="U18" s="547"/>
      <c r="V18" s="546">
        <v>18198</v>
      </c>
      <c r="W18" s="547"/>
      <c r="X18" s="547"/>
      <c r="Y18" s="547"/>
      <c r="Z18" s="546">
        <v>18198</v>
      </c>
    </row>
    <row r="19" spans="1:26" x14ac:dyDescent="0.25">
      <c r="A19" s="544"/>
      <c r="B19" s="545" t="s">
        <v>287</v>
      </c>
      <c r="C19" s="547"/>
      <c r="D19" s="547"/>
      <c r="E19" s="547"/>
      <c r="F19" s="546">
        <v>3231</v>
      </c>
      <c r="G19" s="547"/>
      <c r="H19" s="547"/>
      <c r="I19" s="547"/>
      <c r="J19" s="546">
        <v>3231</v>
      </c>
      <c r="K19" s="547"/>
      <c r="L19" s="547"/>
      <c r="M19" s="547"/>
      <c r="N19" s="546">
        <v>3231</v>
      </c>
      <c r="O19" s="547"/>
      <c r="P19" s="547"/>
      <c r="Q19" s="547"/>
      <c r="R19" s="546">
        <v>2698</v>
      </c>
      <c r="S19" s="547"/>
      <c r="T19" s="547"/>
      <c r="U19" s="547"/>
      <c r="V19" s="546">
        <v>3458</v>
      </c>
      <c r="W19" s="547"/>
      <c r="X19" s="547"/>
      <c r="Y19" s="547"/>
      <c r="Z19" s="546">
        <v>3458</v>
      </c>
    </row>
    <row r="20" spans="1:26" x14ac:dyDescent="0.25">
      <c r="A20" s="544"/>
      <c r="B20" s="545" t="s">
        <v>292</v>
      </c>
      <c r="C20" s="547"/>
      <c r="D20" s="547"/>
      <c r="E20" s="547"/>
      <c r="F20" s="546">
        <v>2952</v>
      </c>
      <c r="G20" s="547"/>
      <c r="H20" s="547"/>
      <c r="I20" s="547"/>
      <c r="J20" s="546">
        <v>2952</v>
      </c>
      <c r="K20" s="547"/>
      <c r="L20" s="547"/>
      <c r="M20" s="547"/>
      <c r="N20" s="546">
        <v>2952</v>
      </c>
      <c r="O20" s="547"/>
      <c r="P20" s="547"/>
      <c r="Q20" s="547"/>
      <c r="R20" s="546">
        <v>2006</v>
      </c>
      <c r="S20" s="547"/>
      <c r="T20" s="547"/>
      <c r="U20" s="547"/>
      <c r="V20" s="546">
        <v>2687</v>
      </c>
      <c r="W20" s="547"/>
      <c r="X20" s="547"/>
      <c r="Y20" s="547"/>
      <c r="Z20" s="546">
        <v>2687</v>
      </c>
    </row>
    <row r="21" spans="1:26" x14ac:dyDescent="0.25">
      <c r="A21" s="544"/>
      <c r="B21" s="545" t="s">
        <v>351</v>
      </c>
      <c r="C21" s="547"/>
      <c r="D21" s="547"/>
      <c r="E21" s="547"/>
      <c r="F21" s="546">
        <v>45</v>
      </c>
      <c r="G21" s="547"/>
      <c r="H21" s="547"/>
      <c r="I21" s="547"/>
      <c r="J21" s="546">
        <v>45</v>
      </c>
      <c r="K21" s="547"/>
      <c r="L21" s="547"/>
      <c r="M21" s="547"/>
      <c r="N21" s="546">
        <v>45</v>
      </c>
      <c r="O21" s="547"/>
      <c r="P21" s="547"/>
      <c r="Q21" s="547"/>
      <c r="R21" s="546">
        <v>295</v>
      </c>
      <c r="S21" s="547"/>
      <c r="T21" s="547"/>
      <c r="U21" s="547"/>
      <c r="V21" s="546">
        <v>0</v>
      </c>
      <c r="W21" s="547"/>
      <c r="X21" s="547"/>
      <c r="Y21" s="547"/>
      <c r="Z21" s="546">
        <v>0</v>
      </c>
    </row>
    <row r="22" spans="1:26" s="548" customFormat="1" x14ac:dyDescent="0.25">
      <c r="A22" s="541" t="s">
        <v>322</v>
      </c>
      <c r="B22" s="527" t="s">
        <v>1409</v>
      </c>
      <c r="C22" s="543"/>
      <c r="D22" s="543"/>
      <c r="E22" s="543"/>
      <c r="F22" s="542">
        <v>4668</v>
      </c>
      <c r="G22" s="543"/>
      <c r="H22" s="543"/>
      <c r="I22" s="543"/>
      <c r="J22" s="542">
        <v>4668</v>
      </c>
      <c r="K22" s="543"/>
      <c r="L22" s="543"/>
      <c r="M22" s="543"/>
      <c r="N22" s="542">
        <v>4668</v>
      </c>
      <c r="O22" s="543"/>
      <c r="P22" s="543"/>
      <c r="Q22" s="543"/>
      <c r="R22" s="542">
        <v>4077</v>
      </c>
      <c r="S22" s="543">
        <v>1</v>
      </c>
      <c r="T22" s="543"/>
      <c r="U22" s="543"/>
      <c r="V22" s="542">
        <v>5092</v>
      </c>
      <c r="W22" s="543">
        <v>1</v>
      </c>
      <c r="X22" s="543"/>
      <c r="Y22" s="543"/>
      <c r="Z22" s="542">
        <v>5092</v>
      </c>
    </row>
    <row r="23" spans="1:26" x14ac:dyDescent="0.25">
      <c r="A23" s="544"/>
      <c r="B23" s="545" t="s">
        <v>286</v>
      </c>
      <c r="C23" s="547"/>
      <c r="D23" s="547"/>
      <c r="E23" s="547"/>
      <c r="F23" s="546">
        <v>3438</v>
      </c>
      <c r="G23" s="547"/>
      <c r="H23" s="547"/>
      <c r="I23" s="547"/>
      <c r="J23" s="546">
        <v>3438</v>
      </c>
      <c r="K23" s="547"/>
      <c r="L23" s="547"/>
      <c r="M23" s="547"/>
      <c r="N23" s="546">
        <v>3438</v>
      </c>
      <c r="O23" s="547"/>
      <c r="P23" s="547"/>
      <c r="Q23" s="547"/>
      <c r="R23" s="546">
        <v>3300</v>
      </c>
      <c r="S23" s="547"/>
      <c r="T23" s="547"/>
      <c r="U23" s="547"/>
      <c r="V23" s="546">
        <v>3914</v>
      </c>
      <c r="W23" s="547"/>
      <c r="X23" s="547"/>
      <c r="Y23" s="547"/>
      <c r="Z23" s="546">
        <v>3914</v>
      </c>
    </row>
    <row r="24" spans="1:26" x14ac:dyDescent="0.25">
      <c r="A24" s="544"/>
      <c r="B24" s="545" t="s">
        <v>287</v>
      </c>
      <c r="C24" s="547"/>
      <c r="D24" s="547"/>
      <c r="E24" s="547"/>
      <c r="F24" s="546">
        <v>697</v>
      </c>
      <c r="G24" s="547"/>
      <c r="H24" s="547"/>
      <c r="I24" s="547"/>
      <c r="J24" s="546">
        <v>697</v>
      </c>
      <c r="K24" s="547"/>
      <c r="L24" s="547"/>
      <c r="M24" s="547"/>
      <c r="N24" s="546">
        <v>697</v>
      </c>
      <c r="O24" s="547"/>
      <c r="P24" s="547"/>
      <c r="Q24" s="547"/>
      <c r="R24" s="546">
        <v>401</v>
      </c>
      <c r="S24" s="547"/>
      <c r="T24" s="547"/>
      <c r="U24" s="547"/>
      <c r="V24" s="546">
        <v>744</v>
      </c>
      <c r="W24" s="547"/>
      <c r="X24" s="547"/>
      <c r="Y24" s="547"/>
      <c r="Z24" s="546">
        <v>744</v>
      </c>
    </row>
    <row r="25" spans="1:26" x14ac:dyDescent="0.25">
      <c r="A25" s="544"/>
      <c r="B25" s="545" t="s">
        <v>292</v>
      </c>
      <c r="C25" s="547"/>
      <c r="D25" s="547"/>
      <c r="E25" s="547"/>
      <c r="F25" s="546">
        <v>533</v>
      </c>
      <c r="G25" s="547"/>
      <c r="H25" s="547"/>
      <c r="I25" s="547"/>
      <c r="J25" s="546">
        <v>533</v>
      </c>
      <c r="K25" s="547"/>
      <c r="L25" s="547"/>
      <c r="M25" s="547"/>
      <c r="N25" s="546">
        <v>533</v>
      </c>
      <c r="O25" s="547"/>
      <c r="P25" s="547"/>
      <c r="Q25" s="547"/>
      <c r="R25" s="546">
        <v>376</v>
      </c>
      <c r="S25" s="547"/>
      <c r="T25" s="547"/>
      <c r="U25" s="547"/>
      <c r="V25" s="546">
        <v>434</v>
      </c>
      <c r="W25" s="547"/>
      <c r="X25" s="547"/>
      <c r="Y25" s="547"/>
      <c r="Z25" s="546">
        <v>434</v>
      </c>
    </row>
    <row r="26" spans="1:26" x14ac:dyDescent="0.25">
      <c r="A26" s="544"/>
      <c r="B26" s="545" t="s">
        <v>351</v>
      </c>
      <c r="C26" s="547"/>
      <c r="D26" s="547"/>
      <c r="E26" s="547"/>
      <c r="F26" s="546"/>
      <c r="G26" s="547"/>
      <c r="H26" s="547"/>
      <c r="I26" s="547"/>
      <c r="J26" s="546"/>
      <c r="K26" s="547"/>
      <c r="L26" s="547"/>
      <c r="M26" s="547"/>
      <c r="N26" s="546"/>
      <c r="O26" s="547"/>
      <c r="P26" s="547"/>
      <c r="Q26" s="547"/>
      <c r="R26" s="546"/>
      <c r="S26" s="547"/>
      <c r="T26" s="547"/>
      <c r="U26" s="547"/>
      <c r="V26" s="546"/>
      <c r="W26" s="547"/>
      <c r="X26" s="547"/>
      <c r="Y26" s="547"/>
      <c r="Z26" s="546"/>
    </row>
    <row r="27" spans="1:26" x14ac:dyDescent="0.25">
      <c r="A27" s="537" t="s">
        <v>328</v>
      </c>
      <c r="B27" s="538" t="s">
        <v>660</v>
      </c>
      <c r="C27" s="540"/>
      <c r="D27" s="540"/>
      <c r="E27" s="540"/>
      <c r="F27" s="539">
        <v>4290</v>
      </c>
      <c r="G27" s="540"/>
      <c r="H27" s="540"/>
      <c r="I27" s="540"/>
      <c r="J27" s="539">
        <v>4290</v>
      </c>
      <c r="K27" s="540"/>
      <c r="L27" s="540"/>
      <c r="M27" s="540"/>
      <c r="N27" s="539">
        <v>4290</v>
      </c>
      <c r="O27" s="540"/>
      <c r="P27" s="540"/>
      <c r="Q27" s="540"/>
      <c r="R27" s="539">
        <v>4037</v>
      </c>
      <c r="S27" s="540"/>
      <c r="T27" s="540"/>
      <c r="U27" s="540"/>
      <c r="V27" s="539">
        <v>3277</v>
      </c>
      <c r="W27" s="540"/>
      <c r="X27" s="540"/>
      <c r="Y27" s="540"/>
      <c r="Z27" s="539">
        <v>3277</v>
      </c>
    </row>
    <row r="28" spans="1:26" s="548" customFormat="1" x14ac:dyDescent="0.25">
      <c r="A28" s="541" t="s">
        <v>311</v>
      </c>
      <c r="B28" s="527" t="s">
        <v>661</v>
      </c>
      <c r="C28" s="543"/>
      <c r="D28" s="543"/>
      <c r="E28" s="543"/>
      <c r="F28" s="542">
        <v>0</v>
      </c>
      <c r="G28" s="543"/>
      <c r="H28" s="543"/>
      <c r="I28" s="543"/>
      <c r="J28" s="542">
        <v>0</v>
      </c>
      <c r="K28" s="543"/>
      <c r="L28" s="543"/>
      <c r="M28" s="543"/>
      <c r="N28" s="542">
        <v>0</v>
      </c>
      <c r="O28" s="543"/>
      <c r="P28" s="543"/>
      <c r="Q28" s="543"/>
      <c r="R28" s="542">
        <v>0</v>
      </c>
      <c r="S28" s="543"/>
      <c r="T28" s="543"/>
      <c r="U28" s="543"/>
      <c r="V28" s="542">
        <v>0</v>
      </c>
      <c r="W28" s="543"/>
      <c r="X28" s="543"/>
      <c r="Y28" s="543"/>
      <c r="Z28" s="542">
        <v>0</v>
      </c>
    </row>
    <row r="29" spans="1:26" x14ac:dyDescent="0.25">
      <c r="A29" s="544"/>
      <c r="B29" s="545" t="s">
        <v>337</v>
      </c>
      <c r="C29" s="547"/>
      <c r="D29" s="547"/>
      <c r="E29" s="547"/>
      <c r="F29" s="546">
        <v>0</v>
      </c>
      <c r="G29" s="547"/>
      <c r="H29" s="547"/>
      <c r="I29" s="547"/>
      <c r="J29" s="546">
        <v>0</v>
      </c>
      <c r="K29" s="547"/>
      <c r="L29" s="547"/>
      <c r="M29" s="547"/>
      <c r="N29" s="546">
        <v>0</v>
      </c>
      <c r="O29" s="547"/>
      <c r="P29" s="547"/>
      <c r="Q29" s="547"/>
      <c r="R29" s="546">
        <v>0</v>
      </c>
      <c r="S29" s="547"/>
      <c r="T29" s="547"/>
      <c r="U29" s="547"/>
      <c r="V29" s="546">
        <v>0</v>
      </c>
      <c r="W29" s="547"/>
      <c r="X29" s="547"/>
      <c r="Y29" s="547"/>
      <c r="Z29" s="546">
        <v>0</v>
      </c>
    </row>
    <row r="30" spans="1:26" s="548" customFormat="1" x14ac:dyDescent="0.25">
      <c r="A30" s="541" t="s">
        <v>322</v>
      </c>
      <c r="B30" s="527" t="s">
        <v>662</v>
      </c>
      <c r="C30" s="543"/>
      <c r="D30" s="543"/>
      <c r="E30" s="543"/>
      <c r="F30" s="542">
        <v>4290</v>
      </c>
      <c r="G30" s="543"/>
      <c r="H30" s="543"/>
      <c r="I30" s="543"/>
      <c r="J30" s="542">
        <v>4290</v>
      </c>
      <c r="K30" s="543"/>
      <c r="L30" s="543"/>
      <c r="M30" s="543"/>
      <c r="N30" s="542">
        <v>4290</v>
      </c>
      <c r="O30" s="543"/>
      <c r="P30" s="543"/>
      <c r="Q30" s="543"/>
      <c r="R30" s="542">
        <v>4037</v>
      </c>
      <c r="S30" s="543"/>
      <c r="T30" s="543"/>
      <c r="U30" s="543"/>
      <c r="V30" s="542">
        <v>3277</v>
      </c>
      <c r="W30" s="543"/>
      <c r="X30" s="543"/>
      <c r="Y30" s="543"/>
      <c r="Z30" s="542">
        <v>3277</v>
      </c>
    </row>
    <row r="31" spans="1:26" s="551" customFormat="1" x14ac:dyDescent="0.25">
      <c r="A31" s="549"/>
      <c r="B31" s="545" t="s">
        <v>286</v>
      </c>
      <c r="C31" s="547"/>
      <c r="D31" s="547"/>
      <c r="E31" s="547"/>
      <c r="F31" s="550">
        <v>40</v>
      </c>
      <c r="G31" s="547"/>
      <c r="H31" s="547"/>
      <c r="I31" s="547"/>
      <c r="J31" s="550">
        <v>40</v>
      </c>
      <c r="K31" s="547"/>
      <c r="L31" s="547"/>
      <c r="M31" s="547"/>
      <c r="N31" s="550">
        <v>40</v>
      </c>
      <c r="O31" s="547"/>
      <c r="P31" s="547"/>
      <c r="Q31" s="547"/>
      <c r="R31" s="550">
        <v>160</v>
      </c>
      <c r="S31" s="547"/>
      <c r="T31" s="547"/>
      <c r="U31" s="547"/>
      <c r="V31" s="550">
        <v>40</v>
      </c>
      <c r="W31" s="547"/>
      <c r="X31" s="547"/>
      <c r="Y31" s="547"/>
      <c r="Z31" s="550">
        <v>40</v>
      </c>
    </row>
    <row r="32" spans="1:26" s="551" customFormat="1" x14ac:dyDescent="0.25">
      <c r="A32" s="549"/>
      <c r="B32" s="552" t="s">
        <v>287</v>
      </c>
      <c r="C32" s="547"/>
      <c r="D32" s="547"/>
      <c r="E32" s="547"/>
      <c r="F32" s="550">
        <v>16</v>
      </c>
      <c r="G32" s="547"/>
      <c r="H32" s="547"/>
      <c r="I32" s="547"/>
      <c r="J32" s="550">
        <v>16</v>
      </c>
      <c r="K32" s="547"/>
      <c r="L32" s="547"/>
      <c r="M32" s="547"/>
      <c r="N32" s="550">
        <v>16</v>
      </c>
      <c r="O32" s="547"/>
      <c r="P32" s="547"/>
      <c r="Q32" s="547"/>
      <c r="R32" s="550">
        <v>0</v>
      </c>
      <c r="S32" s="547"/>
      <c r="T32" s="547"/>
      <c r="U32" s="547"/>
      <c r="V32" s="550">
        <v>7</v>
      </c>
      <c r="W32" s="547"/>
      <c r="X32" s="547"/>
      <c r="Y32" s="547"/>
      <c r="Z32" s="550">
        <v>7</v>
      </c>
    </row>
    <row r="33" spans="1:26" x14ac:dyDescent="0.25">
      <c r="A33" s="544"/>
      <c r="B33" s="545" t="s">
        <v>292</v>
      </c>
      <c r="C33" s="547"/>
      <c r="D33" s="547"/>
      <c r="E33" s="547"/>
      <c r="F33" s="546">
        <v>4234</v>
      </c>
      <c r="G33" s="547"/>
      <c r="H33" s="547"/>
      <c r="I33" s="547"/>
      <c r="J33" s="546">
        <v>4234</v>
      </c>
      <c r="K33" s="547"/>
      <c r="L33" s="547"/>
      <c r="M33" s="547"/>
      <c r="N33" s="546">
        <v>4234</v>
      </c>
      <c r="O33" s="547"/>
      <c r="P33" s="547"/>
      <c r="Q33" s="547"/>
      <c r="R33" s="546">
        <v>3877</v>
      </c>
      <c r="S33" s="547"/>
      <c r="T33" s="547"/>
      <c r="U33" s="547"/>
      <c r="V33" s="546">
        <v>3230</v>
      </c>
      <c r="W33" s="547"/>
      <c r="X33" s="547"/>
      <c r="Y33" s="547"/>
      <c r="Z33" s="546">
        <v>3230</v>
      </c>
    </row>
    <row r="34" spans="1:26" x14ac:dyDescent="0.25">
      <c r="A34" s="544"/>
      <c r="B34" s="545" t="s">
        <v>351</v>
      </c>
      <c r="C34" s="547"/>
      <c r="D34" s="547"/>
      <c r="E34" s="547"/>
      <c r="F34" s="546">
        <v>0</v>
      </c>
      <c r="G34" s="547"/>
      <c r="H34" s="547"/>
      <c r="I34" s="547"/>
      <c r="J34" s="546">
        <v>0</v>
      </c>
      <c r="K34" s="547"/>
      <c r="L34" s="547"/>
      <c r="M34" s="547"/>
      <c r="N34" s="546">
        <v>0</v>
      </c>
      <c r="O34" s="547"/>
      <c r="P34" s="547"/>
      <c r="Q34" s="547"/>
      <c r="R34" s="546">
        <v>0</v>
      </c>
      <c r="S34" s="547"/>
      <c r="T34" s="547"/>
      <c r="U34" s="547"/>
      <c r="V34" s="546">
        <v>0</v>
      </c>
      <c r="W34" s="547"/>
      <c r="X34" s="547"/>
      <c r="Y34" s="547"/>
      <c r="Z34" s="546">
        <v>0</v>
      </c>
    </row>
    <row r="36" spans="1:26" ht="14.95" x14ac:dyDescent="0.25">
      <c r="F36" s="530">
        <v>-4668</v>
      </c>
    </row>
    <row r="37" spans="1:26" x14ac:dyDescent="0.25">
      <c r="B37" s="529" t="s">
        <v>286</v>
      </c>
    </row>
    <row r="38" spans="1:26" x14ac:dyDescent="0.25">
      <c r="B38" s="529" t="s">
        <v>287</v>
      </c>
    </row>
    <row r="39" spans="1:26" x14ac:dyDescent="0.25">
      <c r="B39" s="529" t="s">
        <v>292</v>
      </c>
    </row>
    <row r="40" spans="1:26" x14ac:dyDescent="0.25">
      <c r="B40" s="529" t="s">
        <v>337</v>
      </c>
    </row>
    <row r="41" spans="1:26" x14ac:dyDescent="0.25">
      <c r="B41" s="529" t="s">
        <v>339</v>
      </c>
    </row>
    <row r="42" spans="1:26" x14ac:dyDescent="0.25">
      <c r="B42" s="529" t="s">
        <v>351</v>
      </c>
    </row>
    <row r="43" spans="1:26" x14ac:dyDescent="0.25">
      <c r="B43" s="529" t="s">
        <v>342</v>
      </c>
    </row>
    <row r="44" spans="1:26" x14ac:dyDescent="0.25">
      <c r="B44" s="529" t="s">
        <v>343</v>
      </c>
    </row>
    <row r="45" spans="1:26" x14ac:dyDescent="0.25">
      <c r="B45" s="554" t="s">
        <v>1302</v>
      </c>
    </row>
  </sheetData>
  <mergeCells count="8">
    <mergeCell ref="A2:A3"/>
    <mergeCell ref="B2:B3"/>
    <mergeCell ref="G3:J3"/>
    <mergeCell ref="K3:N3"/>
    <mergeCell ref="W3:Z3"/>
    <mergeCell ref="O3:R3"/>
    <mergeCell ref="S3:V3"/>
    <mergeCell ref="C3:F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56" fitToWidth="2" pageOrder="overThenDown" orientation="portrait" r:id="rId1"/>
  <headerFooter>
    <oddHeader>&amp;L3/B.  melléklet a ...../2019. (.......) önkormányzati rendelethez&amp;C&amp;"-,Félkövér"&amp;16
A Polgármesteri Hivatal 2019. évi kiadásai feladatonként részletes bontásban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7.125" style="31" customWidth="1"/>
    <col min="2" max="2" width="50" customWidth="1"/>
    <col min="3" max="3" width="10.75" hidden="1" customWidth="1"/>
    <col min="4" max="4" width="9" hidden="1" customWidth="1"/>
    <col min="5" max="5" width="10.75" hidden="1" customWidth="1"/>
    <col min="6" max="10" width="9" hidden="1" customWidth="1"/>
    <col min="11" max="11" width="11" hidden="1" customWidth="1"/>
    <col min="12" max="13" width="9" hidden="1" customWidth="1"/>
    <col min="14" max="14" width="10.375" hidden="1" customWidth="1"/>
  </cols>
  <sheetData>
    <row r="1" spans="1:20" ht="14.95" x14ac:dyDescent="0.25">
      <c r="E1" s="32"/>
      <c r="K1" s="32"/>
      <c r="N1" s="32"/>
      <c r="Q1" s="32"/>
      <c r="T1" s="32" t="s">
        <v>302</v>
      </c>
    </row>
    <row r="2" spans="1:20" ht="28.55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x14ac:dyDescent="0.25">
      <c r="A3" s="346" t="s">
        <v>304</v>
      </c>
      <c r="B3" s="346" t="s">
        <v>1518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60.8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12.5</v>
      </c>
      <c r="D6" s="349"/>
      <c r="E6" s="349">
        <f t="shared" ref="E6:E46" si="0">SUM(C6:D6)</f>
        <v>12.5</v>
      </c>
      <c r="F6" s="349">
        <v>13</v>
      </c>
      <c r="G6" s="349"/>
      <c r="H6" s="349">
        <f t="shared" ref="H6:H46" si="1">SUM(F6:G6)</f>
        <v>13</v>
      </c>
      <c r="I6" s="349">
        <v>12.5</v>
      </c>
      <c r="J6" s="349"/>
      <c r="K6" s="349">
        <f t="shared" ref="K6:K46" si="2">SUM(I6:J6)</f>
        <v>12.5</v>
      </c>
      <c r="L6" s="349">
        <v>13</v>
      </c>
      <c r="M6" s="349"/>
      <c r="N6" s="349">
        <f t="shared" ref="N6:N46" si="3">SUM(L6:M6)</f>
        <v>13</v>
      </c>
      <c r="O6" s="349">
        <v>13</v>
      </c>
      <c r="P6" s="349"/>
      <c r="Q6" s="349">
        <f t="shared" ref="Q6:Q46" si="4">SUM(O6:P6)</f>
        <v>13</v>
      </c>
      <c r="R6" s="349">
        <v>13</v>
      </c>
      <c r="S6" s="349"/>
      <c r="T6" s="349">
        <f t="shared" ref="T6:T46" si="5">SUM(R6:S6)</f>
        <v>13</v>
      </c>
    </row>
    <row r="7" spans="1:20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572</v>
      </c>
      <c r="D8" s="352">
        <f t="shared" si="6"/>
        <v>0</v>
      </c>
      <c r="E8" s="352">
        <f t="shared" si="0"/>
        <v>572</v>
      </c>
      <c r="F8" s="352">
        <f t="shared" ref="F8:G8" si="7">F9+F11+F20</f>
        <v>572</v>
      </c>
      <c r="G8" s="352">
        <f t="shared" si="7"/>
        <v>0</v>
      </c>
      <c r="H8" s="352">
        <f t="shared" si="1"/>
        <v>572</v>
      </c>
      <c r="I8" s="352">
        <f t="shared" ref="I8:J8" si="8">I9+I11+I20</f>
        <v>572</v>
      </c>
      <c r="J8" s="352">
        <f t="shared" si="8"/>
        <v>0</v>
      </c>
      <c r="K8" s="352">
        <f t="shared" si="2"/>
        <v>572</v>
      </c>
      <c r="L8" s="352">
        <f t="shared" ref="L8:M8" si="9">L9+L11+L20</f>
        <v>1902</v>
      </c>
      <c r="M8" s="352">
        <f t="shared" si="9"/>
        <v>0</v>
      </c>
      <c r="N8" s="352">
        <f t="shared" si="3"/>
        <v>1902</v>
      </c>
      <c r="O8" s="352">
        <f t="shared" ref="O8:P8" si="10">O9+O11+O20</f>
        <v>1350</v>
      </c>
      <c r="P8" s="352">
        <f t="shared" si="10"/>
        <v>0</v>
      </c>
      <c r="Q8" s="352">
        <f t="shared" si="4"/>
        <v>1350</v>
      </c>
      <c r="R8" s="352">
        <f t="shared" ref="R8:S8" si="11">R9+R11+R20</f>
        <v>1350</v>
      </c>
      <c r="S8" s="352">
        <f t="shared" si="11"/>
        <v>0</v>
      </c>
      <c r="T8" s="352">
        <f t="shared" si="5"/>
        <v>1350</v>
      </c>
    </row>
    <row r="9" spans="1:20" x14ac:dyDescent="0.25">
      <c r="A9" s="353" t="s">
        <v>311</v>
      </c>
      <c r="B9" s="354" t="s">
        <v>312</v>
      </c>
      <c r="C9" s="355">
        <f t="shared" ref="C9:S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si="12"/>
        <v>0</v>
      </c>
      <c r="T9" s="355">
        <f t="shared" si="5"/>
        <v>0</v>
      </c>
    </row>
    <row r="10" spans="1:20" ht="30.1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3">SUM(C12:C19)</f>
        <v>572</v>
      </c>
      <c r="D11" s="355">
        <f t="shared" si="13"/>
        <v>0</v>
      </c>
      <c r="E11" s="355">
        <f t="shared" si="0"/>
        <v>572</v>
      </c>
      <c r="F11" s="355">
        <f t="shared" ref="F11:G11" si="14">SUM(F12:F19)</f>
        <v>572</v>
      </c>
      <c r="G11" s="355">
        <f t="shared" si="14"/>
        <v>0</v>
      </c>
      <c r="H11" s="355">
        <f t="shared" si="1"/>
        <v>572</v>
      </c>
      <c r="I11" s="355">
        <f t="shared" ref="I11:J11" si="15">SUM(I12:I19)</f>
        <v>572</v>
      </c>
      <c r="J11" s="355">
        <f t="shared" si="15"/>
        <v>0</v>
      </c>
      <c r="K11" s="355">
        <f t="shared" si="2"/>
        <v>572</v>
      </c>
      <c r="L11" s="355">
        <f t="shared" ref="L11:M11" si="16">SUM(L12:L19)</f>
        <v>1902</v>
      </c>
      <c r="M11" s="355">
        <f t="shared" si="16"/>
        <v>0</v>
      </c>
      <c r="N11" s="355">
        <f t="shared" si="3"/>
        <v>1902</v>
      </c>
      <c r="O11" s="355">
        <f t="shared" ref="O11:P11" si="17">SUM(O12:O19)</f>
        <v>1350</v>
      </c>
      <c r="P11" s="355">
        <f t="shared" si="17"/>
        <v>0</v>
      </c>
      <c r="Q11" s="355">
        <f t="shared" si="4"/>
        <v>1350</v>
      </c>
      <c r="R11" s="355">
        <f t="shared" ref="R11:S11" si="18">SUM(R12:R19)</f>
        <v>1350</v>
      </c>
      <c r="S11" s="355">
        <f t="shared" si="18"/>
        <v>0</v>
      </c>
      <c r="T11" s="355">
        <f t="shared" si="5"/>
        <v>1350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</row>
    <row r="14" spans="1:20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</row>
    <row r="15" spans="1:20" x14ac:dyDescent="0.25">
      <c r="A15" s="392"/>
      <c r="B15" s="356" t="s">
        <v>664</v>
      </c>
      <c r="C15" s="273">
        <v>450</v>
      </c>
      <c r="D15" s="273">
        <v>0</v>
      </c>
      <c r="E15" s="273">
        <f t="shared" si="0"/>
        <v>450</v>
      </c>
      <c r="F15" s="273">
        <v>450</v>
      </c>
      <c r="G15" s="273">
        <v>0</v>
      </c>
      <c r="H15" s="273">
        <f t="shared" si="1"/>
        <v>450</v>
      </c>
      <c r="I15" s="273">
        <v>450</v>
      </c>
      <c r="J15" s="273">
        <v>0</v>
      </c>
      <c r="K15" s="273">
        <f t="shared" si="2"/>
        <v>450</v>
      </c>
      <c r="L15" s="273">
        <v>1341</v>
      </c>
      <c r="M15" s="273">
        <v>0</v>
      </c>
      <c r="N15" s="273">
        <f t="shared" si="3"/>
        <v>1341</v>
      </c>
      <c r="O15" s="273">
        <v>1000</v>
      </c>
      <c r="P15" s="273">
        <v>0</v>
      </c>
      <c r="Q15" s="273">
        <f t="shared" si="4"/>
        <v>1000</v>
      </c>
      <c r="R15" s="273">
        <v>1000</v>
      </c>
      <c r="S15" s="273">
        <v>0</v>
      </c>
      <c r="T15" s="273">
        <f t="shared" si="5"/>
        <v>1000</v>
      </c>
    </row>
    <row r="16" spans="1:20" x14ac:dyDescent="0.25">
      <c r="A16" s="392"/>
      <c r="B16" s="356" t="s">
        <v>665</v>
      </c>
      <c r="C16" s="273">
        <v>122</v>
      </c>
      <c r="D16" s="273">
        <v>0</v>
      </c>
      <c r="E16" s="273">
        <f t="shared" si="0"/>
        <v>122</v>
      </c>
      <c r="F16" s="273">
        <v>122</v>
      </c>
      <c r="G16" s="273">
        <v>0</v>
      </c>
      <c r="H16" s="273">
        <f t="shared" si="1"/>
        <v>122</v>
      </c>
      <c r="I16" s="273">
        <v>122</v>
      </c>
      <c r="J16" s="273">
        <v>0</v>
      </c>
      <c r="K16" s="273">
        <f t="shared" si="2"/>
        <v>122</v>
      </c>
      <c r="L16" s="273">
        <v>410</v>
      </c>
      <c r="M16" s="273">
        <v>0</v>
      </c>
      <c r="N16" s="273">
        <f t="shared" si="3"/>
        <v>410</v>
      </c>
      <c r="O16" s="273">
        <v>350</v>
      </c>
      <c r="P16" s="273">
        <v>0</v>
      </c>
      <c r="Q16" s="273">
        <f t="shared" si="4"/>
        <v>350</v>
      </c>
      <c r="R16" s="273">
        <v>350</v>
      </c>
      <c r="S16" s="273">
        <v>0</v>
      </c>
      <c r="T16" s="273">
        <f t="shared" si="5"/>
        <v>350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151</v>
      </c>
      <c r="M17" s="273">
        <v>0</v>
      </c>
      <c r="N17" s="273">
        <f t="shared" si="3"/>
        <v>151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</row>
    <row r="20" spans="1:20" x14ac:dyDescent="0.25">
      <c r="A20" s="353" t="s">
        <v>315</v>
      </c>
      <c r="B20" s="354" t="s">
        <v>316</v>
      </c>
      <c r="C20" s="355">
        <f t="shared" ref="C20:S20" si="19">C21</f>
        <v>0</v>
      </c>
      <c r="D20" s="355">
        <f t="shared" si="19"/>
        <v>0</v>
      </c>
      <c r="E20" s="355">
        <f t="shared" si="0"/>
        <v>0</v>
      </c>
      <c r="F20" s="355">
        <f t="shared" si="19"/>
        <v>0</v>
      </c>
      <c r="G20" s="355">
        <f t="shared" si="19"/>
        <v>0</v>
      </c>
      <c r="H20" s="355">
        <f t="shared" si="1"/>
        <v>0</v>
      </c>
      <c r="I20" s="355">
        <f t="shared" si="19"/>
        <v>0</v>
      </c>
      <c r="J20" s="355">
        <f t="shared" si="19"/>
        <v>0</v>
      </c>
      <c r="K20" s="355">
        <f t="shared" si="2"/>
        <v>0</v>
      </c>
      <c r="L20" s="355">
        <f t="shared" si="19"/>
        <v>0</v>
      </c>
      <c r="M20" s="355">
        <f t="shared" si="19"/>
        <v>0</v>
      </c>
      <c r="N20" s="355">
        <f t="shared" si="3"/>
        <v>0</v>
      </c>
      <c r="O20" s="355">
        <f t="shared" si="19"/>
        <v>0</v>
      </c>
      <c r="P20" s="355">
        <f t="shared" si="19"/>
        <v>0</v>
      </c>
      <c r="Q20" s="355">
        <f t="shared" si="4"/>
        <v>0</v>
      </c>
      <c r="R20" s="355">
        <f t="shared" si="19"/>
        <v>0</v>
      </c>
      <c r="S20" s="355">
        <f t="shared" si="19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0">C23+C25+C28</f>
        <v>0</v>
      </c>
      <c r="D22" s="352">
        <f t="shared" si="20"/>
        <v>0</v>
      </c>
      <c r="E22" s="352">
        <f t="shared" si="0"/>
        <v>0</v>
      </c>
      <c r="F22" s="352">
        <f t="shared" ref="F22:G22" si="21">F23+F25+F28</f>
        <v>0</v>
      </c>
      <c r="G22" s="352">
        <f t="shared" si="21"/>
        <v>0</v>
      </c>
      <c r="H22" s="352">
        <f t="shared" si="1"/>
        <v>0</v>
      </c>
      <c r="I22" s="352">
        <f t="shared" ref="I22:J22" si="22">I23+I25+I28</f>
        <v>0</v>
      </c>
      <c r="J22" s="352">
        <f t="shared" si="22"/>
        <v>0</v>
      </c>
      <c r="K22" s="352">
        <f t="shared" si="2"/>
        <v>0</v>
      </c>
      <c r="L22" s="352">
        <f t="shared" ref="L22:M22" si="23">L23+L25+L28</f>
        <v>0</v>
      </c>
      <c r="M22" s="352">
        <f t="shared" si="23"/>
        <v>0</v>
      </c>
      <c r="N22" s="352">
        <f t="shared" si="3"/>
        <v>0</v>
      </c>
      <c r="O22" s="352">
        <f t="shared" ref="O22:P22" si="24">O23+O25+O28</f>
        <v>0</v>
      </c>
      <c r="P22" s="352">
        <f t="shared" si="24"/>
        <v>0</v>
      </c>
      <c r="Q22" s="352">
        <f t="shared" si="4"/>
        <v>0</v>
      </c>
      <c r="R22" s="352">
        <f t="shared" ref="R22:S22" si="25">R23+R25+R28</f>
        <v>0</v>
      </c>
      <c r="S22" s="352">
        <f t="shared" si="25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S23" si="26">C24</f>
        <v>0</v>
      </c>
      <c r="D23" s="355">
        <f t="shared" si="26"/>
        <v>0</v>
      </c>
      <c r="E23" s="355">
        <f t="shared" si="0"/>
        <v>0</v>
      </c>
      <c r="F23" s="355">
        <f t="shared" si="26"/>
        <v>0</v>
      </c>
      <c r="G23" s="355">
        <f t="shared" si="26"/>
        <v>0</v>
      </c>
      <c r="H23" s="355">
        <f t="shared" si="1"/>
        <v>0</v>
      </c>
      <c r="I23" s="355">
        <f t="shared" si="26"/>
        <v>0</v>
      </c>
      <c r="J23" s="355">
        <f t="shared" si="26"/>
        <v>0</v>
      </c>
      <c r="K23" s="355">
        <f t="shared" si="2"/>
        <v>0</v>
      </c>
      <c r="L23" s="355">
        <f t="shared" si="26"/>
        <v>0</v>
      </c>
      <c r="M23" s="355">
        <f t="shared" si="26"/>
        <v>0</v>
      </c>
      <c r="N23" s="355">
        <f t="shared" si="3"/>
        <v>0</v>
      </c>
      <c r="O23" s="355">
        <f t="shared" si="26"/>
        <v>0</v>
      </c>
      <c r="P23" s="355">
        <f t="shared" si="26"/>
        <v>0</v>
      </c>
      <c r="Q23" s="355">
        <f t="shared" si="4"/>
        <v>0</v>
      </c>
      <c r="R23" s="355">
        <f t="shared" si="26"/>
        <v>0</v>
      </c>
      <c r="S23" s="355">
        <f t="shared" si="26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27">SUM(C26:C27)</f>
        <v>0</v>
      </c>
      <c r="D25" s="355">
        <f t="shared" si="27"/>
        <v>0</v>
      </c>
      <c r="E25" s="355">
        <f t="shared" si="0"/>
        <v>0</v>
      </c>
      <c r="F25" s="355">
        <f t="shared" ref="F25:G25" si="28">SUM(F26:F27)</f>
        <v>0</v>
      </c>
      <c r="G25" s="355">
        <f t="shared" si="28"/>
        <v>0</v>
      </c>
      <c r="H25" s="355">
        <f t="shared" si="1"/>
        <v>0</v>
      </c>
      <c r="I25" s="355">
        <f t="shared" ref="I25:J25" si="29">SUM(I26:I27)</f>
        <v>0</v>
      </c>
      <c r="J25" s="355">
        <f t="shared" si="29"/>
        <v>0</v>
      </c>
      <c r="K25" s="355">
        <f t="shared" si="2"/>
        <v>0</v>
      </c>
      <c r="L25" s="355">
        <f t="shared" ref="L25:M25" si="30">SUM(L26:L27)</f>
        <v>0</v>
      </c>
      <c r="M25" s="355">
        <f t="shared" si="30"/>
        <v>0</v>
      </c>
      <c r="N25" s="355">
        <f t="shared" si="3"/>
        <v>0</v>
      </c>
      <c r="O25" s="355">
        <f t="shared" ref="O25:P25" si="31">SUM(O26:O27)</f>
        <v>0</v>
      </c>
      <c r="P25" s="355">
        <f t="shared" si="31"/>
        <v>0</v>
      </c>
      <c r="Q25" s="355">
        <f t="shared" si="4"/>
        <v>0</v>
      </c>
      <c r="R25" s="355">
        <f t="shared" ref="R25:S25" si="32">SUM(R26:R27)</f>
        <v>0</v>
      </c>
      <c r="S25" s="355">
        <f t="shared" si="32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S28" si="33">C29</f>
        <v>0</v>
      </c>
      <c r="D28" s="355">
        <f t="shared" si="33"/>
        <v>0</v>
      </c>
      <c r="E28" s="355">
        <f t="shared" si="0"/>
        <v>0</v>
      </c>
      <c r="F28" s="355">
        <f t="shared" si="33"/>
        <v>0</v>
      </c>
      <c r="G28" s="355">
        <f t="shared" si="33"/>
        <v>0</v>
      </c>
      <c r="H28" s="355">
        <f t="shared" si="1"/>
        <v>0</v>
      </c>
      <c r="I28" s="355">
        <f t="shared" si="33"/>
        <v>0</v>
      </c>
      <c r="J28" s="355">
        <f t="shared" si="33"/>
        <v>0</v>
      </c>
      <c r="K28" s="355">
        <f t="shared" si="2"/>
        <v>0</v>
      </c>
      <c r="L28" s="355">
        <f t="shared" si="33"/>
        <v>0</v>
      </c>
      <c r="M28" s="355">
        <f t="shared" si="33"/>
        <v>0</v>
      </c>
      <c r="N28" s="355">
        <f t="shared" si="3"/>
        <v>0</v>
      </c>
      <c r="O28" s="355">
        <f t="shared" si="33"/>
        <v>0</v>
      </c>
      <c r="P28" s="355">
        <f t="shared" si="33"/>
        <v>0</v>
      </c>
      <c r="Q28" s="355">
        <f t="shared" si="4"/>
        <v>0</v>
      </c>
      <c r="R28" s="355">
        <f t="shared" si="33"/>
        <v>0</v>
      </c>
      <c r="S28" s="355">
        <f t="shared" si="33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4">C8+C22</f>
        <v>572</v>
      </c>
      <c r="D30" s="360">
        <f t="shared" si="34"/>
        <v>0</v>
      </c>
      <c r="E30" s="360">
        <f t="shared" si="0"/>
        <v>572</v>
      </c>
      <c r="F30" s="360">
        <f t="shared" ref="F30:G30" si="35">F8+F22</f>
        <v>572</v>
      </c>
      <c r="G30" s="360">
        <f t="shared" si="35"/>
        <v>0</v>
      </c>
      <c r="H30" s="360">
        <f t="shared" si="1"/>
        <v>572</v>
      </c>
      <c r="I30" s="360">
        <f t="shared" ref="I30:J30" si="36">I8+I22</f>
        <v>572</v>
      </c>
      <c r="J30" s="360">
        <f t="shared" si="36"/>
        <v>0</v>
      </c>
      <c r="K30" s="360">
        <f t="shared" si="2"/>
        <v>572</v>
      </c>
      <c r="L30" s="360">
        <f t="shared" ref="L30:M30" si="37">L8+L22</f>
        <v>1902</v>
      </c>
      <c r="M30" s="360">
        <f t="shared" si="37"/>
        <v>0</v>
      </c>
      <c r="N30" s="360">
        <f t="shared" si="3"/>
        <v>1902</v>
      </c>
      <c r="O30" s="360">
        <f t="shared" ref="O30:P30" si="38">O8+O22</f>
        <v>1350</v>
      </c>
      <c r="P30" s="360">
        <f t="shared" si="38"/>
        <v>0</v>
      </c>
      <c r="Q30" s="360">
        <f t="shared" si="4"/>
        <v>1350</v>
      </c>
      <c r="R30" s="360">
        <f t="shared" ref="R30:S30" si="39">R8+R22</f>
        <v>1350</v>
      </c>
      <c r="S30" s="360">
        <f t="shared" si="39"/>
        <v>0</v>
      </c>
      <c r="T30" s="360">
        <f t="shared" si="5"/>
        <v>1350</v>
      </c>
    </row>
    <row r="31" spans="1:20" x14ac:dyDescent="0.25">
      <c r="A31" s="350" t="s">
        <v>328</v>
      </c>
      <c r="B31" s="351" t="s">
        <v>329</v>
      </c>
      <c r="C31" s="352">
        <f t="shared" ref="C31:S31" si="40">C32</f>
        <v>87047</v>
      </c>
      <c r="D31" s="352">
        <f t="shared" si="40"/>
        <v>0</v>
      </c>
      <c r="E31" s="352">
        <f t="shared" si="0"/>
        <v>87047</v>
      </c>
      <c r="F31" s="352">
        <f t="shared" si="40"/>
        <v>87953</v>
      </c>
      <c r="G31" s="352">
        <f t="shared" si="40"/>
        <v>0</v>
      </c>
      <c r="H31" s="352">
        <f t="shared" si="1"/>
        <v>87953</v>
      </c>
      <c r="I31" s="352">
        <f t="shared" si="40"/>
        <v>87953</v>
      </c>
      <c r="J31" s="352">
        <f t="shared" si="40"/>
        <v>0</v>
      </c>
      <c r="K31" s="352">
        <f t="shared" si="2"/>
        <v>87953</v>
      </c>
      <c r="L31" s="352">
        <f t="shared" si="40"/>
        <v>75122</v>
      </c>
      <c r="M31" s="352">
        <f t="shared" si="40"/>
        <v>0</v>
      </c>
      <c r="N31" s="352">
        <f t="shared" si="3"/>
        <v>75122</v>
      </c>
      <c r="O31" s="352">
        <f t="shared" si="40"/>
        <v>81252.040000000008</v>
      </c>
      <c r="P31" s="352">
        <f t="shared" si="40"/>
        <v>0</v>
      </c>
      <c r="Q31" s="352">
        <f t="shared" si="4"/>
        <v>81252.040000000008</v>
      </c>
      <c r="R31" s="352">
        <f t="shared" si="40"/>
        <v>82393</v>
      </c>
      <c r="S31" s="352">
        <f t="shared" si="40"/>
        <v>0</v>
      </c>
      <c r="T31" s="352">
        <f t="shared" si="5"/>
        <v>82393</v>
      </c>
    </row>
    <row r="32" spans="1:20" x14ac:dyDescent="0.25">
      <c r="A32" s="353" t="s">
        <v>311</v>
      </c>
      <c r="B32" s="354" t="s">
        <v>330</v>
      </c>
      <c r="C32" s="355">
        <f t="shared" ref="C32:D32" si="41">SUM(C33:C34)</f>
        <v>87047</v>
      </c>
      <c r="D32" s="355">
        <f t="shared" si="41"/>
        <v>0</v>
      </c>
      <c r="E32" s="355">
        <f t="shared" si="0"/>
        <v>87047</v>
      </c>
      <c r="F32" s="355">
        <f t="shared" ref="F32:G32" si="42">SUM(F33:F34)</f>
        <v>87953</v>
      </c>
      <c r="G32" s="355">
        <f t="shared" si="42"/>
        <v>0</v>
      </c>
      <c r="H32" s="355">
        <f t="shared" si="1"/>
        <v>87953</v>
      </c>
      <c r="I32" s="355">
        <f t="shared" ref="I32:J32" si="43">SUM(I33:I34)</f>
        <v>87953</v>
      </c>
      <c r="J32" s="355">
        <f t="shared" si="43"/>
        <v>0</v>
      </c>
      <c r="K32" s="355">
        <f t="shared" si="2"/>
        <v>87953</v>
      </c>
      <c r="L32" s="355">
        <f t="shared" ref="L32:M32" si="44">SUM(L33:L34)</f>
        <v>75122</v>
      </c>
      <c r="M32" s="355">
        <f t="shared" si="44"/>
        <v>0</v>
      </c>
      <c r="N32" s="355">
        <f t="shared" si="3"/>
        <v>75122</v>
      </c>
      <c r="O32" s="355">
        <f t="shared" ref="O32:P32" si="45">SUM(O33:O34)</f>
        <v>81252.040000000008</v>
      </c>
      <c r="P32" s="355">
        <f t="shared" si="45"/>
        <v>0</v>
      </c>
      <c r="Q32" s="355">
        <f t="shared" si="4"/>
        <v>81252.040000000008</v>
      </c>
      <c r="R32" s="355">
        <f t="shared" ref="R32:S32" si="46">SUM(R33:R34)</f>
        <v>82393</v>
      </c>
      <c r="S32" s="355">
        <f t="shared" si="46"/>
        <v>0</v>
      </c>
      <c r="T32" s="355">
        <f t="shared" si="5"/>
        <v>82393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906</v>
      </c>
      <c r="G33" s="273">
        <v>0</v>
      </c>
      <c r="H33" s="273">
        <f t="shared" si="1"/>
        <v>906</v>
      </c>
      <c r="I33" s="273">
        <v>377</v>
      </c>
      <c r="J33" s="273">
        <v>0</v>
      </c>
      <c r="K33" s="273">
        <f t="shared" si="2"/>
        <v>377</v>
      </c>
      <c r="L33" s="273">
        <v>906</v>
      </c>
      <c r="M33" s="273">
        <v>0</v>
      </c>
      <c r="N33" s="273">
        <f t="shared" si="3"/>
        <v>906</v>
      </c>
      <c r="O33" s="273"/>
      <c r="P33" s="273">
        <v>0</v>
      </c>
      <c r="Q33" s="273">
        <f t="shared" si="4"/>
        <v>0</v>
      </c>
      <c r="R33" s="273">
        <v>1141</v>
      </c>
      <c r="S33" s="273">
        <v>0</v>
      </c>
      <c r="T33" s="273">
        <f t="shared" si="5"/>
        <v>1141</v>
      </c>
    </row>
    <row r="34" spans="1:20" x14ac:dyDescent="0.25">
      <c r="A34" s="392"/>
      <c r="B34" s="358" t="s">
        <v>332</v>
      </c>
      <c r="C34" s="273">
        <f t="shared" ref="C34:D34" si="47">C46-C30-C33</f>
        <v>87047</v>
      </c>
      <c r="D34" s="273">
        <f t="shared" si="47"/>
        <v>0</v>
      </c>
      <c r="E34" s="273">
        <f t="shared" si="0"/>
        <v>87047</v>
      </c>
      <c r="F34" s="273">
        <f t="shared" ref="F34:G34" si="48">F46-F30-F33</f>
        <v>87047</v>
      </c>
      <c r="G34" s="273">
        <f t="shared" si="48"/>
        <v>0</v>
      </c>
      <c r="H34" s="273">
        <f t="shared" si="1"/>
        <v>87047</v>
      </c>
      <c r="I34" s="273">
        <f t="shared" ref="I34:J34" si="49">I46-I30-I33</f>
        <v>87576</v>
      </c>
      <c r="J34" s="273">
        <f t="shared" si="49"/>
        <v>0</v>
      </c>
      <c r="K34" s="273">
        <f t="shared" si="2"/>
        <v>87576</v>
      </c>
      <c r="L34" s="273">
        <v>74216</v>
      </c>
      <c r="M34" s="273">
        <f t="shared" ref="M34" si="50">M46-M30-M33</f>
        <v>0</v>
      </c>
      <c r="N34" s="273">
        <f t="shared" si="3"/>
        <v>74216</v>
      </c>
      <c r="O34" s="273">
        <f t="shared" ref="O34:P34" si="51">O46-O30-O33</f>
        <v>81252.040000000008</v>
      </c>
      <c r="P34" s="273">
        <f t="shared" si="51"/>
        <v>0</v>
      </c>
      <c r="Q34" s="273">
        <f t="shared" si="4"/>
        <v>81252.040000000008</v>
      </c>
      <c r="R34" s="273">
        <f t="shared" ref="R34:S34" si="52">R46-R30-R33</f>
        <v>81252</v>
      </c>
      <c r="S34" s="273">
        <f t="shared" si="52"/>
        <v>0</v>
      </c>
      <c r="T34" s="273">
        <f t="shared" si="5"/>
        <v>81252</v>
      </c>
    </row>
    <row r="35" spans="1:20" x14ac:dyDescent="0.25">
      <c r="A35" s="361"/>
      <c r="B35" s="362" t="s">
        <v>333</v>
      </c>
      <c r="C35" s="333">
        <f t="shared" ref="C35:D35" si="53">C30+C31</f>
        <v>87619</v>
      </c>
      <c r="D35" s="333">
        <f t="shared" si="53"/>
        <v>0</v>
      </c>
      <c r="E35" s="333">
        <f t="shared" si="0"/>
        <v>87619</v>
      </c>
      <c r="F35" s="333">
        <f t="shared" ref="F35:G35" si="54">F30+F31</f>
        <v>88525</v>
      </c>
      <c r="G35" s="333">
        <f t="shared" si="54"/>
        <v>0</v>
      </c>
      <c r="H35" s="333">
        <f t="shared" si="1"/>
        <v>88525</v>
      </c>
      <c r="I35" s="333">
        <f t="shared" ref="I35:J35" si="55">I30+I31</f>
        <v>88525</v>
      </c>
      <c r="J35" s="333">
        <f t="shared" si="55"/>
        <v>0</v>
      </c>
      <c r="K35" s="333">
        <f t="shared" si="2"/>
        <v>88525</v>
      </c>
      <c r="L35" s="333">
        <f t="shared" ref="L35:M35" si="56">L30+L31</f>
        <v>77024</v>
      </c>
      <c r="M35" s="333">
        <f t="shared" si="56"/>
        <v>0</v>
      </c>
      <c r="N35" s="333">
        <f t="shared" si="3"/>
        <v>77024</v>
      </c>
      <c r="O35" s="333">
        <f t="shared" ref="O35:P35" si="57">O30+O31</f>
        <v>82602.040000000008</v>
      </c>
      <c r="P35" s="333">
        <f t="shared" si="57"/>
        <v>0</v>
      </c>
      <c r="Q35" s="333">
        <f t="shared" si="4"/>
        <v>82602.040000000008</v>
      </c>
      <c r="R35" s="333">
        <f t="shared" ref="R35:S35" si="58">R30+R31</f>
        <v>83743</v>
      </c>
      <c r="S35" s="333">
        <f t="shared" si="58"/>
        <v>0</v>
      </c>
      <c r="T35" s="333">
        <f t="shared" si="5"/>
        <v>83743</v>
      </c>
    </row>
    <row r="36" spans="1:20" x14ac:dyDescent="0.25">
      <c r="A36" s="350" t="s">
        <v>309</v>
      </c>
      <c r="B36" s="351" t="s">
        <v>334</v>
      </c>
      <c r="C36" s="352">
        <f t="shared" ref="C36:D36" si="59">SUM(C37:C41)</f>
        <v>85719</v>
      </c>
      <c r="D36" s="352">
        <f t="shared" si="59"/>
        <v>0</v>
      </c>
      <c r="E36" s="352">
        <f t="shared" si="0"/>
        <v>85719</v>
      </c>
      <c r="F36" s="352">
        <f>SUM(F37:F41)</f>
        <v>86625</v>
      </c>
      <c r="G36" s="352">
        <f t="shared" ref="G36" si="60">SUM(G37:G41)</f>
        <v>0</v>
      </c>
      <c r="H36" s="352">
        <f t="shared" si="1"/>
        <v>86625</v>
      </c>
      <c r="I36" s="352">
        <f>SUM(I37:I41)</f>
        <v>86625</v>
      </c>
      <c r="J36" s="352">
        <f t="shared" ref="J36" si="61">SUM(J37:J41)</f>
        <v>0</v>
      </c>
      <c r="K36" s="352">
        <f t="shared" si="2"/>
        <v>86625</v>
      </c>
      <c r="L36" s="352">
        <f>SUM(L37:L41)</f>
        <v>74936</v>
      </c>
      <c r="M36" s="352">
        <f t="shared" ref="M36" si="62">SUM(M37:M41)</f>
        <v>0</v>
      </c>
      <c r="N36" s="352">
        <f t="shared" si="3"/>
        <v>74936</v>
      </c>
      <c r="O36" s="352">
        <f>SUM(O37:O41)</f>
        <v>81132.040000000008</v>
      </c>
      <c r="P36" s="352">
        <f t="shared" ref="P36" si="63">SUM(P37:P41)</f>
        <v>0</v>
      </c>
      <c r="Q36" s="352">
        <f t="shared" si="4"/>
        <v>81132.040000000008</v>
      </c>
      <c r="R36" s="352">
        <f>SUM(R37:R41)</f>
        <v>82273</v>
      </c>
      <c r="S36" s="352">
        <f t="shared" ref="S36" si="64">SUM(S37:S41)</f>
        <v>0</v>
      </c>
      <c r="T36" s="352">
        <f t="shared" si="5"/>
        <v>82273</v>
      </c>
    </row>
    <row r="37" spans="1:20" x14ac:dyDescent="0.25">
      <c r="A37" s="353" t="s">
        <v>311</v>
      </c>
      <c r="B37" s="354" t="s">
        <v>286</v>
      </c>
      <c r="C37" s="355">
        <f>'5 GSZNR fel'!E9+'5 GSZNR fel'!E15</f>
        <v>57874</v>
      </c>
      <c r="D37" s="355">
        <f>'5 GSZNR fel'!D9+'5 GSZNR fel'!D15</f>
        <v>0</v>
      </c>
      <c r="E37" s="355">
        <f t="shared" si="0"/>
        <v>57874</v>
      </c>
      <c r="F37" s="355">
        <f>'5 GSZNR fel'!H9+'5 GSZNR fel'!H15</f>
        <v>57874</v>
      </c>
      <c r="G37" s="355">
        <f>'5 GSZNR fel'!I9+'5 GSZNR fel'!I15</f>
        <v>0</v>
      </c>
      <c r="H37" s="355">
        <f t="shared" si="1"/>
        <v>57874</v>
      </c>
      <c r="I37" s="355">
        <f>'5 GSZNR fel'!K9+'5 GSZNR fel'!K15</f>
        <v>57874</v>
      </c>
      <c r="J37" s="355">
        <f>'5 GSZNR fel'!L9+'5 GSZNR fel'!L15</f>
        <v>0</v>
      </c>
      <c r="K37" s="355">
        <f t="shared" si="2"/>
        <v>57874</v>
      </c>
      <c r="L37" s="355">
        <f>'5 GSZNR fel'!N9+'5 GSZNR fel'!N15</f>
        <v>49127</v>
      </c>
      <c r="M37" s="355">
        <f>'5 GSZNR fel'!L9+'5 GSZNR fel'!L15</f>
        <v>0</v>
      </c>
      <c r="N37" s="355">
        <f t="shared" si="3"/>
        <v>49127</v>
      </c>
      <c r="O37" s="355">
        <f>'5 GSZNR fel'!Q9+'5 GSZNR fel'!Q15</f>
        <v>52685</v>
      </c>
      <c r="P37" s="355">
        <f>'5 GSZNR fel'!P9+'5 GSZNR fel'!P15</f>
        <v>0</v>
      </c>
      <c r="Q37" s="355">
        <f t="shared" si="4"/>
        <v>52685</v>
      </c>
      <c r="R37" s="355">
        <f>'5 GSZNR fel'!T9+'5 GSZNR fel'!T15</f>
        <v>52685</v>
      </c>
      <c r="S37" s="355">
        <f>'5 GSZNR fel'!S9+'5 GSZNR fel'!S15</f>
        <v>0</v>
      </c>
      <c r="T37" s="355">
        <f t="shared" si="5"/>
        <v>52685</v>
      </c>
    </row>
    <row r="38" spans="1:20" x14ac:dyDescent="0.25">
      <c r="A38" s="353" t="s">
        <v>322</v>
      </c>
      <c r="B38" s="354" t="s">
        <v>335</v>
      </c>
      <c r="C38" s="355">
        <f>'5 GSZNR fel'!E10+'5 GSZNR fel'!E16</f>
        <v>11250</v>
      </c>
      <c r="D38" s="355">
        <f>'5 GSZNR fel'!D10+'5 GSZNR fel'!D16</f>
        <v>0</v>
      </c>
      <c r="E38" s="355">
        <f t="shared" si="0"/>
        <v>11250</v>
      </c>
      <c r="F38" s="355">
        <f>'5 GSZNR fel'!H10+'5 GSZNR fel'!H16</f>
        <v>11250</v>
      </c>
      <c r="G38" s="355">
        <f>'5 GSZNR fel'!I10+'5 GSZNR fel'!I16</f>
        <v>0</v>
      </c>
      <c r="H38" s="355">
        <f t="shared" si="1"/>
        <v>11250</v>
      </c>
      <c r="I38" s="355">
        <f>'5 GSZNR fel'!K10+'5 GSZNR fel'!K16</f>
        <v>11250</v>
      </c>
      <c r="J38" s="355">
        <f>'5 GSZNR fel'!L10+'5 GSZNR fel'!L16</f>
        <v>0</v>
      </c>
      <c r="K38" s="355">
        <f t="shared" si="2"/>
        <v>11250</v>
      </c>
      <c r="L38" s="355">
        <f>'5 GSZNR fel'!N10+'5 GSZNR fel'!N16</f>
        <v>10223</v>
      </c>
      <c r="M38" s="355">
        <f>'5 GSZNR fel'!L10+'5 GSZNR fel'!L16</f>
        <v>0</v>
      </c>
      <c r="N38" s="355">
        <f t="shared" si="3"/>
        <v>10223</v>
      </c>
      <c r="O38" s="355">
        <f>'5 GSZNR fel'!Q10+'5 GSZNR fel'!Q16</f>
        <v>11064</v>
      </c>
      <c r="P38" s="355">
        <f>'5 GSZNR fel'!P10+'5 GSZNR fel'!P16</f>
        <v>0</v>
      </c>
      <c r="Q38" s="355">
        <f t="shared" si="4"/>
        <v>11064</v>
      </c>
      <c r="R38" s="355">
        <f>'5 GSZNR fel'!T10+'5 GSZNR fel'!T16</f>
        <v>11064</v>
      </c>
      <c r="S38" s="355">
        <f>'5 GSZNR fel'!S10+'5 GSZNR fel'!S16</f>
        <v>0</v>
      </c>
      <c r="T38" s="355">
        <f t="shared" si="5"/>
        <v>11064</v>
      </c>
    </row>
    <row r="39" spans="1:20" x14ac:dyDescent="0.25">
      <c r="A39" s="353" t="s">
        <v>315</v>
      </c>
      <c r="B39" s="354" t="s">
        <v>292</v>
      </c>
      <c r="C39" s="355">
        <f>'5 GSZNR fel'!E11+'5 GSZNR fel'!E17</f>
        <v>16595</v>
      </c>
      <c r="D39" s="355">
        <f>'5 GSZNR fel'!D11+'5 GSZNR fel'!D17</f>
        <v>0</v>
      </c>
      <c r="E39" s="355">
        <f t="shared" si="0"/>
        <v>16595</v>
      </c>
      <c r="F39" s="355">
        <f>'5 GSZNR fel'!H11+'5 GSZNR fel'!H17</f>
        <v>16657</v>
      </c>
      <c r="G39" s="355">
        <f>'5 GSZNR fel'!I11+'5 GSZNR fel'!I17</f>
        <v>0</v>
      </c>
      <c r="H39" s="355">
        <f t="shared" si="1"/>
        <v>16657</v>
      </c>
      <c r="I39" s="355">
        <f>'5 GSZNR fel'!K11+'5 GSZNR fel'!K17</f>
        <v>16657</v>
      </c>
      <c r="J39" s="355">
        <f>'5 GSZNR fel'!L11+'5 GSZNR fel'!L17</f>
        <v>0</v>
      </c>
      <c r="K39" s="355">
        <f t="shared" si="2"/>
        <v>16657</v>
      </c>
      <c r="L39" s="355">
        <f>'5 GSZNR fel'!N11+'5 GSZNR fel'!N17</f>
        <v>14742</v>
      </c>
      <c r="M39" s="355">
        <f>'5 GSZNR fel'!L11+'5 GSZNR fel'!L17</f>
        <v>0</v>
      </c>
      <c r="N39" s="355">
        <f t="shared" si="3"/>
        <v>14742</v>
      </c>
      <c r="O39" s="355">
        <f>'5 GSZNR fel'!Q11+'5 GSZNR fel'!Q17</f>
        <v>17383.04</v>
      </c>
      <c r="P39" s="355">
        <f>'5 GSZNR fel'!P11+'5 GSZNR fel'!P17</f>
        <v>0</v>
      </c>
      <c r="Q39" s="355">
        <f t="shared" si="4"/>
        <v>17383.04</v>
      </c>
      <c r="R39" s="355">
        <f>'5 GSZNR fel'!T11+'5 GSZNR fel'!T17</f>
        <v>18524</v>
      </c>
      <c r="S39" s="355">
        <f>'5 GSZNR fel'!S11+'5 GSZNR fel'!S17</f>
        <v>0</v>
      </c>
      <c r="T39" s="355">
        <f t="shared" si="5"/>
        <v>18524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fel'!H12</f>
        <v>844</v>
      </c>
      <c r="G41" s="355">
        <v>0</v>
      </c>
      <c r="H41" s="355">
        <f t="shared" si="1"/>
        <v>844</v>
      </c>
      <c r="I41" s="355">
        <f>+'5 GSZNR fel'!K12</f>
        <v>844</v>
      </c>
      <c r="J41" s="355">
        <v>0</v>
      </c>
      <c r="K41" s="355">
        <f t="shared" si="2"/>
        <v>844</v>
      </c>
      <c r="L41" s="355">
        <f>+'5 GSZNR fel'!N12</f>
        <v>844</v>
      </c>
      <c r="M41" s="355">
        <f>+'5 GSZNR fel'!L12</f>
        <v>0</v>
      </c>
      <c r="N41" s="355">
        <f t="shared" si="3"/>
        <v>844</v>
      </c>
      <c r="O41" s="355">
        <f>+'5 GSZNR fel'!Q12</f>
        <v>0</v>
      </c>
      <c r="P41" s="355">
        <f>+'5 GSZNR fel'!P12</f>
        <v>0</v>
      </c>
      <c r="Q41" s="355">
        <f t="shared" si="4"/>
        <v>0</v>
      </c>
      <c r="R41" s="355">
        <f>+'5 GSZNR fel'!T12</f>
        <v>0</v>
      </c>
      <c r="S41" s="355">
        <f>+'5 GSZNR fel'!S12</f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65">SUM(C43:C45)</f>
        <v>1900</v>
      </c>
      <c r="D42" s="352">
        <f t="shared" si="65"/>
        <v>0</v>
      </c>
      <c r="E42" s="352">
        <f t="shared" si="0"/>
        <v>1900</v>
      </c>
      <c r="F42" s="352">
        <f>SUM(F43:F45)</f>
        <v>1900</v>
      </c>
      <c r="G42" s="352">
        <f t="shared" ref="G42" si="66">SUM(G43:G45)</f>
        <v>0</v>
      </c>
      <c r="H42" s="352">
        <f t="shared" si="1"/>
        <v>1900</v>
      </c>
      <c r="I42" s="352">
        <f>SUM(I43:I45)</f>
        <v>1900</v>
      </c>
      <c r="J42" s="352">
        <f t="shared" ref="J42" si="67">SUM(J43:J45)</f>
        <v>0</v>
      </c>
      <c r="K42" s="352">
        <f t="shared" si="2"/>
        <v>1900</v>
      </c>
      <c r="L42" s="352">
        <f>SUM(L43:L45)</f>
        <v>1049</v>
      </c>
      <c r="M42" s="352">
        <f t="shared" ref="M42" si="68">SUM(M43:M45)</f>
        <v>0</v>
      </c>
      <c r="N42" s="352">
        <f t="shared" si="3"/>
        <v>1049</v>
      </c>
      <c r="O42" s="352">
        <f>SUM(O43:O45)</f>
        <v>1470</v>
      </c>
      <c r="P42" s="352">
        <f t="shared" ref="P42" si="69">SUM(P43:P45)</f>
        <v>0</v>
      </c>
      <c r="Q42" s="352">
        <f t="shared" si="4"/>
        <v>1470</v>
      </c>
      <c r="R42" s="352">
        <f>SUM(R43:R45)</f>
        <v>1470</v>
      </c>
      <c r="S42" s="352">
        <f t="shared" ref="S42" si="70">SUM(S43:S45)</f>
        <v>0</v>
      </c>
      <c r="T42" s="352">
        <f t="shared" si="5"/>
        <v>1470</v>
      </c>
    </row>
    <row r="43" spans="1:20" x14ac:dyDescent="0.25">
      <c r="A43" s="353" t="s">
        <v>311</v>
      </c>
      <c r="B43" s="354" t="s">
        <v>341</v>
      </c>
      <c r="C43" s="355">
        <f>'5 GSZNR fel'!E13+'5 GSZNR fel'!E18</f>
        <v>1900</v>
      </c>
      <c r="D43" s="355">
        <f>'5 GSZNR fel'!D13+'5 GSZNR fel'!D18</f>
        <v>0</v>
      </c>
      <c r="E43" s="355">
        <f t="shared" si="0"/>
        <v>1900</v>
      </c>
      <c r="F43" s="355">
        <f>'5 GSZNR fel'!H13+'5 GSZNR fel'!H18</f>
        <v>1900</v>
      </c>
      <c r="G43" s="355">
        <f>'5 GSZNR fel'!I13+'5 GSZNR fel'!I18</f>
        <v>0</v>
      </c>
      <c r="H43" s="355">
        <f t="shared" si="1"/>
        <v>1900</v>
      </c>
      <c r="I43" s="355">
        <f>'5 GSZNR fel'!K13+'5 GSZNR fel'!K18</f>
        <v>1900</v>
      </c>
      <c r="J43" s="355">
        <f>'5 GSZNR fel'!L13+'5 GSZNR fel'!L18</f>
        <v>0</v>
      </c>
      <c r="K43" s="355">
        <f t="shared" si="2"/>
        <v>1900</v>
      </c>
      <c r="L43" s="355">
        <f>'5 GSZNR fel'!N13+'5 GSZNR fel'!N18</f>
        <v>1049</v>
      </c>
      <c r="M43" s="355">
        <f>'5 GSZNR fel'!L13+'5 GSZNR fel'!L18</f>
        <v>0</v>
      </c>
      <c r="N43" s="355">
        <f t="shared" si="3"/>
        <v>1049</v>
      </c>
      <c r="O43" s="355">
        <f>'5 GSZNR fel'!Q13+'5 GSZNR fel'!Q18</f>
        <v>1470</v>
      </c>
      <c r="P43" s="355">
        <f>'5 GSZNR fel'!P13+'5 GSZNR fel'!P18</f>
        <v>0</v>
      </c>
      <c r="Q43" s="355">
        <f t="shared" si="4"/>
        <v>1470</v>
      </c>
      <c r="R43" s="355">
        <f>'5 GSZNR fel'!T13+'5 GSZNR fel'!T18</f>
        <v>1470</v>
      </c>
      <c r="S43" s="355">
        <f>'5 GSZNR fel'!S13+'5 GSZNR fel'!S18</f>
        <v>0</v>
      </c>
      <c r="T43" s="355">
        <f t="shared" si="5"/>
        <v>1470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1">C36+C42</f>
        <v>87619</v>
      </c>
      <c r="D46" s="333">
        <f t="shared" si="71"/>
        <v>0</v>
      </c>
      <c r="E46" s="333">
        <f t="shared" si="0"/>
        <v>87619</v>
      </c>
      <c r="F46" s="333">
        <f t="shared" ref="F46:G46" si="72">F36+F42</f>
        <v>88525</v>
      </c>
      <c r="G46" s="333">
        <f t="shared" si="72"/>
        <v>0</v>
      </c>
      <c r="H46" s="333">
        <f t="shared" si="1"/>
        <v>88525</v>
      </c>
      <c r="I46" s="333">
        <f t="shared" ref="I46:J46" si="73">I36+I42</f>
        <v>88525</v>
      </c>
      <c r="J46" s="333">
        <f t="shared" si="73"/>
        <v>0</v>
      </c>
      <c r="K46" s="333">
        <f t="shared" si="2"/>
        <v>88525</v>
      </c>
      <c r="L46" s="333">
        <f t="shared" ref="L46:M46" si="74">L36+L42</f>
        <v>75985</v>
      </c>
      <c r="M46" s="333">
        <f t="shared" si="74"/>
        <v>0</v>
      </c>
      <c r="N46" s="333">
        <f t="shared" si="3"/>
        <v>75985</v>
      </c>
      <c r="O46" s="333">
        <f t="shared" ref="O46:P46" si="75">O36+O42</f>
        <v>82602.040000000008</v>
      </c>
      <c r="P46" s="333">
        <f t="shared" si="75"/>
        <v>0</v>
      </c>
      <c r="Q46" s="333">
        <f t="shared" si="4"/>
        <v>82602.040000000008</v>
      </c>
      <c r="R46" s="333">
        <f t="shared" ref="R46:S46" si="76">R36+R42</f>
        <v>83743</v>
      </c>
      <c r="S46" s="333">
        <f t="shared" si="76"/>
        <v>0</v>
      </c>
      <c r="T46" s="333">
        <f t="shared" si="5"/>
        <v>83743</v>
      </c>
    </row>
  </sheetData>
  <mergeCells count="8"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9" fitToWidth="0" fitToHeight="0" orientation="portrait" copies="2" r:id="rId1"/>
  <headerFooter>
    <oddHeader>&amp;L4/A.  melléklet a ...../2019. (.......) önkormányzati rendelethez&amp;C&amp;"-,Félkövér"&amp;16
A Walla József Óvoda 2019. évi bevételei és kiadásai jogcímenként és feladatonként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7.125" style="31" customWidth="1"/>
    <col min="2" max="2" width="56.25" customWidth="1"/>
    <col min="3" max="3" width="10" hidden="1" customWidth="1"/>
    <col min="4" max="4" width="9" hidden="1" customWidth="1"/>
    <col min="5" max="5" width="12.125" hidden="1" customWidth="1"/>
    <col min="6" max="10" width="9" hidden="1" customWidth="1"/>
    <col min="11" max="11" width="10.75" hidden="1" customWidth="1"/>
    <col min="12" max="14" width="9" hidden="1" customWidth="1"/>
  </cols>
  <sheetData>
    <row r="1" spans="1:20" ht="14.95" x14ac:dyDescent="0.25">
      <c r="E1" s="32"/>
      <c r="K1" s="32"/>
      <c r="N1" s="32"/>
      <c r="Q1" s="32"/>
      <c r="T1" s="32" t="s">
        <v>302</v>
      </c>
    </row>
    <row r="2" spans="1:20" ht="14.95" customHeight="1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ht="14.95" customHeight="1" x14ac:dyDescent="0.25">
      <c r="A3" s="346" t="s">
        <v>304</v>
      </c>
      <c r="B3" s="346" t="s">
        <v>1517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57.75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32</v>
      </c>
      <c r="D6" s="349"/>
      <c r="E6" s="349">
        <f t="shared" ref="E6:E46" si="0">SUM(C6:D6)</f>
        <v>32</v>
      </c>
      <c r="F6" s="349">
        <v>32</v>
      </c>
      <c r="G6" s="349"/>
      <c r="H6" s="349">
        <f t="shared" ref="H6:H46" si="1">SUM(F6:G6)</f>
        <v>32</v>
      </c>
      <c r="I6" s="349">
        <v>32</v>
      </c>
      <c r="J6" s="349"/>
      <c r="K6" s="349">
        <f t="shared" ref="K6:K46" si="2">SUM(I6:J6)</f>
        <v>32</v>
      </c>
      <c r="L6" s="349">
        <v>32</v>
      </c>
      <c r="M6" s="349"/>
      <c r="N6" s="349">
        <f t="shared" ref="N6:N46" si="3">SUM(L6:M6)</f>
        <v>32</v>
      </c>
      <c r="O6" s="349">
        <v>32</v>
      </c>
      <c r="P6" s="349"/>
      <c r="Q6" s="349">
        <f t="shared" ref="Q6:Q46" si="4">SUM(O6:P6)</f>
        <v>32</v>
      </c>
      <c r="R6" s="349">
        <v>32</v>
      </c>
      <c r="S6" s="349"/>
      <c r="T6" s="349">
        <f t="shared" ref="T6:T46" si="5">SUM(R6:S6)</f>
        <v>32</v>
      </c>
    </row>
    <row r="7" spans="1:20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3759</v>
      </c>
      <c r="D8" s="352">
        <f t="shared" si="6"/>
        <v>0</v>
      </c>
      <c r="E8" s="352">
        <f t="shared" si="0"/>
        <v>3759</v>
      </c>
      <c r="F8" s="352">
        <f t="shared" ref="F8:G8" si="7">F9+F11+F20</f>
        <v>3759</v>
      </c>
      <c r="G8" s="352">
        <f t="shared" si="7"/>
        <v>0</v>
      </c>
      <c r="H8" s="352">
        <f t="shared" si="1"/>
        <v>3759</v>
      </c>
      <c r="I8" s="352">
        <f t="shared" ref="I8:J8" si="8">I9+I11+I20</f>
        <v>3759</v>
      </c>
      <c r="J8" s="352">
        <f t="shared" si="8"/>
        <v>0</v>
      </c>
      <c r="K8" s="352">
        <f t="shared" si="2"/>
        <v>3759</v>
      </c>
      <c r="L8" s="352">
        <f t="shared" ref="L8:M8" si="9">L9+L11+L20</f>
        <v>6523</v>
      </c>
      <c r="M8" s="352">
        <f t="shared" si="9"/>
        <v>0</v>
      </c>
      <c r="N8" s="352">
        <f t="shared" si="3"/>
        <v>6523</v>
      </c>
      <c r="O8" s="352">
        <f t="shared" ref="O8:P8" si="10">O9+O11+O20</f>
        <v>5400</v>
      </c>
      <c r="P8" s="352">
        <f t="shared" si="10"/>
        <v>0</v>
      </c>
      <c r="Q8" s="352">
        <f t="shared" si="4"/>
        <v>5400</v>
      </c>
      <c r="R8" s="352">
        <f t="shared" ref="R8:S8" si="11">R9+R11+R20</f>
        <v>5400</v>
      </c>
      <c r="S8" s="352">
        <f t="shared" si="11"/>
        <v>0</v>
      </c>
      <c r="T8" s="352">
        <f t="shared" si="5"/>
        <v>5400</v>
      </c>
    </row>
    <row r="9" spans="1:20" x14ac:dyDescent="0.25">
      <c r="A9" s="353" t="s">
        <v>311</v>
      </c>
      <c r="B9" s="354" t="s">
        <v>312</v>
      </c>
      <c r="C9" s="355">
        <f t="shared" ref="C9:R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ref="S9" si="13">S10</f>
        <v>0</v>
      </c>
      <c r="T9" s="355">
        <f t="shared" si="5"/>
        <v>0</v>
      </c>
    </row>
    <row r="10" spans="1:20" ht="30.1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4">C12+C13+C14+C15+C16+C17+C18+C19</f>
        <v>3759</v>
      </c>
      <c r="D11" s="355">
        <f t="shared" si="14"/>
        <v>0</v>
      </c>
      <c r="E11" s="355">
        <f t="shared" si="0"/>
        <v>3759</v>
      </c>
      <c r="F11" s="355">
        <f t="shared" ref="F11:G11" si="15">F12+F13+F14+F15+F16+F17+F18+F19</f>
        <v>3759</v>
      </c>
      <c r="G11" s="355">
        <f t="shared" si="15"/>
        <v>0</v>
      </c>
      <c r="H11" s="355">
        <f t="shared" si="1"/>
        <v>3759</v>
      </c>
      <c r="I11" s="355">
        <f t="shared" ref="I11:J11" si="16">I12+I13+I14+I15+I16+I17+I18+I19</f>
        <v>3759</v>
      </c>
      <c r="J11" s="355">
        <f t="shared" si="16"/>
        <v>0</v>
      </c>
      <c r="K11" s="355">
        <f t="shared" si="2"/>
        <v>3759</v>
      </c>
      <c r="L11" s="355">
        <f t="shared" ref="L11:M11" si="17">L12+L13+L14+L15+L16+L17+L18+L19</f>
        <v>6523</v>
      </c>
      <c r="M11" s="355">
        <f t="shared" si="17"/>
        <v>0</v>
      </c>
      <c r="N11" s="355">
        <f t="shared" si="3"/>
        <v>6523</v>
      </c>
      <c r="O11" s="355">
        <f t="shared" ref="O11:P11" si="18">O12+O13+O14+O15+O16+O17+O18+O19</f>
        <v>5400</v>
      </c>
      <c r="P11" s="355">
        <f t="shared" si="18"/>
        <v>0</v>
      </c>
      <c r="Q11" s="355">
        <f t="shared" si="4"/>
        <v>5400</v>
      </c>
      <c r="R11" s="355">
        <f t="shared" ref="R11:S11" si="19">R12+R13+R14+R15+R16+R17+R18+R19</f>
        <v>5400</v>
      </c>
      <c r="S11" s="355">
        <f t="shared" si="19"/>
        <v>0</v>
      </c>
      <c r="T11" s="355">
        <f t="shared" si="5"/>
        <v>5400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357">
        <v>0</v>
      </c>
      <c r="D13" s="357">
        <v>0</v>
      </c>
      <c r="E13" s="357">
        <f t="shared" si="0"/>
        <v>0</v>
      </c>
      <c r="F13" s="357">
        <v>0</v>
      </c>
      <c r="G13" s="357">
        <v>0</v>
      </c>
      <c r="H13" s="357">
        <f t="shared" si="1"/>
        <v>0</v>
      </c>
      <c r="I13" s="357">
        <v>0</v>
      </c>
      <c r="J13" s="357">
        <v>0</v>
      </c>
      <c r="K13" s="357">
        <f t="shared" si="2"/>
        <v>0</v>
      </c>
      <c r="L13" s="357">
        <v>0</v>
      </c>
      <c r="M13" s="357">
        <v>0</v>
      </c>
      <c r="N13" s="357">
        <f t="shared" si="3"/>
        <v>0</v>
      </c>
      <c r="O13" s="357">
        <v>0</v>
      </c>
      <c r="P13" s="357">
        <v>0</v>
      </c>
      <c r="Q13" s="357">
        <f t="shared" si="4"/>
        <v>0</v>
      </c>
      <c r="R13" s="357">
        <v>0</v>
      </c>
      <c r="S13" s="357">
        <v>0</v>
      </c>
      <c r="T13" s="357">
        <f t="shared" si="5"/>
        <v>0</v>
      </c>
    </row>
    <row r="14" spans="1:20" x14ac:dyDescent="0.25">
      <c r="A14" s="392"/>
      <c r="B14" s="356" t="s">
        <v>663</v>
      </c>
      <c r="C14" s="357">
        <v>0</v>
      </c>
      <c r="D14" s="357">
        <v>0</v>
      </c>
      <c r="E14" s="357">
        <f t="shared" si="0"/>
        <v>0</v>
      </c>
      <c r="F14" s="357">
        <v>0</v>
      </c>
      <c r="G14" s="357">
        <v>0</v>
      </c>
      <c r="H14" s="357">
        <f t="shared" si="1"/>
        <v>0</v>
      </c>
      <c r="I14" s="357">
        <v>0</v>
      </c>
      <c r="J14" s="357">
        <v>0</v>
      </c>
      <c r="K14" s="357">
        <f t="shared" si="2"/>
        <v>0</v>
      </c>
      <c r="L14" s="357">
        <v>0</v>
      </c>
      <c r="M14" s="357">
        <v>0</v>
      </c>
      <c r="N14" s="357">
        <f t="shared" si="3"/>
        <v>0</v>
      </c>
      <c r="O14" s="357">
        <v>0</v>
      </c>
      <c r="P14" s="357">
        <v>0</v>
      </c>
      <c r="Q14" s="357">
        <f t="shared" si="4"/>
        <v>0</v>
      </c>
      <c r="R14" s="357">
        <v>0</v>
      </c>
      <c r="S14" s="357">
        <v>0</v>
      </c>
      <c r="T14" s="357">
        <f t="shared" si="5"/>
        <v>0</v>
      </c>
    </row>
    <row r="15" spans="1:20" x14ac:dyDescent="0.25">
      <c r="A15" s="392"/>
      <c r="B15" s="356" t="s">
        <v>664</v>
      </c>
      <c r="C15" s="273">
        <v>2960</v>
      </c>
      <c r="D15" s="273">
        <v>0</v>
      </c>
      <c r="E15" s="273">
        <f t="shared" si="0"/>
        <v>2960</v>
      </c>
      <c r="F15" s="273">
        <v>2960</v>
      </c>
      <c r="G15" s="273">
        <v>0</v>
      </c>
      <c r="H15" s="273">
        <f t="shared" si="1"/>
        <v>2960</v>
      </c>
      <c r="I15" s="273">
        <v>2960</v>
      </c>
      <c r="J15" s="273">
        <v>0</v>
      </c>
      <c r="K15" s="273">
        <f t="shared" si="2"/>
        <v>2960</v>
      </c>
      <c r="L15" s="273">
        <v>4464</v>
      </c>
      <c r="M15" s="273">
        <v>0</v>
      </c>
      <c r="N15" s="273">
        <f t="shared" si="3"/>
        <v>4464</v>
      </c>
      <c r="O15" s="273">
        <v>4200</v>
      </c>
      <c r="P15" s="273">
        <v>0</v>
      </c>
      <c r="Q15" s="273">
        <f t="shared" si="4"/>
        <v>4200</v>
      </c>
      <c r="R15" s="273">
        <v>4200</v>
      </c>
      <c r="S15" s="273">
        <v>0</v>
      </c>
      <c r="T15" s="273">
        <f t="shared" si="5"/>
        <v>4200</v>
      </c>
    </row>
    <row r="16" spans="1:20" x14ac:dyDescent="0.25">
      <c r="A16" s="392"/>
      <c r="B16" s="356" t="s">
        <v>665</v>
      </c>
      <c r="C16" s="273">
        <v>799</v>
      </c>
      <c r="D16" s="273">
        <v>0</v>
      </c>
      <c r="E16" s="273">
        <f t="shared" si="0"/>
        <v>799</v>
      </c>
      <c r="F16" s="273">
        <v>799</v>
      </c>
      <c r="G16" s="273">
        <v>0</v>
      </c>
      <c r="H16" s="273">
        <f t="shared" si="1"/>
        <v>799</v>
      </c>
      <c r="I16" s="273">
        <v>799</v>
      </c>
      <c r="J16" s="273">
        <v>0</v>
      </c>
      <c r="K16" s="273">
        <f t="shared" si="2"/>
        <v>799</v>
      </c>
      <c r="L16" s="273">
        <v>1210</v>
      </c>
      <c r="M16" s="273">
        <v>0</v>
      </c>
      <c r="N16" s="273">
        <f t="shared" si="3"/>
        <v>1210</v>
      </c>
      <c r="O16" s="273">
        <v>1200</v>
      </c>
      <c r="P16" s="273">
        <v>0</v>
      </c>
      <c r="Q16" s="273">
        <f t="shared" si="4"/>
        <v>1200</v>
      </c>
      <c r="R16" s="273">
        <v>1200</v>
      </c>
      <c r="S16" s="273">
        <v>0</v>
      </c>
      <c r="T16" s="273">
        <f t="shared" si="5"/>
        <v>1200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849</v>
      </c>
      <c r="M17" s="273">
        <v>0</v>
      </c>
      <c r="N17" s="273">
        <f t="shared" si="3"/>
        <v>849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</row>
    <row r="20" spans="1:20" x14ac:dyDescent="0.25">
      <c r="A20" s="353" t="s">
        <v>315</v>
      </c>
      <c r="B20" s="354" t="s">
        <v>316</v>
      </c>
      <c r="C20" s="355">
        <f t="shared" ref="C20:R20" si="20">SUM(C21:C21)</f>
        <v>0</v>
      </c>
      <c r="D20" s="355">
        <f t="shared" si="20"/>
        <v>0</v>
      </c>
      <c r="E20" s="355">
        <f t="shared" si="0"/>
        <v>0</v>
      </c>
      <c r="F20" s="355">
        <f t="shared" si="20"/>
        <v>0</v>
      </c>
      <c r="G20" s="355">
        <f t="shared" si="20"/>
        <v>0</v>
      </c>
      <c r="H20" s="355">
        <f t="shared" si="1"/>
        <v>0</v>
      </c>
      <c r="I20" s="355">
        <f t="shared" si="20"/>
        <v>0</v>
      </c>
      <c r="J20" s="355">
        <f t="shared" si="20"/>
        <v>0</v>
      </c>
      <c r="K20" s="355">
        <f t="shared" si="2"/>
        <v>0</v>
      </c>
      <c r="L20" s="355">
        <f t="shared" si="20"/>
        <v>0</v>
      </c>
      <c r="M20" s="355">
        <f t="shared" si="20"/>
        <v>0</v>
      </c>
      <c r="N20" s="355">
        <f t="shared" si="3"/>
        <v>0</v>
      </c>
      <c r="O20" s="355">
        <f t="shared" si="20"/>
        <v>0</v>
      </c>
      <c r="P20" s="355">
        <f t="shared" si="20"/>
        <v>0</v>
      </c>
      <c r="Q20" s="355">
        <f t="shared" si="4"/>
        <v>0</v>
      </c>
      <c r="R20" s="355">
        <f t="shared" si="20"/>
        <v>0</v>
      </c>
      <c r="S20" s="355">
        <f t="shared" ref="S20" si="21">SUM(S21:S21)</f>
        <v>0</v>
      </c>
      <c r="T20" s="355">
        <f t="shared" si="5"/>
        <v>0</v>
      </c>
    </row>
    <row r="21" spans="1:20" ht="14.95" hidden="1" customHeight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2">C23+C25+C28</f>
        <v>0</v>
      </c>
      <c r="D22" s="352">
        <f t="shared" si="22"/>
        <v>0</v>
      </c>
      <c r="E22" s="352">
        <f t="shared" si="0"/>
        <v>0</v>
      </c>
      <c r="F22" s="352">
        <f t="shared" ref="F22:G22" si="23">F23+F25+F28</f>
        <v>0</v>
      </c>
      <c r="G22" s="352">
        <f t="shared" si="23"/>
        <v>0</v>
      </c>
      <c r="H22" s="352">
        <f t="shared" si="1"/>
        <v>0</v>
      </c>
      <c r="I22" s="352">
        <f t="shared" ref="I22:J22" si="24">I23+I25+I28</f>
        <v>0</v>
      </c>
      <c r="J22" s="352">
        <f t="shared" si="24"/>
        <v>0</v>
      </c>
      <c r="K22" s="352">
        <f t="shared" si="2"/>
        <v>0</v>
      </c>
      <c r="L22" s="352">
        <f t="shared" ref="L22:M22" si="25">L23+L25+L28</f>
        <v>0</v>
      </c>
      <c r="M22" s="352">
        <f t="shared" si="25"/>
        <v>0</v>
      </c>
      <c r="N22" s="352">
        <f t="shared" si="3"/>
        <v>0</v>
      </c>
      <c r="O22" s="352">
        <f t="shared" ref="O22:P22" si="26">O23+O25+O28</f>
        <v>0</v>
      </c>
      <c r="P22" s="352">
        <f t="shared" si="26"/>
        <v>0</v>
      </c>
      <c r="Q22" s="352">
        <f t="shared" si="4"/>
        <v>0</v>
      </c>
      <c r="R22" s="352">
        <f t="shared" ref="R22:S22" si="27">R23+R25+R28</f>
        <v>0</v>
      </c>
      <c r="S22" s="352">
        <f t="shared" si="27"/>
        <v>0</v>
      </c>
      <c r="T22" s="352">
        <f t="shared" si="5"/>
        <v>0</v>
      </c>
    </row>
    <row r="23" spans="1:20" ht="14.95" hidden="1" customHeight="1" x14ac:dyDescent="0.25">
      <c r="A23" s="353" t="s">
        <v>311</v>
      </c>
      <c r="B23" s="354" t="s">
        <v>320</v>
      </c>
      <c r="C23" s="355">
        <f t="shared" ref="C23:R23" si="28">SUM(C24:C24)</f>
        <v>0</v>
      </c>
      <c r="D23" s="355">
        <f t="shared" si="28"/>
        <v>0</v>
      </c>
      <c r="E23" s="355">
        <f t="shared" si="0"/>
        <v>0</v>
      </c>
      <c r="F23" s="355">
        <f t="shared" si="28"/>
        <v>0</v>
      </c>
      <c r="G23" s="355">
        <f t="shared" si="28"/>
        <v>0</v>
      </c>
      <c r="H23" s="355">
        <f t="shared" si="1"/>
        <v>0</v>
      </c>
      <c r="I23" s="355">
        <f t="shared" si="28"/>
        <v>0</v>
      </c>
      <c r="J23" s="355">
        <f t="shared" si="28"/>
        <v>0</v>
      </c>
      <c r="K23" s="355">
        <f t="shared" si="2"/>
        <v>0</v>
      </c>
      <c r="L23" s="355">
        <f t="shared" si="28"/>
        <v>0</v>
      </c>
      <c r="M23" s="355">
        <f t="shared" si="28"/>
        <v>0</v>
      </c>
      <c r="N23" s="355">
        <f t="shared" si="3"/>
        <v>0</v>
      </c>
      <c r="O23" s="355">
        <f t="shared" si="28"/>
        <v>0</v>
      </c>
      <c r="P23" s="355">
        <f t="shared" si="28"/>
        <v>0</v>
      </c>
      <c r="Q23" s="355">
        <f t="shared" si="4"/>
        <v>0</v>
      </c>
      <c r="R23" s="355">
        <f t="shared" si="28"/>
        <v>0</v>
      </c>
      <c r="S23" s="355">
        <f t="shared" ref="S23" si="29">SUM(S24:S24)</f>
        <v>0</v>
      </c>
      <c r="T23" s="355">
        <f t="shared" si="5"/>
        <v>0</v>
      </c>
    </row>
    <row r="24" spans="1:20" ht="30.1" hidden="1" customHeight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customHeight="1" x14ac:dyDescent="0.25">
      <c r="A25" s="353" t="s">
        <v>322</v>
      </c>
      <c r="B25" s="354" t="s">
        <v>257</v>
      </c>
      <c r="C25" s="355">
        <f t="shared" ref="C25:D25" si="30">SUM(C26:C27)</f>
        <v>0</v>
      </c>
      <c r="D25" s="355">
        <f t="shared" si="30"/>
        <v>0</v>
      </c>
      <c r="E25" s="355">
        <f t="shared" si="0"/>
        <v>0</v>
      </c>
      <c r="F25" s="355">
        <f t="shared" ref="F25:G25" si="31">SUM(F26:F27)</f>
        <v>0</v>
      </c>
      <c r="G25" s="355">
        <f t="shared" si="31"/>
        <v>0</v>
      </c>
      <c r="H25" s="355">
        <f t="shared" si="1"/>
        <v>0</v>
      </c>
      <c r="I25" s="355">
        <f t="shared" ref="I25:J25" si="32">SUM(I26:I27)</f>
        <v>0</v>
      </c>
      <c r="J25" s="355">
        <f t="shared" si="32"/>
        <v>0</v>
      </c>
      <c r="K25" s="355">
        <f t="shared" si="2"/>
        <v>0</v>
      </c>
      <c r="L25" s="355">
        <f t="shared" ref="L25:M25" si="33">SUM(L26:L27)</f>
        <v>0</v>
      </c>
      <c r="M25" s="355">
        <f t="shared" si="33"/>
        <v>0</v>
      </c>
      <c r="N25" s="355">
        <f t="shared" si="3"/>
        <v>0</v>
      </c>
      <c r="O25" s="355">
        <f t="shared" ref="O25:P25" si="34">SUM(O26:O27)</f>
        <v>0</v>
      </c>
      <c r="P25" s="355">
        <f t="shared" si="34"/>
        <v>0</v>
      </c>
      <c r="Q25" s="355">
        <f t="shared" si="4"/>
        <v>0</v>
      </c>
      <c r="R25" s="355">
        <f t="shared" ref="R25:S25" si="35">SUM(R26:R27)</f>
        <v>0</v>
      </c>
      <c r="S25" s="355">
        <f t="shared" si="35"/>
        <v>0</v>
      </c>
      <c r="T25" s="355">
        <f t="shared" si="5"/>
        <v>0</v>
      </c>
    </row>
    <row r="26" spans="1:20" ht="14.95" hidden="1" customHeight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customHeight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customHeight="1" x14ac:dyDescent="0.25">
      <c r="A28" s="353" t="s">
        <v>315</v>
      </c>
      <c r="B28" s="354" t="s">
        <v>325</v>
      </c>
      <c r="C28" s="355">
        <f t="shared" ref="C28:R28" si="36">SUM(C29:C29)</f>
        <v>0</v>
      </c>
      <c r="D28" s="355">
        <f t="shared" si="36"/>
        <v>0</v>
      </c>
      <c r="E28" s="355">
        <f t="shared" si="0"/>
        <v>0</v>
      </c>
      <c r="F28" s="355">
        <f t="shared" si="36"/>
        <v>0</v>
      </c>
      <c r="G28" s="355">
        <f t="shared" si="36"/>
        <v>0</v>
      </c>
      <c r="H28" s="355">
        <f t="shared" si="1"/>
        <v>0</v>
      </c>
      <c r="I28" s="355">
        <f t="shared" si="36"/>
        <v>0</v>
      </c>
      <c r="J28" s="355">
        <f t="shared" si="36"/>
        <v>0</v>
      </c>
      <c r="K28" s="355">
        <f t="shared" si="2"/>
        <v>0</v>
      </c>
      <c r="L28" s="355">
        <f t="shared" si="36"/>
        <v>0</v>
      </c>
      <c r="M28" s="355">
        <f t="shared" si="36"/>
        <v>0</v>
      </c>
      <c r="N28" s="355">
        <f t="shared" si="3"/>
        <v>0</v>
      </c>
      <c r="O28" s="355">
        <f t="shared" si="36"/>
        <v>0</v>
      </c>
      <c r="P28" s="355">
        <f t="shared" si="36"/>
        <v>0</v>
      </c>
      <c r="Q28" s="355">
        <f t="shared" si="4"/>
        <v>0</v>
      </c>
      <c r="R28" s="355">
        <f t="shared" si="36"/>
        <v>0</v>
      </c>
      <c r="S28" s="355">
        <f t="shared" ref="S28" si="37">SUM(S29:S29)</f>
        <v>0</v>
      </c>
      <c r="T28" s="355">
        <f t="shared" si="5"/>
        <v>0</v>
      </c>
    </row>
    <row r="29" spans="1:20" ht="14.95" hidden="1" customHeight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8">C22+C8</f>
        <v>3759</v>
      </c>
      <c r="D30" s="360">
        <f t="shared" si="38"/>
        <v>0</v>
      </c>
      <c r="E30" s="360">
        <f t="shared" si="0"/>
        <v>3759</v>
      </c>
      <c r="F30" s="360">
        <f t="shared" ref="F30:G30" si="39">F22+F8</f>
        <v>3759</v>
      </c>
      <c r="G30" s="360">
        <f t="shared" si="39"/>
        <v>0</v>
      </c>
      <c r="H30" s="360">
        <f t="shared" si="1"/>
        <v>3759</v>
      </c>
      <c r="I30" s="360">
        <f t="shared" ref="I30:J30" si="40">I22+I8</f>
        <v>3759</v>
      </c>
      <c r="J30" s="360">
        <f t="shared" si="40"/>
        <v>0</v>
      </c>
      <c r="K30" s="360">
        <f t="shared" si="2"/>
        <v>3759</v>
      </c>
      <c r="L30" s="360">
        <f t="shared" ref="L30:M30" si="41">L22+L8</f>
        <v>6523</v>
      </c>
      <c r="M30" s="360">
        <f t="shared" si="41"/>
        <v>0</v>
      </c>
      <c r="N30" s="360">
        <f t="shared" si="3"/>
        <v>6523</v>
      </c>
      <c r="O30" s="360">
        <f t="shared" ref="O30:P30" si="42">O22+O8</f>
        <v>5400</v>
      </c>
      <c r="P30" s="360">
        <f t="shared" si="42"/>
        <v>0</v>
      </c>
      <c r="Q30" s="360">
        <f t="shared" si="4"/>
        <v>5400</v>
      </c>
      <c r="R30" s="360">
        <f t="shared" ref="R30:S30" si="43">R22+R8</f>
        <v>5400</v>
      </c>
      <c r="S30" s="360">
        <f t="shared" si="43"/>
        <v>0</v>
      </c>
      <c r="T30" s="360">
        <f t="shared" si="5"/>
        <v>5400</v>
      </c>
    </row>
    <row r="31" spans="1:20" x14ac:dyDescent="0.25">
      <c r="A31" s="350" t="s">
        <v>328</v>
      </c>
      <c r="B31" s="351" t="s">
        <v>329</v>
      </c>
      <c r="C31" s="352">
        <f t="shared" ref="C31:R31" si="44">C32</f>
        <v>176880</v>
      </c>
      <c r="D31" s="352">
        <f t="shared" si="44"/>
        <v>0</v>
      </c>
      <c r="E31" s="352">
        <f t="shared" si="0"/>
        <v>176880</v>
      </c>
      <c r="F31" s="352">
        <f t="shared" si="44"/>
        <v>178289</v>
      </c>
      <c r="G31" s="352">
        <f t="shared" si="44"/>
        <v>0</v>
      </c>
      <c r="H31" s="352">
        <f t="shared" si="1"/>
        <v>178289</v>
      </c>
      <c r="I31" s="352">
        <f t="shared" si="44"/>
        <v>178289</v>
      </c>
      <c r="J31" s="352">
        <f t="shared" si="44"/>
        <v>0</v>
      </c>
      <c r="K31" s="352">
        <f t="shared" si="2"/>
        <v>178289</v>
      </c>
      <c r="L31" s="352">
        <f t="shared" si="44"/>
        <v>166016</v>
      </c>
      <c r="M31" s="352">
        <f t="shared" si="44"/>
        <v>0</v>
      </c>
      <c r="N31" s="352">
        <f t="shared" si="3"/>
        <v>166016</v>
      </c>
      <c r="O31" s="352">
        <f t="shared" si="44"/>
        <v>183678</v>
      </c>
      <c r="P31" s="352">
        <f t="shared" si="44"/>
        <v>0</v>
      </c>
      <c r="Q31" s="352">
        <f t="shared" si="4"/>
        <v>183678</v>
      </c>
      <c r="R31" s="352">
        <f t="shared" si="44"/>
        <v>183910</v>
      </c>
      <c r="S31" s="352">
        <f t="shared" ref="S31" si="45">S32</f>
        <v>0</v>
      </c>
      <c r="T31" s="352">
        <f t="shared" si="5"/>
        <v>183910</v>
      </c>
    </row>
    <row r="32" spans="1:20" x14ac:dyDescent="0.25">
      <c r="A32" s="353" t="s">
        <v>311</v>
      </c>
      <c r="B32" s="354" t="s">
        <v>330</v>
      </c>
      <c r="C32" s="355">
        <f t="shared" ref="C32:D32" si="46">SUM(C33:C34)</f>
        <v>176880</v>
      </c>
      <c r="D32" s="355">
        <f t="shared" si="46"/>
        <v>0</v>
      </c>
      <c r="E32" s="355">
        <f t="shared" si="0"/>
        <v>176880</v>
      </c>
      <c r="F32" s="355">
        <f t="shared" ref="F32:G32" si="47">SUM(F33:F34)</f>
        <v>178289</v>
      </c>
      <c r="G32" s="355">
        <f t="shared" si="47"/>
        <v>0</v>
      </c>
      <c r="H32" s="355">
        <f t="shared" si="1"/>
        <v>178289</v>
      </c>
      <c r="I32" s="355">
        <f t="shared" ref="I32:J32" si="48">SUM(I33:I34)</f>
        <v>178289</v>
      </c>
      <c r="J32" s="355">
        <f t="shared" si="48"/>
        <v>0</v>
      </c>
      <c r="K32" s="355">
        <f t="shared" si="2"/>
        <v>178289</v>
      </c>
      <c r="L32" s="355">
        <f t="shared" ref="L32:M32" si="49">SUM(L33:L34)</f>
        <v>166016</v>
      </c>
      <c r="M32" s="355">
        <f t="shared" si="49"/>
        <v>0</v>
      </c>
      <c r="N32" s="355">
        <f t="shared" si="3"/>
        <v>166016</v>
      </c>
      <c r="O32" s="355">
        <f t="shared" ref="O32:P32" si="50">SUM(O33:O34)</f>
        <v>183678</v>
      </c>
      <c r="P32" s="355">
        <f t="shared" si="50"/>
        <v>0</v>
      </c>
      <c r="Q32" s="355">
        <f t="shared" si="4"/>
        <v>183678</v>
      </c>
      <c r="R32" s="355">
        <f t="shared" ref="R32:S32" si="51">SUM(R33:R34)</f>
        <v>183910</v>
      </c>
      <c r="S32" s="355">
        <f t="shared" si="51"/>
        <v>0</v>
      </c>
      <c r="T32" s="355">
        <f t="shared" si="5"/>
        <v>183910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1409</v>
      </c>
      <c r="G33" s="273">
        <v>0</v>
      </c>
      <c r="H33" s="273">
        <f t="shared" si="1"/>
        <v>1409</v>
      </c>
      <c r="I33" s="273">
        <v>1963</v>
      </c>
      <c r="J33" s="273">
        <v>0</v>
      </c>
      <c r="K33" s="273">
        <f t="shared" si="2"/>
        <v>1963</v>
      </c>
      <c r="L33" s="273">
        <v>1409</v>
      </c>
      <c r="M33" s="273">
        <v>0</v>
      </c>
      <c r="N33" s="273">
        <f t="shared" si="3"/>
        <v>1409</v>
      </c>
      <c r="O33" s="273">
        <v>0</v>
      </c>
      <c r="P33" s="273">
        <v>0</v>
      </c>
      <c r="Q33" s="273">
        <f t="shared" si="4"/>
        <v>0</v>
      </c>
      <c r="R33" s="273">
        <v>232</v>
      </c>
      <c r="S33" s="273">
        <v>0</v>
      </c>
      <c r="T33" s="273">
        <f t="shared" si="5"/>
        <v>232</v>
      </c>
    </row>
    <row r="34" spans="1:20" x14ac:dyDescent="0.25">
      <c r="A34" s="392"/>
      <c r="B34" s="358" t="s">
        <v>332</v>
      </c>
      <c r="C34" s="273">
        <f t="shared" ref="C34:D34" si="52">C36+C42-C8-C22-C33</f>
        <v>176880</v>
      </c>
      <c r="D34" s="273">
        <f t="shared" si="52"/>
        <v>0</v>
      </c>
      <c r="E34" s="273">
        <f t="shared" si="0"/>
        <v>176880</v>
      </c>
      <c r="F34" s="273">
        <f t="shared" ref="F34:G34" si="53">F36+F42-F8-F22-F33</f>
        <v>176880</v>
      </c>
      <c r="G34" s="273">
        <f t="shared" si="53"/>
        <v>0</v>
      </c>
      <c r="H34" s="273">
        <f t="shared" si="1"/>
        <v>176880</v>
      </c>
      <c r="I34" s="273">
        <f t="shared" ref="I34:J34" si="54">I36+I42-I8-I22-I33</f>
        <v>176326</v>
      </c>
      <c r="J34" s="273">
        <f t="shared" si="54"/>
        <v>0</v>
      </c>
      <c r="K34" s="273">
        <f t="shared" si="2"/>
        <v>176326</v>
      </c>
      <c r="L34" s="273">
        <v>164607</v>
      </c>
      <c r="M34" s="273">
        <f t="shared" ref="M34" si="55">M36+M42-M8-M22-M33</f>
        <v>0</v>
      </c>
      <c r="N34" s="273">
        <f t="shared" si="3"/>
        <v>164607</v>
      </c>
      <c r="O34" s="273">
        <f t="shared" ref="O34:P34" si="56">O36+O42-O8-O22-O33</f>
        <v>183678</v>
      </c>
      <c r="P34" s="273">
        <f t="shared" si="56"/>
        <v>0</v>
      </c>
      <c r="Q34" s="273">
        <f t="shared" si="4"/>
        <v>183678</v>
      </c>
      <c r="R34" s="273">
        <f t="shared" ref="R34:S34" si="57">R36+R42-R8-R22-R33</f>
        <v>183678</v>
      </c>
      <c r="S34" s="273">
        <f t="shared" si="57"/>
        <v>0</v>
      </c>
      <c r="T34" s="273">
        <f t="shared" si="5"/>
        <v>183678</v>
      </c>
    </row>
    <row r="35" spans="1:20" x14ac:dyDescent="0.25">
      <c r="A35" s="361"/>
      <c r="B35" s="362" t="s">
        <v>333</v>
      </c>
      <c r="C35" s="333">
        <f t="shared" ref="C35:D35" si="58">C31+C22+C8</f>
        <v>180639</v>
      </c>
      <c r="D35" s="333">
        <f t="shared" si="58"/>
        <v>0</v>
      </c>
      <c r="E35" s="333">
        <f t="shared" si="0"/>
        <v>180639</v>
      </c>
      <c r="F35" s="333">
        <f t="shared" ref="F35:G35" si="59">F31+F22+F8</f>
        <v>182048</v>
      </c>
      <c r="G35" s="333">
        <f t="shared" si="59"/>
        <v>0</v>
      </c>
      <c r="H35" s="333">
        <f t="shared" si="1"/>
        <v>182048</v>
      </c>
      <c r="I35" s="333">
        <f t="shared" ref="I35:J35" si="60">I31+I22+I8</f>
        <v>182048</v>
      </c>
      <c r="J35" s="333">
        <f t="shared" si="60"/>
        <v>0</v>
      </c>
      <c r="K35" s="333">
        <f t="shared" si="2"/>
        <v>182048</v>
      </c>
      <c r="L35" s="333">
        <f t="shared" ref="L35:M35" si="61">L31+L22+L8</f>
        <v>172539</v>
      </c>
      <c r="M35" s="333">
        <f t="shared" si="61"/>
        <v>0</v>
      </c>
      <c r="N35" s="333">
        <f t="shared" si="3"/>
        <v>172539</v>
      </c>
      <c r="O35" s="333">
        <f t="shared" ref="O35:P35" si="62">O31+O22+O8</f>
        <v>189078</v>
      </c>
      <c r="P35" s="333">
        <f t="shared" si="62"/>
        <v>0</v>
      </c>
      <c r="Q35" s="333">
        <f t="shared" si="4"/>
        <v>189078</v>
      </c>
      <c r="R35" s="333">
        <f t="shared" ref="R35:S35" si="63">R31+R22+R8</f>
        <v>189310</v>
      </c>
      <c r="S35" s="333">
        <f t="shared" si="63"/>
        <v>0</v>
      </c>
      <c r="T35" s="333">
        <f t="shared" si="5"/>
        <v>189310</v>
      </c>
    </row>
    <row r="36" spans="1:20" x14ac:dyDescent="0.25">
      <c r="A36" s="350" t="s">
        <v>309</v>
      </c>
      <c r="B36" s="351" t="s">
        <v>334</v>
      </c>
      <c r="C36" s="352">
        <f t="shared" ref="C36:D36" si="64">SUM(C37:C41)</f>
        <v>180004</v>
      </c>
      <c r="D36" s="352">
        <f t="shared" si="64"/>
        <v>0</v>
      </c>
      <c r="E36" s="352">
        <f t="shared" si="0"/>
        <v>180004</v>
      </c>
      <c r="F36" s="352">
        <f>SUM(F37:F41)</f>
        <v>180945</v>
      </c>
      <c r="G36" s="352">
        <f t="shared" ref="G36" si="65">SUM(G37:G41)</f>
        <v>0</v>
      </c>
      <c r="H36" s="352">
        <f t="shared" si="1"/>
        <v>180945</v>
      </c>
      <c r="I36" s="352">
        <f>SUM(I37:I41)</f>
        <v>180945</v>
      </c>
      <c r="J36" s="352">
        <f t="shared" ref="J36" si="66">SUM(J37:J41)</f>
        <v>0</v>
      </c>
      <c r="K36" s="352">
        <f t="shared" si="2"/>
        <v>180945</v>
      </c>
      <c r="L36" s="352">
        <f>SUM(L37:L41)</f>
        <v>172417</v>
      </c>
      <c r="M36" s="352">
        <f t="shared" ref="M36" si="67">SUM(M37:M41)</f>
        <v>0</v>
      </c>
      <c r="N36" s="352">
        <f t="shared" si="3"/>
        <v>172417</v>
      </c>
      <c r="O36" s="352">
        <f>SUM(O37:O41)</f>
        <v>189078</v>
      </c>
      <c r="P36" s="352">
        <f t="shared" ref="P36" si="68">SUM(P37:P41)</f>
        <v>0</v>
      </c>
      <c r="Q36" s="352">
        <f t="shared" si="4"/>
        <v>189078</v>
      </c>
      <c r="R36" s="352">
        <f>SUM(R37:R41)</f>
        <v>188909</v>
      </c>
      <c r="S36" s="352">
        <f t="shared" ref="S36" si="69">SUM(S37:S41)</f>
        <v>0</v>
      </c>
      <c r="T36" s="352">
        <f t="shared" si="5"/>
        <v>188909</v>
      </c>
    </row>
    <row r="37" spans="1:20" x14ac:dyDescent="0.25">
      <c r="A37" s="353" t="s">
        <v>311</v>
      </c>
      <c r="B37" s="354" t="s">
        <v>286</v>
      </c>
      <c r="C37" s="355">
        <f>'5 GSZNR fel'!E23+'5 GSZNR fel'!E29</f>
        <v>113815</v>
      </c>
      <c r="D37" s="355">
        <f>'5 GSZNR fel'!D23+'5 GSZNR fel'!D29</f>
        <v>0</v>
      </c>
      <c r="E37" s="355">
        <f t="shared" si="0"/>
        <v>113815</v>
      </c>
      <c r="F37" s="355">
        <f>'5 GSZNR fel'!H23+'5 GSZNR fel'!H29</f>
        <v>113608</v>
      </c>
      <c r="G37" s="355">
        <f>'5 GSZNR fel'!I23+'5 GSZNR fel'!I29</f>
        <v>0</v>
      </c>
      <c r="H37" s="355">
        <f t="shared" si="1"/>
        <v>113608</v>
      </c>
      <c r="I37" s="355">
        <f>'5 GSZNR fel'!K23+'5 GSZNR fel'!K29</f>
        <v>113608</v>
      </c>
      <c r="J37" s="355">
        <f>'5 GSZNR fel'!L23+'5 GSZNR fel'!L29</f>
        <v>0</v>
      </c>
      <c r="K37" s="355">
        <f t="shared" si="2"/>
        <v>113608</v>
      </c>
      <c r="L37" s="355">
        <f>'5 GSZNR fel'!N23+'5 GSZNR fel'!N29</f>
        <v>105498</v>
      </c>
      <c r="M37" s="355">
        <f>'5 GSZNR fel'!L23+'5 GSZNR fel'!L29</f>
        <v>0</v>
      </c>
      <c r="N37" s="355">
        <f t="shared" si="3"/>
        <v>105498</v>
      </c>
      <c r="O37" s="355">
        <f>'5 GSZNR fel'!Q23+'5 GSZNR fel'!Q29</f>
        <v>119552</v>
      </c>
      <c r="P37" s="355">
        <f>'5 GSZNR fel'!P23+'5 GSZNR fel'!P29</f>
        <v>0</v>
      </c>
      <c r="Q37" s="355">
        <f t="shared" si="4"/>
        <v>119552</v>
      </c>
      <c r="R37" s="355">
        <f>'5 GSZNR fel'!T23+'5 GSZNR fel'!T29</f>
        <v>119552</v>
      </c>
      <c r="S37" s="355">
        <f>'5 GSZNR fel'!S23+'5 GSZNR fel'!S29</f>
        <v>0</v>
      </c>
      <c r="T37" s="355">
        <f t="shared" si="5"/>
        <v>119552</v>
      </c>
    </row>
    <row r="38" spans="1:20" x14ac:dyDescent="0.25">
      <c r="A38" s="353" t="s">
        <v>322</v>
      </c>
      <c r="B38" s="354" t="s">
        <v>335</v>
      </c>
      <c r="C38" s="355">
        <f>'5 GSZNR fel'!E24+'5 GSZNR fel'!E30</f>
        <v>23916</v>
      </c>
      <c r="D38" s="355">
        <f>'5 GSZNR fel'!D24+'5 GSZNR fel'!D30</f>
        <v>0</v>
      </c>
      <c r="E38" s="355">
        <f t="shared" si="0"/>
        <v>23916</v>
      </c>
      <c r="F38" s="355">
        <f>'5 GSZNR fel'!H24+'5 GSZNR fel'!H30</f>
        <v>23916</v>
      </c>
      <c r="G38" s="355">
        <f>'5 GSZNR fel'!I24+'5 GSZNR fel'!I30</f>
        <v>0</v>
      </c>
      <c r="H38" s="355">
        <f t="shared" si="1"/>
        <v>23916</v>
      </c>
      <c r="I38" s="355">
        <f>'5 GSZNR fel'!K24+'5 GSZNR fel'!K30</f>
        <v>23916</v>
      </c>
      <c r="J38" s="355">
        <f>'5 GSZNR fel'!L24+'5 GSZNR fel'!L30</f>
        <v>0</v>
      </c>
      <c r="K38" s="355">
        <f t="shared" si="2"/>
        <v>23916</v>
      </c>
      <c r="L38" s="355">
        <f>'5 GSZNR fel'!N24+'5 GSZNR fel'!N30</f>
        <v>23038</v>
      </c>
      <c r="M38" s="355">
        <f>'5 GSZNR fel'!L24+'5 GSZNR fel'!L30</f>
        <v>0</v>
      </c>
      <c r="N38" s="355">
        <f t="shared" si="3"/>
        <v>23038</v>
      </c>
      <c r="O38" s="355">
        <f>'5 GSZNR fel'!Q24+'5 GSZNR fel'!Q30</f>
        <v>24606</v>
      </c>
      <c r="P38" s="355">
        <f>'5 GSZNR fel'!P24+'5 GSZNR fel'!P30</f>
        <v>0</v>
      </c>
      <c r="Q38" s="355">
        <f t="shared" si="4"/>
        <v>24606</v>
      </c>
      <c r="R38" s="355">
        <f>'5 GSZNR fel'!T24+'5 GSZNR fel'!T30</f>
        <v>24606</v>
      </c>
      <c r="S38" s="355">
        <f>'5 GSZNR fel'!S24+'5 GSZNR fel'!S30</f>
        <v>0</v>
      </c>
      <c r="T38" s="355">
        <f t="shared" si="5"/>
        <v>24606</v>
      </c>
    </row>
    <row r="39" spans="1:20" x14ac:dyDescent="0.25">
      <c r="A39" s="353" t="s">
        <v>315</v>
      </c>
      <c r="B39" s="354" t="s">
        <v>292</v>
      </c>
      <c r="C39" s="355">
        <f>'5 GSZNR fel'!E25+'5 GSZNR fel'!E31</f>
        <v>42273</v>
      </c>
      <c r="D39" s="355">
        <f>'5 GSZNR fel'!D25+'5 GSZNR fel'!D31</f>
        <v>0</v>
      </c>
      <c r="E39" s="355">
        <f t="shared" si="0"/>
        <v>42273</v>
      </c>
      <c r="F39" s="355">
        <f>'5 GSZNR fel'!H25+'5 GSZNR fel'!H31</f>
        <v>42022</v>
      </c>
      <c r="G39" s="355">
        <f>'5 GSZNR fel'!I25+'5 GSZNR fel'!I31</f>
        <v>0</v>
      </c>
      <c r="H39" s="355">
        <f t="shared" si="1"/>
        <v>42022</v>
      </c>
      <c r="I39" s="355">
        <f>'5 GSZNR fel'!K25+'5 GSZNR fel'!K31</f>
        <v>42022</v>
      </c>
      <c r="J39" s="355">
        <f>'5 GSZNR fel'!L25+'5 GSZNR fel'!L31</f>
        <v>0</v>
      </c>
      <c r="K39" s="355">
        <f t="shared" si="2"/>
        <v>42022</v>
      </c>
      <c r="L39" s="355">
        <f>'5 GSZNR fel'!N25+'5 GSZNR fel'!N31</f>
        <v>42482</v>
      </c>
      <c r="M39" s="355">
        <f>'5 GSZNR fel'!L25+'5 GSZNR fel'!L31</f>
        <v>0</v>
      </c>
      <c r="N39" s="355">
        <f t="shared" si="3"/>
        <v>42482</v>
      </c>
      <c r="O39" s="355">
        <f>'5 GSZNR fel'!Q25+'5 GSZNR fel'!Q31</f>
        <v>44920</v>
      </c>
      <c r="P39" s="355">
        <f>'5 GSZNR fel'!P25+'5 GSZNR fel'!P31</f>
        <v>0</v>
      </c>
      <c r="Q39" s="355">
        <f t="shared" si="4"/>
        <v>44920</v>
      </c>
      <c r="R39" s="355">
        <f>'5 GSZNR fel'!T25+'5 GSZNR fel'!T31</f>
        <v>44751</v>
      </c>
      <c r="S39" s="355">
        <f>'5 GSZNR fel'!S25+'5 GSZNR fel'!S31</f>
        <v>0</v>
      </c>
      <c r="T39" s="355">
        <f t="shared" si="5"/>
        <v>44751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fel'!H26</f>
        <v>1399</v>
      </c>
      <c r="G41" s="355">
        <v>0</v>
      </c>
      <c r="H41" s="355">
        <f t="shared" si="1"/>
        <v>1399</v>
      </c>
      <c r="I41" s="355">
        <f>+'5 GSZNR fel'!K26</f>
        <v>1399</v>
      </c>
      <c r="J41" s="355">
        <v>0</v>
      </c>
      <c r="K41" s="355">
        <f t="shared" si="2"/>
        <v>1399</v>
      </c>
      <c r="L41" s="355">
        <f>+'5 GSZNR fel'!N26</f>
        <v>1399</v>
      </c>
      <c r="M41" s="355">
        <f>+'5 GSZNR fel'!L26</f>
        <v>0</v>
      </c>
      <c r="N41" s="355">
        <f t="shared" si="3"/>
        <v>1399</v>
      </c>
      <c r="O41" s="355">
        <f>+'5 GSZNR fel'!Q26</f>
        <v>0</v>
      </c>
      <c r="P41" s="355">
        <f>+'5 GSZNR fel'!P26</f>
        <v>0</v>
      </c>
      <c r="Q41" s="355">
        <f t="shared" si="4"/>
        <v>0</v>
      </c>
      <c r="R41" s="355">
        <f>+'5 GSZNR fel'!T26</f>
        <v>0</v>
      </c>
      <c r="S41" s="355">
        <f>+'5 GSZNR fel'!S26</f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70">SUM(C43:C45)</f>
        <v>635</v>
      </c>
      <c r="D42" s="352">
        <f t="shared" si="70"/>
        <v>0</v>
      </c>
      <c r="E42" s="352">
        <f t="shared" si="0"/>
        <v>635</v>
      </c>
      <c r="F42" s="352">
        <f>SUM(F43:F45)</f>
        <v>1103</v>
      </c>
      <c r="G42" s="352">
        <f t="shared" ref="G42" si="71">SUM(G43:G45)</f>
        <v>0</v>
      </c>
      <c r="H42" s="352">
        <f t="shared" si="1"/>
        <v>1103</v>
      </c>
      <c r="I42" s="352">
        <f>SUM(I43:I45)</f>
        <v>1103</v>
      </c>
      <c r="J42" s="352">
        <f t="shared" ref="J42" si="72">SUM(J43:J45)</f>
        <v>0</v>
      </c>
      <c r="K42" s="352">
        <f t="shared" si="2"/>
        <v>1103</v>
      </c>
      <c r="L42" s="352">
        <f>SUM(L43:L45)</f>
        <v>629</v>
      </c>
      <c r="M42" s="352">
        <f t="shared" ref="M42" si="73">SUM(M43:M45)</f>
        <v>0</v>
      </c>
      <c r="N42" s="352">
        <f t="shared" si="3"/>
        <v>629</v>
      </c>
      <c r="O42" s="352">
        <f>SUM(O43:O45)</f>
        <v>0</v>
      </c>
      <c r="P42" s="352">
        <f t="shared" ref="P42" si="74">SUM(P43:P45)</f>
        <v>0</v>
      </c>
      <c r="Q42" s="352">
        <f t="shared" si="4"/>
        <v>0</v>
      </c>
      <c r="R42" s="352">
        <f>SUM(R43:R45)</f>
        <v>401</v>
      </c>
      <c r="S42" s="352">
        <f t="shared" ref="S42" si="75">SUM(S43:S45)</f>
        <v>0</v>
      </c>
      <c r="T42" s="352">
        <f t="shared" si="5"/>
        <v>401</v>
      </c>
    </row>
    <row r="43" spans="1:20" x14ac:dyDescent="0.25">
      <c r="A43" s="353" t="s">
        <v>311</v>
      </c>
      <c r="B43" s="354" t="s">
        <v>341</v>
      </c>
      <c r="C43" s="355">
        <f>'5 GSZNR fel'!E27+'5 GSZNR fel'!E32</f>
        <v>635</v>
      </c>
      <c r="D43" s="355">
        <f>'5 GSZNR fel'!D27+'5 GSZNR fel'!D32</f>
        <v>0</v>
      </c>
      <c r="E43" s="355">
        <f t="shared" si="0"/>
        <v>635</v>
      </c>
      <c r="F43" s="355">
        <f>'5 GSZNR fel'!H27+'5 GSZNR fel'!H32</f>
        <v>1103</v>
      </c>
      <c r="G43" s="355">
        <f>'5 GSZNR fel'!I27+'5 GSZNR fel'!I32</f>
        <v>0</v>
      </c>
      <c r="H43" s="355">
        <f t="shared" si="1"/>
        <v>1103</v>
      </c>
      <c r="I43" s="355">
        <f>'5 GSZNR fel'!K27+'5 GSZNR fel'!K32</f>
        <v>1103</v>
      </c>
      <c r="J43" s="355">
        <f>'5 GSZNR fel'!L27+'5 GSZNR fel'!L32</f>
        <v>0</v>
      </c>
      <c r="K43" s="355">
        <f t="shared" si="2"/>
        <v>1103</v>
      </c>
      <c r="L43" s="355">
        <f>'5 GSZNR fel'!N27+'5 GSZNR fel'!N32</f>
        <v>629</v>
      </c>
      <c r="M43" s="355">
        <f>'5 GSZNR fel'!L27+'5 GSZNR fel'!L32</f>
        <v>0</v>
      </c>
      <c r="N43" s="355">
        <f t="shared" si="3"/>
        <v>629</v>
      </c>
      <c r="O43" s="355">
        <f>'5 GSZNR fel'!Q27+'5 GSZNR fel'!Q32</f>
        <v>0</v>
      </c>
      <c r="P43" s="355">
        <f>'5 GSZNR fel'!P27+'5 GSZNR fel'!P32</f>
        <v>0</v>
      </c>
      <c r="Q43" s="355">
        <f t="shared" si="4"/>
        <v>0</v>
      </c>
      <c r="R43" s="355">
        <f>'5 GSZNR fel'!T27+'5 GSZNR fel'!T32</f>
        <v>401</v>
      </c>
      <c r="S43" s="355">
        <f>'5 GSZNR fel'!S27+'5 GSZNR fel'!S32</f>
        <v>0</v>
      </c>
      <c r="T43" s="355">
        <f t="shared" si="5"/>
        <v>401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6">C36+C42</f>
        <v>180639</v>
      </c>
      <c r="D46" s="333">
        <f t="shared" si="76"/>
        <v>0</v>
      </c>
      <c r="E46" s="333">
        <f t="shared" si="0"/>
        <v>180639</v>
      </c>
      <c r="F46" s="333">
        <f t="shared" ref="F46:G46" si="77">F36+F42</f>
        <v>182048</v>
      </c>
      <c r="G46" s="333">
        <f t="shared" si="77"/>
        <v>0</v>
      </c>
      <c r="H46" s="333">
        <f t="shared" si="1"/>
        <v>182048</v>
      </c>
      <c r="I46" s="333">
        <f t="shared" ref="I46:J46" si="78">I36+I42</f>
        <v>182048</v>
      </c>
      <c r="J46" s="333">
        <f t="shared" si="78"/>
        <v>0</v>
      </c>
      <c r="K46" s="333">
        <f t="shared" si="2"/>
        <v>182048</v>
      </c>
      <c r="L46" s="333">
        <f t="shared" ref="L46:M46" si="79">L36+L42</f>
        <v>173046</v>
      </c>
      <c r="M46" s="333">
        <f t="shared" si="79"/>
        <v>0</v>
      </c>
      <c r="N46" s="333">
        <f t="shared" si="3"/>
        <v>173046</v>
      </c>
      <c r="O46" s="333">
        <f t="shared" ref="O46:P46" si="80">O36+O42</f>
        <v>189078</v>
      </c>
      <c r="P46" s="333">
        <f t="shared" si="80"/>
        <v>0</v>
      </c>
      <c r="Q46" s="333">
        <f t="shared" si="4"/>
        <v>189078</v>
      </c>
      <c r="R46" s="333">
        <f t="shared" ref="R46:S46" si="81">R36+R42</f>
        <v>189310</v>
      </c>
      <c r="S46" s="333">
        <f t="shared" si="81"/>
        <v>0</v>
      </c>
      <c r="T46" s="333">
        <f t="shared" si="5"/>
        <v>189310</v>
      </c>
    </row>
  </sheetData>
  <mergeCells count="8"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5" fitToWidth="0" fitToHeight="0" orientation="portrait" copies="2" r:id="rId1"/>
  <headerFooter>
    <oddHeader>&amp;L4/B.  melléklet a ...../2019. (.......) önkormányzati rendelethez&amp;C&amp;"-,Félkövér"&amp;16
A Törökbálinti Nyitnikék Óvoda 2019. évi bevételei és kiadásai jogcímenként és feladatonként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7.125" style="31" customWidth="1"/>
    <col min="2" max="2" width="50.75" customWidth="1"/>
    <col min="3" max="3" width="9.875" hidden="1" customWidth="1"/>
    <col min="4" max="4" width="9" hidden="1" customWidth="1"/>
    <col min="5" max="5" width="9.375" hidden="1" customWidth="1"/>
    <col min="6" max="10" width="9" hidden="1" customWidth="1"/>
    <col min="11" max="11" width="10.875" hidden="1" customWidth="1"/>
    <col min="12" max="13" width="9" hidden="1" customWidth="1"/>
    <col min="14" max="14" width="10.375" hidden="1" customWidth="1"/>
  </cols>
  <sheetData>
    <row r="1" spans="1:20" ht="14.95" x14ac:dyDescent="0.25">
      <c r="E1" s="32"/>
      <c r="K1" s="32"/>
      <c r="N1" s="32"/>
      <c r="Q1" s="32"/>
      <c r="T1" s="32" t="s">
        <v>302</v>
      </c>
    </row>
    <row r="2" spans="1:20" ht="28.55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x14ac:dyDescent="0.25">
      <c r="A3" s="346" t="s">
        <v>304</v>
      </c>
      <c r="B3" s="346" t="s">
        <v>1516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41.95" customHeight="1" x14ac:dyDescent="0.25">
      <c r="A4" s="391" t="s">
        <v>305</v>
      </c>
      <c r="B4" s="390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391"/>
      <c r="B5" s="39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56</v>
      </c>
      <c r="D6" s="349"/>
      <c r="E6" s="349">
        <f t="shared" ref="E6:E46" si="0">SUM(C6:D6)</f>
        <v>56</v>
      </c>
      <c r="F6" s="349">
        <v>56</v>
      </c>
      <c r="G6" s="349"/>
      <c r="H6" s="349">
        <f t="shared" ref="H6:H46" si="1">SUM(F6:G6)</f>
        <v>56</v>
      </c>
      <c r="I6" s="349">
        <v>56</v>
      </c>
      <c r="J6" s="349"/>
      <c r="K6" s="349">
        <f t="shared" ref="K6:K46" si="2">SUM(I6:J6)</f>
        <v>56</v>
      </c>
      <c r="L6" s="349">
        <v>56</v>
      </c>
      <c r="M6" s="349"/>
      <c r="N6" s="349">
        <f t="shared" ref="N6:N46" si="3">SUM(L6:M6)</f>
        <v>56</v>
      </c>
      <c r="O6" s="349">
        <v>56</v>
      </c>
      <c r="P6" s="349"/>
      <c r="Q6" s="349">
        <f t="shared" ref="Q6:Q46" si="4">SUM(O6:P6)</f>
        <v>56</v>
      </c>
      <c r="R6" s="349">
        <v>56</v>
      </c>
      <c r="S6" s="349"/>
      <c r="T6" s="349">
        <f t="shared" ref="T6:T46" si="5">SUM(R6:S6)</f>
        <v>56</v>
      </c>
    </row>
    <row r="7" spans="1:20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7684</v>
      </c>
      <c r="D8" s="352">
        <f t="shared" si="6"/>
        <v>0</v>
      </c>
      <c r="E8" s="352">
        <f t="shared" si="0"/>
        <v>7684</v>
      </c>
      <c r="F8" s="352">
        <f t="shared" ref="F8:G8" si="7">F9+F11+F20</f>
        <v>7684</v>
      </c>
      <c r="G8" s="352">
        <f t="shared" si="7"/>
        <v>0</v>
      </c>
      <c r="H8" s="352">
        <f t="shared" si="1"/>
        <v>7684</v>
      </c>
      <c r="I8" s="352">
        <f t="shared" ref="I8:J8" si="8">I9+I11+I20</f>
        <v>7684</v>
      </c>
      <c r="J8" s="352">
        <f t="shared" si="8"/>
        <v>0</v>
      </c>
      <c r="K8" s="352">
        <f t="shared" si="2"/>
        <v>7684</v>
      </c>
      <c r="L8" s="352">
        <f t="shared" ref="L8:M8" si="9">L9+L11+L20</f>
        <v>11447</v>
      </c>
      <c r="M8" s="352">
        <f t="shared" si="9"/>
        <v>0</v>
      </c>
      <c r="N8" s="352">
        <f t="shared" si="3"/>
        <v>11447</v>
      </c>
      <c r="O8" s="352">
        <f t="shared" ref="O8:P8" si="10">O9+O11+O20</f>
        <v>7684</v>
      </c>
      <c r="P8" s="352">
        <f t="shared" si="10"/>
        <v>0</v>
      </c>
      <c r="Q8" s="352">
        <f t="shared" si="4"/>
        <v>7684</v>
      </c>
      <c r="R8" s="352">
        <f t="shared" ref="R8:S8" si="11">R9+R11+R20</f>
        <v>7684</v>
      </c>
      <c r="S8" s="352">
        <f t="shared" si="11"/>
        <v>0</v>
      </c>
      <c r="T8" s="352">
        <f t="shared" si="5"/>
        <v>7684</v>
      </c>
    </row>
    <row r="9" spans="1:20" x14ac:dyDescent="0.25">
      <c r="A9" s="353" t="s">
        <v>311</v>
      </c>
      <c r="B9" s="354" t="s">
        <v>312</v>
      </c>
      <c r="C9" s="355">
        <f t="shared" ref="C9:S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si="12"/>
        <v>0</v>
      </c>
      <c r="T9" s="355">
        <f t="shared" si="5"/>
        <v>0</v>
      </c>
    </row>
    <row r="10" spans="1:20" ht="30.1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3">C12+C13+C14+C15+C16+C17+C18+C19</f>
        <v>7684</v>
      </c>
      <c r="D11" s="355">
        <f t="shared" si="13"/>
        <v>0</v>
      </c>
      <c r="E11" s="355">
        <f t="shared" si="0"/>
        <v>7684</v>
      </c>
      <c r="F11" s="355">
        <f t="shared" ref="F11:G11" si="14">F12+F13+F14+F15+F16+F17+F18+F19</f>
        <v>7684</v>
      </c>
      <c r="G11" s="355">
        <f t="shared" si="14"/>
        <v>0</v>
      </c>
      <c r="H11" s="355">
        <f t="shared" si="1"/>
        <v>7684</v>
      </c>
      <c r="I11" s="355">
        <f t="shared" ref="I11:J11" si="15">I12+I13+I14+I15+I16+I17+I18+I19</f>
        <v>7684</v>
      </c>
      <c r="J11" s="355">
        <f t="shared" si="15"/>
        <v>0</v>
      </c>
      <c r="K11" s="355">
        <f t="shared" si="2"/>
        <v>7684</v>
      </c>
      <c r="L11" s="355">
        <f t="shared" ref="L11:M11" si="16">L12+L13+L14+L15+L16+L17+L18+L19</f>
        <v>11447</v>
      </c>
      <c r="M11" s="355">
        <f t="shared" si="16"/>
        <v>0</v>
      </c>
      <c r="N11" s="355">
        <f t="shared" si="3"/>
        <v>11447</v>
      </c>
      <c r="O11" s="355">
        <f t="shared" ref="O11:P11" si="17">O12+O13+O14+O15+O16+O17+O18+O19</f>
        <v>7684</v>
      </c>
      <c r="P11" s="355">
        <f t="shared" si="17"/>
        <v>0</v>
      </c>
      <c r="Q11" s="355">
        <f t="shared" si="4"/>
        <v>7684</v>
      </c>
      <c r="R11" s="355">
        <f t="shared" ref="R11:S11" si="18">R12+R13+R14+R15+R16+R17+R18+R19</f>
        <v>7684</v>
      </c>
      <c r="S11" s="355">
        <f t="shared" si="18"/>
        <v>0</v>
      </c>
      <c r="T11" s="355">
        <f t="shared" si="5"/>
        <v>7684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</row>
    <row r="14" spans="1:20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</row>
    <row r="15" spans="1:20" x14ac:dyDescent="0.25">
      <c r="A15" s="392"/>
      <c r="B15" s="356" t="s">
        <v>664</v>
      </c>
      <c r="C15" s="273">
        <v>6050</v>
      </c>
      <c r="D15" s="273">
        <v>0</v>
      </c>
      <c r="E15" s="273">
        <f t="shared" si="0"/>
        <v>6050</v>
      </c>
      <c r="F15" s="273">
        <v>6050</v>
      </c>
      <c r="G15" s="273">
        <v>0</v>
      </c>
      <c r="H15" s="273">
        <f t="shared" si="1"/>
        <v>6050</v>
      </c>
      <c r="I15" s="273">
        <v>6050</v>
      </c>
      <c r="J15" s="273">
        <v>0</v>
      </c>
      <c r="K15" s="273">
        <f t="shared" si="2"/>
        <v>6050</v>
      </c>
      <c r="L15" s="273">
        <v>7856</v>
      </c>
      <c r="M15" s="273">
        <v>0</v>
      </c>
      <c r="N15" s="273">
        <f t="shared" si="3"/>
        <v>7856</v>
      </c>
      <c r="O15" s="273">
        <v>6050</v>
      </c>
      <c r="P15" s="273">
        <v>0</v>
      </c>
      <c r="Q15" s="273">
        <f t="shared" si="4"/>
        <v>6050</v>
      </c>
      <c r="R15" s="273">
        <v>6050</v>
      </c>
      <c r="S15" s="273">
        <v>0</v>
      </c>
      <c r="T15" s="273">
        <f t="shared" si="5"/>
        <v>6050</v>
      </c>
    </row>
    <row r="16" spans="1:20" x14ac:dyDescent="0.25">
      <c r="A16" s="392"/>
      <c r="B16" s="356" t="s">
        <v>665</v>
      </c>
      <c r="C16" s="273">
        <v>1634</v>
      </c>
      <c r="D16" s="273">
        <v>0</v>
      </c>
      <c r="E16" s="273">
        <f t="shared" si="0"/>
        <v>1634</v>
      </c>
      <c r="F16" s="273">
        <v>1634</v>
      </c>
      <c r="G16" s="273">
        <v>0</v>
      </c>
      <c r="H16" s="273">
        <f t="shared" si="1"/>
        <v>1634</v>
      </c>
      <c r="I16" s="273">
        <v>1634</v>
      </c>
      <c r="J16" s="273">
        <v>0</v>
      </c>
      <c r="K16" s="273">
        <f t="shared" si="2"/>
        <v>1634</v>
      </c>
      <c r="L16" s="273">
        <v>2121</v>
      </c>
      <c r="M16" s="273">
        <v>0</v>
      </c>
      <c r="N16" s="273">
        <f t="shared" si="3"/>
        <v>2121</v>
      </c>
      <c r="O16" s="273">
        <v>1634</v>
      </c>
      <c r="P16" s="273">
        <v>0</v>
      </c>
      <c r="Q16" s="273">
        <f t="shared" si="4"/>
        <v>1634</v>
      </c>
      <c r="R16" s="273">
        <v>1634</v>
      </c>
      <c r="S16" s="273">
        <v>0</v>
      </c>
      <c r="T16" s="273">
        <f t="shared" si="5"/>
        <v>1634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1470</v>
      </c>
      <c r="M17" s="273">
        <v>0</v>
      </c>
      <c r="N17" s="273">
        <f t="shared" si="3"/>
        <v>1470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</row>
    <row r="20" spans="1:20" x14ac:dyDescent="0.25">
      <c r="A20" s="353" t="s">
        <v>315</v>
      </c>
      <c r="B20" s="354" t="s">
        <v>316</v>
      </c>
      <c r="C20" s="355">
        <f t="shared" ref="C20:S20" si="19">SUM(C21:C21)</f>
        <v>0</v>
      </c>
      <c r="D20" s="355">
        <f t="shared" si="19"/>
        <v>0</v>
      </c>
      <c r="E20" s="355">
        <f t="shared" si="0"/>
        <v>0</v>
      </c>
      <c r="F20" s="355">
        <f t="shared" si="19"/>
        <v>0</v>
      </c>
      <c r="G20" s="355">
        <f t="shared" si="19"/>
        <v>0</v>
      </c>
      <c r="H20" s="355">
        <f t="shared" si="1"/>
        <v>0</v>
      </c>
      <c r="I20" s="355">
        <f t="shared" si="19"/>
        <v>0</v>
      </c>
      <c r="J20" s="355">
        <f t="shared" si="19"/>
        <v>0</v>
      </c>
      <c r="K20" s="355">
        <f t="shared" si="2"/>
        <v>0</v>
      </c>
      <c r="L20" s="355">
        <f t="shared" si="19"/>
        <v>0</v>
      </c>
      <c r="M20" s="355">
        <f t="shared" si="19"/>
        <v>0</v>
      </c>
      <c r="N20" s="355">
        <f t="shared" si="3"/>
        <v>0</v>
      </c>
      <c r="O20" s="355">
        <f t="shared" si="19"/>
        <v>0</v>
      </c>
      <c r="P20" s="355">
        <f t="shared" si="19"/>
        <v>0</v>
      </c>
      <c r="Q20" s="355">
        <f t="shared" si="4"/>
        <v>0</v>
      </c>
      <c r="R20" s="355">
        <f t="shared" si="19"/>
        <v>0</v>
      </c>
      <c r="S20" s="355">
        <f t="shared" si="19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0">C23+C25+C28</f>
        <v>0</v>
      </c>
      <c r="D22" s="352">
        <f t="shared" si="20"/>
        <v>0</v>
      </c>
      <c r="E22" s="352">
        <f t="shared" si="0"/>
        <v>0</v>
      </c>
      <c r="F22" s="352">
        <f t="shared" ref="F22:G22" si="21">F23+F25+F28</f>
        <v>0</v>
      </c>
      <c r="G22" s="352">
        <f t="shared" si="21"/>
        <v>0</v>
      </c>
      <c r="H22" s="352">
        <f t="shared" si="1"/>
        <v>0</v>
      </c>
      <c r="I22" s="352">
        <f t="shared" ref="I22:J22" si="22">I23+I25+I28</f>
        <v>0</v>
      </c>
      <c r="J22" s="352">
        <f t="shared" si="22"/>
        <v>0</v>
      </c>
      <c r="K22" s="352">
        <f t="shared" si="2"/>
        <v>0</v>
      </c>
      <c r="L22" s="352">
        <f t="shared" ref="L22:M22" si="23">L23+L25+L28</f>
        <v>0</v>
      </c>
      <c r="M22" s="352">
        <f t="shared" si="23"/>
        <v>0</v>
      </c>
      <c r="N22" s="352">
        <f t="shared" si="3"/>
        <v>0</v>
      </c>
      <c r="O22" s="352">
        <f t="shared" ref="O22:P22" si="24">O23+O25+O28</f>
        <v>0</v>
      </c>
      <c r="P22" s="352">
        <f t="shared" si="24"/>
        <v>0</v>
      </c>
      <c r="Q22" s="352">
        <f t="shared" si="4"/>
        <v>0</v>
      </c>
      <c r="R22" s="352">
        <f t="shared" ref="R22:S22" si="25">R23+R25+R28</f>
        <v>0</v>
      </c>
      <c r="S22" s="352">
        <f t="shared" si="25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S23" si="26">SUM(C24:C24)</f>
        <v>0</v>
      </c>
      <c r="D23" s="355">
        <f t="shared" si="26"/>
        <v>0</v>
      </c>
      <c r="E23" s="355">
        <f t="shared" si="0"/>
        <v>0</v>
      </c>
      <c r="F23" s="355">
        <f t="shared" si="26"/>
        <v>0</v>
      </c>
      <c r="G23" s="355">
        <f t="shared" si="26"/>
        <v>0</v>
      </c>
      <c r="H23" s="355">
        <f t="shared" si="1"/>
        <v>0</v>
      </c>
      <c r="I23" s="355">
        <f t="shared" si="26"/>
        <v>0</v>
      </c>
      <c r="J23" s="355">
        <f t="shared" si="26"/>
        <v>0</v>
      </c>
      <c r="K23" s="355">
        <f t="shared" si="2"/>
        <v>0</v>
      </c>
      <c r="L23" s="355">
        <f t="shared" si="26"/>
        <v>0</v>
      </c>
      <c r="M23" s="355">
        <f t="shared" si="26"/>
        <v>0</v>
      </c>
      <c r="N23" s="355">
        <f t="shared" si="3"/>
        <v>0</v>
      </c>
      <c r="O23" s="355">
        <f t="shared" si="26"/>
        <v>0</v>
      </c>
      <c r="P23" s="355">
        <f t="shared" si="26"/>
        <v>0</v>
      </c>
      <c r="Q23" s="355">
        <f t="shared" si="4"/>
        <v>0</v>
      </c>
      <c r="R23" s="355">
        <f t="shared" si="26"/>
        <v>0</v>
      </c>
      <c r="S23" s="355">
        <f t="shared" si="26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27">SUM(C26:C27)</f>
        <v>0</v>
      </c>
      <c r="D25" s="355">
        <f t="shared" si="27"/>
        <v>0</v>
      </c>
      <c r="E25" s="355">
        <f t="shared" si="0"/>
        <v>0</v>
      </c>
      <c r="F25" s="355">
        <f t="shared" ref="F25:G25" si="28">SUM(F26:F27)</f>
        <v>0</v>
      </c>
      <c r="G25" s="355">
        <f t="shared" si="28"/>
        <v>0</v>
      </c>
      <c r="H25" s="355">
        <f t="shared" si="1"/>
        <v>0</v>
      </c>
      <c r="I25" s="355">
        <f t="shared" ref="I25:J25" si="29">SUM(I26:I27)</f>
        <v>0</v>
      </c>
      <c r="J25" s="355">
        <f t="shared" si="29"/>
        <v>0</v>
      </c>
      <c r="K25" s="355">
        <f t="shared" si="2"/>
        <v>0</v>
      </c>
      <c r="L25" s="355">
        <f t="shared" ref="L25:M25" si="30">SUM(L26:L27)</f>
        <v>0</v>
      </c>
      <c r="M25" s="355">
        <f t="shared" si="30"/>
        <v>0</v>
      </c>
      <c r="N25" s="355">
        <f t="shared" si="3"/>
        <v>0</v>
      </c>
      <c r="O25" s="355">
        <f t="shared" ref="O25:P25" si="31">SUM(O26:O27)</f>
        <v>0</v>
      </c>
      <c r="P25" s="355">
        <f t="shared" si="31"/>
        <v>0</v>
      </c>
      <c r="Q25" s="355">
        <f t="shared" si="4"/>
        <v>0</v>
      </c>
      <c r="R25" s="355">
        <f t="shared" ref="R25:S25" si="32">SUM(R26:R27)</f>
        <v>0</v>
      </c>
      <c r="S25" s="355">
        <f t="shared" si="32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S28" si="33">SUM(C29:C29)</f>
        <v>0</v>
      </c>
      <c r="D28" s="355">
        <f t="shared" si="33"/>
        <v>0</v>
      </c>
      <c r="E28" s="355">
        <f t="shared" si="0"/>
        <v>0</v>
      </c>
      <c r="F28" s="355">
        <f t="shared" si="33"/>
        <v>0</v>
      </c>
      <c r="G28" s="355">
        <f t="shared" si="33"/>
        <v>0</v>
      </c>
      <c r="H28" s="355">
        <f t="shared" si="1"/>
        <v>0</v>
      </c>
      <c r="I28" s="355">
        <f t="shared" si="33"/>
        <v>0</v>
      </c>
      <c r="J28" s="355">
        <f t="shared" si="33"/>
        <v>0</v>
      </c>
      <c r="K28" s="355">
        <f t="shared" si="2"/>
        <v>0</v>
      </c>
      <c r="L28" s="355">
        <f t="shared" si="33"/>
        <v>0</v>
      </c>
      <c r="M28" s="355">
        <f t="shared" si="33"/>
        <v>0</v>
      </c>
      <c r="N28" s="355">
        <f t="shared" si="3"/>
        <v>0</v>
      </c>
      <c r="O28" s="355">
        <f t="shared" si="33"/>
        <v>0</v>
      </c>
      <c r="P28" s="355">
        <f t="shared" si="33"/>
        <v>0</v>
      </c>
      <c r="Q28" s="355">
        <f t="shared" si="4"/>
        <v>0</v>
      </c>
      <c r="R28" s="355">
        <f t="shared" si="33"/>
        <v>0</v>
      </c>
      <c r="S28" s="355">
        <f t="shared" si="33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4">C22+C8</f>
        <v>7684</v>
      </c>
      <c r="D30" s="360">
        <f t="shared" si="34"/>
        <v>0</v>
      </c>
      <c r="E30" s="360">
        <f t="shared" si="0"/>
        <v>7684</v>
      </c>
      <c r="F30" s="360">
        <f t="shared" ref="F30:G30" si="35">F22+F8</f>
        <v>7684</v>
      </c>
      <c r="G30" s="360">
        <f t="shared" si="35"/>
        <v>0</v>
      </c>
      <c r="H30" s="360">
        <f t="shared" si="1"/>
        <v>7684</v>
      </c>
      <c r="I30" s="360">
        <f t="shared" ref="I30:J30" si="36">I22+I8</f>
        <v>7684</v>
      </c>
      <c r="J30" s="360">
        <f t="shared" si="36"/>
        <v>0</v>
      </c>
      <c r="K30" s="360">
        <f t="shared" si="2"/>
        <v>7684</v>
      </c>
      <c r="L30" s="360">
        <f t="shared" ref="L30:M30" si="37">L22+L8</f>
        <v>11447</v>
      </c>
      <c r="M30" s="360">
        <f t="shared" si="37"/>
        <v>0</v>
      </c>
      <c r="N30" s="360">
        <f t="shared" si="3"/>
        <v>11447</v>
      </c>
      <c r="O30" s="360">
        <f t="shared" ref="O30:P30" si="38">O22+O8</f>
        <v>7684</v>
      </c>
      <c r="P30" s="360">
        <f t="shared" si="38"/>
        <v>0</v>
      </c>
      <c r="Q30" s="360">
        <f t="shared" si="4"/>
        <v>7684</v>
      </c>
      <c r="R30" s="360">
        <f t="shared" ref="R30:S30" si="39">R22+R8</f>
        <v>7684</v>
      </c>
      <c r="S30" s="360">
        <f t="shared" si="39"/>
        <v>0</v>
      </c>
      <c r="T30" s="360">
        <f t="shared" si="5"/>
        <v>7684</v>
      </c>
    </row>
    <row r="31" spans="1:20" x14ac:dyDescent="0.25">
      <c r="A31" s="350" t="s">
        <v>328</v>
      </c>
      <c r="B31" s="351" t="s">
        <v>329</v>
      </c>
      <c r="C31" s="352">
        <f t="shared" ref="C31:S31" si="40">C32</f>
        <v>311522</v>
      </c>
      <c r="D31" s="352">
        <f t="shared" si="40"/>
        <v>0</v>
      </c>
      <c r="E31" s="352">
        <f t="shared" si="0"/>
        <v>311522</v>
      </c>
      <c r="F31" s="352">
        <f t="shared" si="40"/>
        <v>314000</v>
      </c>
      <c r="G31" s="352">
        <f t="shared" si="40"/>
        <v>0</v>
      </c>
      <c r="H31" s="352">
        <f t="shared" si="1"/>
        <v>314000</v>
      </c>
      <c r="I31" s="352">
        <f t="shared" si="40"/>
        <v>314000</v>
      </c>
      <c r="J31" s="352">
        <f t="shared" si="40"/>
        <v>0</v>
      </c>
      <c r="K31" s="352">
        <f t="shared" si="2"/>
        <v>314000</v>
      </c>
      <c r="L31" s="352">
        <f t="shared" si="40"/>
        <v>299176</v>
      </c>
      <c r="M31" s="352">
        <f t="shared" si="40"/>
        <v>0</v>
      </c>
      <c r="N31" s="352">
        <f t="shared" si="3"/>
        <v>299176</v>
      </c>
      <c r="O31" s="352">
        <f t="shared" si="40"/>
        <v>326792</v>
      </c>
      <c r="P31" s="352">
        <f t="shared" si="40"/>
        <v>0</v>
      </c>
      <c r="Q31" s="352">
        <f t="shared" si="4"/>
        <v>326792</v>
      </c>
      <c r="R31" s="352">
        <f t="shared" si="40"/>
        <v>325175</v>
      </c>
      <c r="S31" s="352">
        <f t="shared" si="40"/>
        <v>0</v>
      </c>
      <c r="T31" s="352">
        <f t="shared" si="5"/>
        <v>325175</v>
      </c>
    </row>
    <row r="32" spans="1:20" x14ac:dyDescent="0.25">
      <c r="A32" s="353" t="s">
        <v>311</v>
      </c>
      <c r="B32" s="354" t="s">
        <v>330</v>
      </c>
      <c r="C32" s="355">
        <f t="shared" ref="C32:D32" si="41">SUM(C33:C34)</f>
        <v>311522</v>
      </c>
      <c r="D32" s="355">
        <f t="shared" si="41"/>
        <v>0</v>
      </c>
      <c r="E32" s="355">
        <f t="shared" si="0"/>
        <v>311522</v>
      </c>
      <c r="F32" s="355">
        <f t="shared" ref="F32:G32" si="42">SUM(F33:F34)</f>
        <v>314000</v>
      </c>
      <c r="G32" s="355">
        <f t="shared" si="42"/>
        <v>0</v>
      </c>
      <c r="H32" s="355">
        <f t="shared" si="1"/>
        <v>314000</v>
      </c>
      <c r="I32" s="355">
        <f t="shared" ref="I32:J32" si="43">SUM(I33:I34)</f>
        <v>314000</v>
      </c>
      <c r="J32" s="355">
        <f t="shared" si="43"/>
        <v>0</v>
      </c>
      <c r="K32" s="355">
        <f t="shared" si="2"/>
        <v>314000</v>
      </c>
      <c r="L32" s="355">
        <f t="shared" ref="L32:M32" si="44">SUM(L33:L34)</f>
        <v>299176</v>
      </c>
      <c r="M32" s="355">
        <f t="shared" si="44"/>
        <v>0</v>
      </c>
      <c r="N32" s="355">
        <f t="shared" si="3"/>
        <v>299176</v>
      </c>
      <c r="O32" s="355">
        <f t="shared" ref="O32:P32" si="45">SUM(O33:O34)</f>
        <v>326792</v>
      </c>
      <c r="P32" s="355">
        <f t="shared" si="45"/>
        <v>0</v>
      </c>
      <c r="Q32" s="355">
        <f t="shared" si="4"/>
        <v>326792</v>
      </c>
      <c r="R32" s="355">
        <f t="shared" ref="R32:S32" si="46">SUM(R33:R34)</f>
        <v>325175</v>
      </c>
      <c r="S32" s="355">
        <f t="shared" si="46"/>
        <v>0</v>
      </c>
      <c r="T32" s="355">
        <f t="shared" si="5"/>
        <v>325175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2478</v>
      </c>
      <c r="G33" s="273">
        <v>0</v>
      </c>
      <c r="H33" s="273">
        <f t="shared" si="1"/>
        <v>2478</v>
      </c>
      <c r="I33" s="273">
        <v>1306</v>
      </c>
      <c r="J33" s="273">
        <v>0</v>
      </c>
      <c r="K33" s="273">
        <f t="shared" si="2"/>
        <v>1306</v>
      </c>
      <c r="L33" s="273">
        <v>2478</v>
      </c>
      <c r="M33" s="273">
        <v>0</v>
      </c>
      <c r="N33" s="273">
        <f t="shared" si="3"/>
        <v>2478</v>
      </c>
      <c r="O33" s="273">
        <v>0</v>
      </c>
      <c r="P33" s="273">
        <v>0</v>
      </c>
      <c r="Q33" s="273">
        <f t="shared" si="4"/>
        <v>0</v>
      </c>
      <c r="R33" s="273">
        <v>913</v>
      </c>
      <c r="S33" s="273">
        <v>0</v>
      </c>
      <c r="T33" s="273">
        <f t="shared" si="5"/>
        <v>913</v>
      </c>
    </row>
    <row r="34" spans="1:20" x14ac:dyDescent="0.25">
      <c r="A34" s="392"/>
      <c r="B34" s="358" t="s">
        <v>332</v>
      </c>
      <c r="C34" s="273">
        <f t="shared" ref="C34:D34" si="47">C46-C30-C33</f>
        <v>311522</v>
      </c>
      <c r="D34" s="273">
        <f t="shared" si="47"/>
        <v>0</v>
      </c>
      <c r="E34" s="273">
        <f t="shared" si="0"/>
        <v>311522</v>
      </c>
      <c r="F34" s="273">
        <f t="shared" ref="F34:G34" si="48">F46-F30-F33</f>
        <v>311522</v>
      </c>
      <c r="G34" s="273">
        <f t="shared" si="48"/>
        <v>0</v>
      </c>
      <c r="H34" s="273">
        <f t="shared" si="1"/>
        <v>311522</v>
      </c>
      <c r="I34" s="273">
        <f t="shared" ref="I34:J34" si="49">I46-I30-I33</f>
        <v>312694</v>
      </c>
      <c r="J34" s="273">
        <f t="shared" si="49"/>
        <v>0</v>
      </c>
      <c r="K34" s="273">
        <f t="shared" si="2"/>
        <v>312694</v>
      </c>
      <c r="L34" s="273">
        <v>296698</v>
      </c>
      <c r="M34" s="273">
        <f t="shared" ref="M34" si="50">M46-M30-M33</f>
        <v>0</v>
      </c>
      <c r="N34" s="273">
        <f t="shared" si="3"/>
        <v>296698</v>
      </c>
      <c r="O34" s="273">
        <f t="shared" ref="O34:P34" si="51">O46-O30-O33</f>
        <v>326792</v>
      </c>
      <c r="P34" s="273">
        <f t="shared" si="51"/>
        <v>0</v>
      </c>
      <c r="Q34" s="273">
        <f t="shared" si="4"/>
        <v>326792</v>
      </c>
      <c r="R34" s="273">
        <f t="shared" ref="R34:S34" si="52">R46-R30-R33</f>
        <v>324262</v>
      </c>
      <c r="S34" s="273">
        <f t="shared" si="52"/>
        <v>0</v>
      </c>
      <c r="T34" s="273">
        <f t="shared" si="5"/>
        <v>324262</v>
      </c>
    </row>
    <row r="35" spans="1:20" x14ac:dyDescent="0.25">
      <c r="A35" s="361"/>
      <c r="B35" s="362" t="s">
        <v>333</v>
      </c>
      <c r="C35" s="333">
        <f t="shared" ref="C35:D35" si="53">C31+C22+C8</f>
        <v>319206</v>
      </c>
      <c r="D35" s="333">
        <f t="shared" si="53"/>
        <v>0</v>
      </c>
      <c r="E35" s="333">
        <f t="shared" si="0"/>
        <v>319206</v>
      </c>
      <c r="F35" s="333">
        <f t="shared" ref="F35:G35" si="54">F31+F22+F8</f>
        <v>321684</v>
      </c>
      <c r="G35" s="333">
        <f t="shared" si="54"/>
        <v>0</v>
      </c>
      <c r="H35" s="333">
        <f t="shared" si="1"/>
        <v>321684</v>
      </c>
      <c r="I35" s="333">
        <f t="shared" ref="I35:J35" si="55">I31+I22+I8</f>
        <v>321684</v>
      </c>
      <c r="J35" s="333">
        <f t="shared" si="55"/>
        <v>0</v>
      </c>
      <c r="K35" s="333">
        <f t="shared" si="2"/>
        <v>321684</v>
      </c>
      <c r="L35" s="333">
        <f t="shared" ref="L35:M35" si="56">L31+L22+L8</f>
        <v>310623</v>
      </c>
      <c r="M35" s="333">
        <f t="shared" si="56"/>
        <v>0</v>
      </c>
      <c r="N35" s="333">
        <f t="shared" si="3"/>
        <v>310623</v>
      </c>
      <c r="O35" s="333">
        <f t="shared" ref="O35:P35" si="57">O31+O22+O8</f>
        <v>334476</v>
      </c>
      <c r="P35" s="333">
        <f t="shared" si="57"/>
        <v>0</v>
      </c>
      <c r="Q35" s="333">
        <f t="shared" si="4"/>
        <v>334476</v>
      </c>
      <c r="R35" s="333">
        <f t="shared" ref="R35:S35" si="58">R31+R22+R8</f>
        <v>332859</v>
      </c>
      <c r="S35" s="333">
        <f t="shared" si="58"/>
        <v>0</v>
      </c>
      <c r="T35" s="333">
        <f t="shared" si="5"/>
        <v>332859</v>
      </c>
    </row>
    <row r="36" spans="1:20" x14ac:dyDescent="0.25">
      <c r="A36" s="350" t="s">
        <v>309</v>
      </c>
      <c r="B36" s="351" t="s">
        <v>334</v>
      </c>
      <c r="C36" s="352">
        <f t="shared" ref="C36:D36" si="59">SUM(C37:C41)</f>
        <v>318825</v>
      </c>
      <c r="D36" s="352">
        <f t="shared" si="59"/>
        <v>0</v>
      </c>
      <c r="E36" s="352">
        <f t="shared" si="0"/>
        <v>318825</v>
      </c>
      <c r="F36" s="352">
        <f>SUM(F37:F41)</f>
        <v>321303</v>
      </c>
      <c r="G36" s="352">
        <f t="shared" ref="G36" si="60">SUM(G37:G41)</f>
        <v>0</v>
      </c>
      <c r="H36" s="352">
        <f t="shared" si="1"/>
        <v>321303</v>
      </c>
      <c r="I36" s="352">
        <f>SUM(I37:I41)</f>
        <v>321303</v>
      </c>
      <c r="J36" s="352">
        <f t="shared" ref="J36" si="61">SUM(J37:J41)</f>
        <v>0</v>
      </c>
      <c r="K36" s="352">
        <f t="shared" si="2"/>
        <v>321303</v>
      </c>
      <c r="L36" s="352">
        <f>SUM(L37:L41)</f>
        <v>308186</v>
      </c>
      <c r="M36" s="352">
        <f t="shared" ref="M36" si="62">SUM(M37:M41)</f>
        <v>0</v>
      </c>
      <c r="N36" s="352">
        <f t="shared" si="3"/>
        <v>308186</v>
      </c>
      <c r="O36" s="352">
        <f>SUM(O37:O41)</f>
        <v>334176</v>
      </c>
      <c r="P36" s="352">
        <f t="shared" ref="P36" si="63">SUM(P37:P41)</f>
        <v>0</v>
      </c>
      <c r="Q36" s="352">
        <f t="shared" si="4"/>
        <v>334176</v>
      </c>
      <c r="R36" s="352">
        <f>SUM(R37:R41)</f>
        <v>332259</v>
      </c>
      <c r="S36" s="352">
        <f t="shared" ref="S36" si="64">SUM(S37:S41)</f>
        <v>0</v>
      </c>
      <c r="T36" s="352">
        <f t="shared" si="5"/>
        <v>332259</v>
      </c>
    </row>
    <row r="37" spans="1:20" x14ac:dyDescent="0.25">
      <c r="A37" s="353" t="s">
        <v>311</v>
      </c>
      <c r="B37" s="354" t="s">
        <v>286</v>
      </c>
      <c r="C37" s="355">
        <f>'5 GSZNR fel'!E37+'5 GSZNR fel'!E43</f>
        <v>201035</v>
      </c>
      <c r="D37" s="355">
        <f>'5 GSZNR fel'!D37+'5 GSZNR fel'!D43</f>
        <v>0</v>
      </c>
      <c r="E37" s="355">
        <f t="shared" si="0"/>
        <v>201035</v>
      </c>
      <c r="F37" s="355">
        <f>'5 GSZNR fel'!H37+'5 GSZNR fel'!H43</f>
        <v>201035</v>
      </c>
      <c r="G37" s="355">
        <f>'5 GSZNR fel'!I37+'5 GSZNR fel'!I43</f>
        <v>0</v>
      </c>
      <c r="H37" s="355">
        <f t="shared" si="1"/>
        <v>201035</v>
      </c>
      <c r="I37" s="355">
        <f>'5 GSZNR fel'!K37+'5 GSZNR fel'!K43</f>
        <v>201035</v>
      </c>
      <c r="J37" s="355">
        <f>'5 GSZNR fel'!L37+'5 GSZNR fel'!L43</f>
        <v>0</v>
      </c>
      <c r="K37" s="355">
        <f t="shared" si="2"/>
        <v>201035</v>
      </c>
      <c r="L37" s="355">
        <f>'5 GSZNR fel'!N37+'5 GSZNR fel'!N43</f>
        <v>192634</v>
      </c>
      <c r="M37" s="355">
        <f>'5 GSZNR fel'!L37+'5 GSZNR fel'!L43</f>
        <v>0</v>
      </c>
      <c r="N37" s="355">
        <f t="shared" si="3"/>
        <v>192634</v>
      </c>
      <c r="O37" s="355">
        <f>'5 GSZNR fel'!Q37+'5 GSZNR fel'!Q43</f>
        <v>212630</v>
      </c>
      <c r="P37" s="355">
        <f>'5 GSZNR fel'!P37+'5 GSZNR fel'!P43</f>
        <v>0</v>
      </c>
      <c r="Q37" s="355">
        <f t="shared" si="4"/>
        <v>212630</v>
      </c>
      <c r="R37" s="355">
        <f>'5 GSZNR fel'!T37+'5 GSZNR fel'!T43</f>
        <v>210530</v>
      </c>
      <c r="S37" s="355">
        <f>'5 GSZNR fel'!S37+'5 GSZNR fel'!S43</f>
        <v>0</v>
      </c>
      <c r="T37" s="355">
        <f t="shared" si="5"/>
        <v>210530</v>
      </c>
    </row>
    <row r="38" spans="1:20" x14ac:dyDescent="0.25">
      <c r="A38" s="353" t="s">
        <v>322</v>
      </c>
      <c r="B38" s="354" t="s">
        <v>335</v>
      </c>
      <c r="C38" s="355">
        <f>'5 GSZNR fel'!E38+'5 GSZNR fel'!E44</f>
        <v>42593</v>
      </c>
      <c r="D38" s="355">
        <f>'5 GSZNR fel'!D38+'5 GSZNR fel'!D44</f>
        <v>0</v>
      </c>
      <c r="E38" s="355">
        <f t="shared" si="0"/>
        <v>42593</v>
      </c>
      <c r="F38" s="355">
        <f>'5 GSZNR fel'!H38+'5 GSZNR fel'!H44</f>
        <v>42593</v>
      </c>
      <c r="G38" s="355">
        <f>'5 GSZNR fel'!I38+'5 GSZNR fel'!I44</f>
        <v>0</v>
      </c>
      <c r="H38" s="355">
        <f t="shared" si="1"/>
        <v>42593</v>
      </c>
      <c r="I38" s="355">
        <f>'5 GSZNR fel'!K38+'5 GSZNR fel'!K44</f>
        <v>42593</v>
      </c>
      <c r="J38" s="355">
        <f>'5 GSZNR fel'!L38+'5 GSZNR fel'!L44</f>
        <v>0</v>
      </c>
      <c r="K38" s="355">
        <f t="shared" si="2"/>
        <v>42593</v>
      </c>
      <c r="L38" s="355">
        <f>'5 GSZNR fel'!N38+'5 GSZNR fel'!N44</f>
        <v>42070</v>
      </c>
      <c r="M38" s="355">
        <f>'5 GSZNR fel'!L38+'5 GSZNR fel'!L44</f>
        <v>0</v>
      </c>
      <c r="N38" s="355">
        <f t="shared" si="3"/>
        <v>42070</v>
      </c>
      <c r="O38" s="355">
        <f>'5 GSZNR fel'!Q38+'5 GSZNR fel'!Q44</f>
        <v>43712</v>
      </c>
      <c r="P38" s="355">
        <f>'5 GSZNR fel'!P38+'5 GSZNR fel'!P44</f>
        <v>0</v>
      </c>
      <c r="Q38" s="355">
        <f t="shared" si="4"/>
        <v>43712</v>
      </c>
      <c r="R38" s="355">
        <f>'5 GSZNR fel'!T38+'5 GSZNR fel'!T44</f>
        <v>43282</v>
      </c>
      <c r="S38" s="355">
        <f>'5 GSZNR fel'!S38+'5 GSZNR fel'!S44</f>
        <v>0</v>
      </c>
      <c r="T38" s="355">
        <f t="shared" si="5"/>
        <v>43282</v>
      </c>
    </row>
    <row r="39" spans="1:20" x14ac:dyDescent="0.25">
      <c r="A39" s="353" t="s">
        <v>315</v>
      </c>
      <c r="B39" s="354" t="s">
        <v>292</v>
      </c>
      <c r="C39" s="355">
        <f>'5 GSZNR fel'!E39+'5 GSZNR fel'!E45</f>
        <v>75197</v>
      </c>
      <c r="D39" s="355">
        <f>'5 GSZNR fel'!D39+'5 GSZNR fel'!D45</f>
        <v>0</v>
      </c>
      <c r="E39" s="355">
        <f t="shared" si="0"/>
        <v>75197</v>
      </c>
      <c r="F39" s="355">
        <f>'5 GSZNR fel'!H39+'5 GSZNR fel'!H45</f>
        <v>75378</v>
      </c>
      <c r="G39" s="355">
        <f>'5 GSZNR fel'!I39+'5 GSZNR fel'!I45</f>
        <v>0</v>
      </c>
      <c r="H39" s="355">
        <f t="shared" si="1"/>
        <v>75378</v>
      </c>
      <c r="I39" s="355">
        <f>'5 GSZNR fel'!K39+'5 GSZNR fel'!K45</f>
        <v>75378</v>
      </c>
      <c r="J39" s="355">
        <f>'5 GSZNR fel'!L39+'5 GSZNR fel'!L45</f>
        <v>0</v>
      </c>
      <c r="K39" s="355">
        <f t="shared" si="2"/>
        <v>75378</v>
      </c>
      <c r="L39" s="355">
        <f>'5 GSZNR fel'!N39+'5 GSZNR fel'!N45</f>
        <v>71186</v>
      </c>
      <c r="M39" s="355">
        <f>'5 GSZNR fel'!L39+'5 GSZNR fel'!L45</f>
        <v>0</v>
      </c>
      <c r="N39" s="355">
        <f t="shared" si="3"/>
        <v>71186</v>
      </c>
      <c r="O39" s="355">
        <f>'5 GSZNR fel'!Q39+'5 GSZNR fel'!Q45</f>
        <v>77834</v>
      </c>
      <c r="P39" s="355">
        <f>'5 GSZNR fel'!P39+'5 GSZNR fel'!P45</f>
        <v>0</v>
      </c>
      <c r="Q39" s="775">
        <f t="shared" si="4"/>
        <v>77834</v>
      </c>
      <c r="R39" s="775">
        <f>'5 GSZNR fel'!T39+'5 GSZNR fel'!T45</f>
        <v>78447</v>
      </c>
      <c r="S39" s="775">
        <f>'5 GSZNR fel'!S39+'5 GSZNR fel'!S45</f>
        <v>0</v>
      </c>
      <c r="T39" s="775">
        <f t="shared" si="5"/>
        <v>78447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fel'!H40</f>
        <v>2297</v>
      </c>
      <c r="G41" s="355">
        <v>0</v>
      </c>
      <c r="H41" s="355">
        <f t="shared" si="1"/>
        <v>2297</v>
      </c>
      <c r="I41" s="355">
        <f>+'5 GSZNR fel'!K40</f>
        <v>2297</v>
      </c>
      <c r="J41" s="355">
        <v>0</v>
      </c>
      <c r="K41" s="355">
        <f t="shared" si="2"/>
        <v>2297</v>
      </c>
      <c r="L41" s="355">
        <f>+'5 GSZNR fel'!N40</f>
        <v>2296</v>
      </c>
      <c r="M41" s="355">
        <f>+'5 GSZNR fel'!L40</f>
        <v>0</v>
      </c>
      <c r="N41" s="355">
        <f t="shared" si="3"/>
        <v>2296</v>
      </c>
      <c r="O41" s="355">
        <f>+'5 GSZNR fel'!Q40</f>
        <v>0</v>
      </c>
      <c r="P41" s="355">
        <f>+'5 GSZNR fel'!P40</f>
        <v>0</v>
      </c>
      <c r="Q41" s="355">
        <f t="shared" si="4"/>
        <v>0</v>
      </c>
      <c r="R41" s="355">
        <f>+'5 GSZNR fel'!T40</f>
        <v>0</v>
      </c>
      <c r="S41" s="355">
        <f>+'5 GSZNR fel'!S40</f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65">SUM(C43:C45)</f>
        <v>381</v>
      </c>
      <c r="D42" s="352">
        <f t="shared" si="65"/>
        <v>0</v>
      </c>
      <c r="E42" s="352">
        <f t="shared" si="0"/>
        <v>381</v>
      </c>
      <c r="F42" s="352">
        <f>SUM(F43:F45)</f>
        <v>381</v>
      </c>
      <c r="G42" s="352">
        <f t="shared" ref="G42" si="66">SUM(G43:G45)</f>
        <v>0</v>
      </c>
      <c r="H42" s="352">
        <f t="shared" si="1"/>
        <v>381</v>
      </c>
      <c r="I42" s="352">
        <f>SUM(I43:I45)</f>
        <v>381</v>
      </c>
      <c r="J42" s="352">
        <f t="shared" ref="J42" si="67">SUM(J43:J45)</f>
        <v>0</v>
      </c>
      <c r="K42" s="352">
        <f t="shared" si="2"/>
        <v>381</v>
      </c>
      <c r="L42" s="352">
        <f>SUM(L43:L45)</f>
        <v>663</v>
      </c>
      <c r="M42" s="352">
        <f t="shared" ref="M42" si="68">SUM(M43:M45)</f>
        <v>0</v>
      </c>
      <c r="N42" s="352">
        <f t="shared" si="3"/>
        <v>663</v>
      </c>
      <c r="O42" s="352">
        <f>SUM(O43:O45)</f>
        <v>300</v>
      </c>
      <c r="P42" s="352">
        <f t="shared" ref="P42" si="69">SUM(P43:P45)</f>
        <v>0</v>
      </c>
      <c r="Q42" s="352">
        <f t="shared" si="4"/>
        <v>300</v>
      </c>
      <c r="R42" s="352">
        <f>SUM(R43:R45)</f>
        <v>600</v>
      </c>
      <c r="S42" s="352">
        <f t="shared" ref="S42" si="70">SUM(S43:S45)</f>
        <v>0</v>
      </c>
      <c r="T42" s="352">
        <f t="shared" si="5"/>
        <v>600</v>
      </c>
    </row>
    <row r="43" spans="1:20" x14ac:dyDescent="0.25">
      <c r="A43" s="353" t="s">
        <v>311</v>
      </c>
      <c r="B43" s="354" t="s">
        <v>341</v>
      </c>
      <c r="C43" s="355">
        <f>'5 GSZNR fel'!E41+'5 GSZNR fel'!E46</f>
        <v>381</v>
      </c>
      <c r="D43" s="355">
        <f>'5 GSZNR fel'!D41+'5 GSZNR fel'!D46</f>
        <v>0</v>
      </c>
      <c r="E43" s="355">
        <f t="shared" si="0"/>
        <v>381</v>
      </c>
      <c r="F43" s="355">
        <f>'5 GSZNR fel'!H41+'5 GSZNR fel'!H46</f>
        <v>381</v>
      </c>
      <c r="G43" s="355">
        <f>'5 GSZNR fel'!I41+'5 GSZNR fel'!I46</f>
        <v>0</v>
      </c>
      <c r="H43" s="355">
        <f t="shared" si="1"/>
        <v>381</v>
      </c>
      <c r="I43" s="355">
        <f>'5 GSZNR fel'!K41+'5 GSZNR fel'!K46</f>
        <v>381</v>
      </c>
      <c r="J43" s="355">
        <f>'5 GSZNR fel'!L41+'5 GSZNR fel'!L46</f>
        <v>0</v>
      </c>
      <c r="K43" s="355">
        <f t="shared" si="2"/>
        <v>381</v>
      </c>
      <c r="L43" s="355">
        <f>'5 GSZNR fel'!N41+'5 GSZNR fel'!N46</f>
        <v>663</v>
      </c>
      <c r="M43" s="355">
        <f>'5 GSZNR fel'!L41+'5 GSZNR fel'!L46</f>
        <v>0</v>
      </c>
      <c r="N43" s="355">
        <f t="shared" si="3"/>
        <v>663</v>
      </c>
      <c r="O43" s="355">
        <f>'5 GSZNR fel'!Q41+'5 GSZNR fel'!Q46</f>
        <v>300</v>
      </c>
      <c r="P43" s="355">
        <f>'5 GSZNR fel'!P41+'5 GSZNR fel'!P46</f>
        <v>0</v>
      </c>
      <c r="Q43" s="355">
        <f t="shared" si="4"/>
        <v>300</v>
      </c>
      <c r="R43" s="355">
        <f>'5 GSZNR fel'!T41+'5 GSZNR fel'!T46</f>
        <v>600</v>
      </c>
      <c r="S43" s="355">
        <f>'5 GSZNR fel'!S41+'5 GSZNR fel'!S46</f>
        <v>0</v>
      </c>
      <c r="T43" s="355">
        <f t="shared" si="5"/>
        <v>600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1">C36+C42</f>
        <v>319206</v>
      </c>
      <c r="D46" s="333">
        <f t="shared" si="71"/>
        <v>0</v>
      </c>
      <c r="E46" s="333">
        <f t="shared" si="0"/>
        <v>319206</v>
      </c>
      <c r="F46" s="333">
        <f t="shared" ref="F46:G46" si="72">F36+F42</f>
        <v>321684</v>
      </c>
      <c r="G46" s="333">
        <f t="shared" si="72"/>
        <v>0</v>
      </c>
      <c r="H46" s="333">
        <f t="shared" si="1"/>
        <v>321684</v>
      </c>
      <c r="I46" s="333">
        <f t="shared" ref="I46:J46" si="73">I36+I42</f>
        <v>321684</v>
      </c>
      <c r="J46" s="333">
        <f t="shared" si="73"/>
        <v>0</v>
      </c>
      <c r="K46" s="333">
        <f t="shared" si="2"/>
        <v>321684</v>
      </c>
      <c r="L46" s="333">
        <f t="shared" ref="L46:M46" si="74">L36+L42</f>
        <v>308849</v>
      </c>
      <c r="M46" s="333">
        <f t="shared" si="74"/>
        <v>0</v>
      </c>
      <c r="N46" s="333">
        <f t="shared" si="3"/>
        <v>308849</v>
      </c>
      <c r="O46" s="333">
        <f t="shared" ref="O46:P46" si="75">O36+O42</f>
        <v>334476</v>
      </c>
      <c r="P46" s="333">
        <f t="shared" si="75"/>
        <v>0</v>
      </c>
      <c r="Q46" s="333">
        <f t="shared" si="4"/>
        <v>334476</v>
      </c>
      <c r="R46" s="333">
        <f t="shared" ref="R46:S46" si="76">R36+R42</f>
        <v>332859</v>
      </c>
      <c r="S46" s="333">
        <f t="shared" si="76"/>
        <v>0</v>
      </c>
      <c r="T46" s="333">
        <f t="shared" si="5"/>
        <v>332859</v>
      </c>
    </row>
  </sheetData>
  <mergeCells count="6">
    <mergeCell ref="C4:E4"/>
    <mergeCell ref="F4:H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8" fitToWidth="0" fitToHeight="0" orientation="portrait" copies="2" r:id="rId1"/>
  <headerFooter>
    <oddHeader>&amp;L4/C.  melléklet a ...../2019. (.......) önkormányzati rendelethez&amp;C&amp;"-,Félkövér"&amp;16
A Törökbálinti Bóbita Óvoda 2019. évi bevételei és kiadásai jogcímenként és feladatonként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7.125" style="31" customWidth="1"/>
    <col min="2" max="2" width="52.25" customWidth="1"/>
    <col min="3" max="3" width="9.75" hidden="1" customWidth="1"/>
    <col min="4" max="10" width="9" hidden="1" customWidth="1"/>
    <col min="11" max="11" width="11.875" hidden="1" customWidth="1"/>
    <col min="12" max="14" width="9" hidden="1" customWidth="1"/>
  </cols>
  <sheetData>
    <row r="1" spans="1:20" ht="14.95" x14ac:dyDescent="0.25">
      <c r="E1" s="32"/>
      <c r="K1" s="32"/>
      <c r="N1" s="32"/>
      <c r="Q1" s="32"/>
      <c r="T1" s="32" t="s">
        <v>302</v>
      </c>
    </row>
    <row r="2" spans="1:20" ht="28.55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x14ac:dyDescent="0.25">
      <c r="A3" s="346" t="s">
        <v>304</v>
      </c>
      <c r="B3" s="346" t="s">
        <v>1515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43.5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15</v>
      </c>
      <c r="D6" s="349">
        <v>0</v>
      </c>
      <c r="E6" s="349">
        <f t="shared" ref="E6:E46" si="0">SUM(C6:D6)</f>
        <v>15</v>
      </c>
      <c r="F6" s="349">
        <v>15</v>
      </c>
      <c r="G6" s="349">
        <v>0</v>
      </c>
      <c r="H6" s="349">
        <f t="shared" ref="H6:H46" si="1">SUM(F6:G6)</f>
        <v>15</v>
      </c>
      <c r="I6" s="349">
        <v>15</v>
      </c>
      <c r="J6" s="349">
        <v>0</v>
      </c>
      <c r="K6" s="349">
        <f t="shared" ref="K6:K46" si="2">SUM(I6:J6)</f>
        <v>15</v>
      </c>
      <c r="L6" s="349">
        <v>15</v>
      </c>
      <c r="M6" s="349">
        <v>0</v>
      </c>
      <c r="N6" s="349">
        <f t="shared" ref="N6:N46" si="3">SUM(L6:M6)</f>
        <v>15</v>
      </c>
      <c r="O6" s="349">
        <f>15+2</f>
        <v>17</v>
      </c>
      <c r="P6" s="349">
        <v>0</v>
      </c>
      <c r="Q6" s="349">
        <f t="shared" ref="Q6:Q46" si="4">SUM(O6:P6)</f>
        <v>17</v>
      </c>
      <c r="R6" s="349">
        <f>15+2</f>
        <v>17</v>
      </c>
      <c r="S6" s="349">
        <v>0</v>
      </c>
      <c r="T6" s="349">
        <f t="shared" ref="T6:T46" si="5">SUM(R6:S6)</f>
        <v>17</v>
      </c>
    </row>
    <row r="7" spans="1:20" x14ac:dyDescent="0.25">
      <c r="A7" s="347"/>
      <c r="B7" s="348" t="s">
        <v>308</v>
      </c>
      <c r="C7" s="349">
        <v>0</v>
      </c>
      <c r="D7" s="349">
        <v>0</v>
      </c>
      <c r="E7" s="349">
        <f t="shared" si="0"/>
        <v>0</v>
      </c>
      <c r="F7" s="349">
        <v>0</v>
      </c>
      <c r="G7" s="349">
        <v>0</v>
      </c>
      <c r="H7" s="349">
        <f t="shared" si="1"/>
        <v>0</v>
      </c>
      <c r="I7" s="349">
        <v>0</v>
      </c>
      <c r="J7" s="349">
        <v>0</v>
      </c>
      <c r="K7" s="349">
        <f t="shared" si="2"/>
        <v>0</v>
      </c>
      <c r="L7" s="349">
        <v>0</v>
      </c>
      <c r="M7" s="349">
        <v>0</v>
      </c>
      <c r="N7" s="349">
        <f t="shared" si="3"/>
        <v>0</v>
      </c>
      <c r="O7" s="349">
        <v>0</v>
      </c>
      <c r="P7" s="349">
        <v>0</v>
      </c>
      <c r="Q7" s="349">
        <f t="shared" si="4"/>
        <v>0</v>
      </c>
      <c r="R7" s="349">
        <v>0</v>
      </c>
      <c r="S7" s="349">
        <v>0</v>
      </c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35016</v>
      </c>
      <c r="D8" s="352">
        <f t="shared" si="6"/>
        <v>0</v>
      </c>
      <c r="E8" s="352">
        <f t="shared" si="0"/>
        <v>35016</v>
      </c>
      <c r="F8" s="352">
        <f t="shared" ref="F8:G8" si="7">F9+F11+F20</f>
        <v>35016</v>
      </c>
      <c r="G8" s="352">
        <f t="shared" si="7"/>
        <v>0</v>
      </c>
      <c r="H8" s="352">
        <f t="shared" si="1"/>
        <v>35016</v>
      </c>
      <c r="I8" s="352">
        <f t="shared" ref="I8:J8" si="8">I9+I11+I20</f>
        <v>35016</v>
      </c>
      <c r="J8" s="352">
        <f t="shared" si="8"/>
        <v>0</v>
      </c>
      <c r="K8" s="352">
        <f t="shared" si="2"/>
        <v>35016</v>
      </c>
      <c r="L8" s="352">
        <f t="shared" ref="L8:M8" si="9">L9+L11+L20</f>
        <v>37771</v>
      </c>
      <c r="M8" s="352">
        <f t="shared" si="9"/>
        <v>0</v>
      </c>
      <c r="N8" s="352">
        <f t="shared" si="3"/>
        <v>37771</v>
      </c>
      <c r="O8" s="352">
        <f t="shared" ref="O8:P8" si="10">O9+O11+O20</f>
        <v>37000</v>
      </c>
      <c r="P8" s="352">
        <f t="shared" si="10"/>
        <v>0</v>
      </c>
      <c r="Q8" s="352">
        <f t="shared" si="4"/>
        <v>37000</v>
      </c>
      <c r="R8" s="352">
        <f t="shared" ref="R8:S8" si="11">R9+R11+R20</f>
        <v>37000</v>
      </c>
      <c r="S8" s="352">
        <f t="shared" si="11"/>
        <v>0</v>
      </c>
      <c r="T8" s="352">
        <f t="shared" si="5"/>
        <v>37000</v>
      </c>
    </row>
    <row r="9" spans="1:20" x14ac:dyDescent="0.25">
      <c r="A9" s="353" t="s">
        <v>311</v>
      </c>
      <c r="B9" s="354" t="s">
        <v>312</v>
      </c>
      <c r="C9" s="355">
        <f t="shared" ref="C9:S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si="12"/>
        <v>0</v>
      </c>
      <c r="T9" s="355">
        <f t="shared" si="5"/>
        <v>0</v>
      </c>
    </row>
    <row r="10" spans="1:20" ht="30.1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3">C12+C13+C14+C15+C16+C17+C18+C19</f>
        <v>35016</v>
      </c>
      <c r="D11" s="355">
        <f t="shared" si="13"/>
        <v>0</v>
      </c>
      <c r="E11" s="355">
        <f t="shared" si="0"/>
        <v>35016</v>
      </c>
      <c r="F11" s="355">
        <f t="shared" ref="F11:G11" si="14">F12+F13+F14+F15+F16+F17+F18+F19</f>
        <v>35016</v>
      </c>
      <c r="G11" s="355">
        <f t="shared" si="14"/>
        <v>0</v>
      </c>
      <c r="H11" s="355">
        <f t="shared" si="1"/>
        <v>35016</v>
      </c>
      <c r="I11" s="355">
        <f t="shared" ref="I11:J11" si="15">I12+I13+I14+I15+I16+I17+I18+I19</f>
        <v>35016</v>
      </c>
      <c r="J11" s="355">
        <f t="shared" si="15"/>
        <v>0</v>
      </c>
      <c r="K11" s="355">
        <f t="shared" si="2"/>
        <v>35016</v>
      </c>
      <c r="L11" s="355">
        <f t="shared" ref="L11:M11" si="16">L12+L13+L14+L15+L16+L17+L18+L19</f>
        <v>37771</v>
      </c>
      <c r="M11" s="355">
        <f t="shared" si="16"/>
        <v>0</v>
      </c>
      <c r="N11" s="355">
        <f t="shared" si="3"/>
        <v>37771</v>
      </c>
      <c r="O11" s="355">
        <f t="shared" ref="O11:P11" si="17">O12+O13+O14+O15+O16+O17+O18+O19</f>
        <v>37000</v>
      </c>
      <c r="P11" s="355">
        <f t="shared" si="17"/>
        <v>0</v>
      </c>
      <c r="Q11" s="355">
        <f t="shared" si="4"/>
        <v>37000</v>
      </c>
      <c r="R11" s="355">
        <f t="shared" ref="R11:S11" si="18">R12+R13+R14+R15+R16+R17+R18+R19</f>
        <v>37000</v>
      </c>
      <c r="S11" s="355">
        <f t="shared" si="18"/>
        <v>0</v>
      </c>
      <c r="T11" s="355">
        <f t="shared" si="5"/>
        <v>37000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357">
        <v>26778</v>
      </c>
      <c r="D13" s="357">
        <v>0</v>
      </c>
      <c r="E13" s="357">
        <f t="shared" si="0"/>
        <v>26778</v>
      </c>
      <c r="F13" s="357">
        <v>26778</v>
      </c>
      <c r="G13" s="357">
        <v>0</v>
      </c>
      <c r="H13" s="357">
        <f t="shared" si="1"/>
        <v>26778</v>
      </c>
      <c r="I13" s="357">
        <v>26778</v>
      </c>
      <c r="J13" s="357">
        <v>0</v>
      </c>
      <c r="K13" s="357">
        <f t="shared" si="2"/>
        <v>26778</v>
      </c>
      <c r="L13" s="357">
        <v>28366</v>
      </c>
      <c r="M13" s="357">
        <v>0</v>
      </c>
      <c r="N13" s="357">
        <f t="shared" si="3"/>
        <v>28366</v>
      </c>
      <c r="O13" s="357">
        <f>25740+2600</f>
        <v>28340</v>
      </c>
      <c r="P13" s="357">
        <v>0</v>
      </c>
      <c r="Q13" s="357">
        <f t="shared" si="4"/>
        <v>28340</v>
      </c>
      <c r="R13" s="357">
        <f>25740+2600</f>
        <v>28340</v>
      </c>
      <c r="S13" s="357">
        <v>0</v>
      </c>
      <c r="T13" s="357">
        <f t="shared" si="5"/>
        <v>28340</v>
      </c>
    </row>
    <row r="14" spans="1:20" x14ac:dyDescent="0.25">
      <c r="A14" s="392"/>
      <c r="B14" s="356" t="s">
        <v>663</v>
      </c>
      <c r="C14" s="357">
        <v>0</v>
      </c>
      <c r="D14" s="357">
        <v>0</v>
      </c>
      <c r="E14" s="357">
        <f t="shared" si="0"/>
        <v>0</v>
      </c>
      <c r="F14" s="357">
        <v>0</v>
      </c>
      <c r="G14" s="357">
        <v>0</v>
      </c>
      <c r="H14" s="357">
        <f t="shared" si="1"/>
        <v>0</v>
      </c>
      <c r="I14" s="357">
        <v>0</v>
      </c>
      <c r="J14" s="357">
        <v>0</v>
      </c>
      <c r="K14" s="357">
        <f t="shared" si="2"/>
        <v>0</v>
      </c>
      <c r="L14" s="357">
        <v>1092</v>
      </c>
      <c r="M14" s="357">
        <v>0</v>
      </c>
      <c r="N14" s="357">
        <f t="shared" si="3"/>
        <v>1092</v>
      </c>
      <c r="O14" s="357">
        <v>0</v>
      </c>
      <c r="P14" s="357">
        <v>0</v>
      </c>
      <c r="Q14" s="357">
        <f t="shared" si="4"/>
        <v>0</v>
      </c>
      <c r="R14" s="357">
        <v>0</v>
      </c>
      <c r="S14" s="357">
        <v>0</v>
      </c>
      <c r="T14" s="357">
        <f t="shared" si="5"/>
        <v>0</v>
      </c>
    </row>
    <row r="15" spans="1:20" x14ac:dyDescent="0.25">
      <c r="A15" s="392"/>
      <c r="B15" s="356" t="s">
        <v>664</v>
      </c>
      <c r="C15" s="273">
        <v>0</v>
      </c>
      <c r="D15" s="273">
        <v>0</v>
      </c>
      <c r="E15" s="273">
        <f t="shared" si="0"/>
        <v>0</v>
      </c>
      <c r="F15" s="273">
        <v>0</v>
      </c>
      <c r="G15" s="273">
        <v>0</v>
      </c>
      <c r="H15" s="273">
        <f t="shared" si="1"/>
        <v>0</v>
      </c>
      <c r="I15" s="273">
        <v>0</v>
      </c>
      <c r="J15" s="273">
        <v>0</v>
      </c>
      <c r="K15" s="273">
        <f t="shared" si="2"/>
        <v>0</v>
      </c>
      <c r="L15" s="273">
        <v>0</v>
      </c>
      <c r="M15" s="273">
        <v>0</v>
      </c>
      <c r="N15" s="273">
        <f t="shared" si="3"/>
        <v>0</v>
      </c>
      <c r="O15" s="273">
        <v>0</v>
      </c>
      <c r="P15" s="273">
        <v>0</v>
      </c>
      <c r="Q15" s="273">
        <f t="shared" si="4"/>
        <v>0</v>
      </c>
      <c r="R15" s="273">
        <v>0</v>
      </c>
      <c r="S15" s="273">
        <v>0</v>
      </c>
      <c r="T15" s="273">
        <f t="shared" si="5"/>
        <v>0</v>
      </c>
    </row>
    <row r="16" spans="1:20" x14ac:dyDescent="0.25">
      <c r="A16" s="392"/>
      <c r="B16" s="356" t="s">
        <v>665</v>
      </c>
      <c r="C16" s="273">
        <v>7230</v>
      </c>
      <c r="D16" s="273">
        <v>0</v>
      </c>
      <c r="E16" s="273">
        <f t="shared" si="0"/>
        <v>7230</v>
      </c>
      <c r="F16" s="273">
        <v>7230</v>
      </c>
      <c r="G16" s="273">
        <v>0</v>
      </c>
      <c r="H16" s="273">
        <f t="shared" si="1"/>
        <v>7230</v>
      </c>
      <c r="I16" s="273">
        <v>7230</v>
      </c>
      <c r="J16" s="273">
        <v>0</v>
      </c>
      <c r="K16" s="273">
        <f t="shared" si="2"/>
        <v>7230</v>
      </c>
      <c r="L16" s="273">
        <v>7971</v>
      </c>
      <c r="M16" s="273">
        <v>0</v>
      </c>
      <c r="N16" s="273">
        <f t="shared" si="3"/>
        <v>7971</v>
      </c>
      <c r="O16" s="273">
        <v>7652</v>
      </c>
      <c r="P16" s="273">
        <v>0</v>
      </c>
      <c r="Q16" s="273">
        <f t="shared" si="4"/>
        <v>7652</v>
      </c>
      <c r="R16" s="273">
        <v>7652</v>
      </c>
      <c r="S16" s="273">
        <v>0</v>
      </c>
      <c r="T16" s="273">
        <f t="shared" si="5"/>
        <v>7652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1</v>
      </c>
      <c r="D18" s="273">
        <v>0</v>
      </c>
      <c r="E18" s="273">
        <f t="shared" si="0"/>
        <v>1</v>
      </c>
      <c r="F18" s="273">
        <v>1</v>
      </c>
      <c r="G18" s="273">
        <v>0</v>
      </c>
      <c r="H18" s="273">
        <f t="shared" si="1"/>
        <v>1</v>
      </c>
      <c r="I18" s="273">
        <v>1</v>
      </c>
      <c r="J18" s="273">
        <v>0</v>
      </c>
      <c r="K18" s="273">
        <f t="shared" si="2"/>
        <v>1</v>
      </c>
      <c r="L18" s="273">
        <v>0</v>
      </c>
      <c r="M18" s="273">
        <v>0</v>
      </c>
      <c r="N18" s="273">
        <f t="shared" si="3"/>
        <v>0</v>
      </c>
      <c r="O18" s="273">
        <v>1</v>
      </c>
      <c r="P18" s="273">
        <v>0</v>
      </c>
      <c r="Q18" s="273">
        <f t="shared" si="4"/>
        <v>1</v>
      </c>
      <c r="R18" s="273">
        <v>1</v>
      </c>
      <c r="S18" s="273">
        <v>0</v>
      </c>
      <c r="T18" s="273">
        <f t="shared" si="5"/>
        <v>1</v>
      </c>
    </row>
    <row r="19" spans="1:20" x14ac:dyDescent="0.25">
      <c r="A19" s="392"/>
      <c r="B19" s="356" t="s">
        <v>668</v>
      </c>
      <c r="C19" s="273">
        <v>1007</v>
      </c>
      <c r="D19" s="273">
        <v>0</v>
      </c>
      <c r="E19" s="273">
        <f t="shared" si="0"/>
        <v>1007</v>
      </c>
      <c r="F19" s="273">
        <v>1007</v>
      </c>
      <c r="G19" s="273">
        <v>0</v>
      </c>
      <c r="H19" s="273">
        <f t="shared" si="1"/>
        <v>1007</v>
      </c>
      <c r="I19" s="273">
        <v>1007</v>
      </c>
      <c r="J19" s="273">
        <v>0</v>
      </c>
      <c r="K19" s="273">
        <f t="shared" si="2"/>
        <v>1007</v>
      </c>
      <c r="L19" s="273">
        <v>342</v>
      </c>
      <c r="M19" s="273">
        <v>0</v>
      </c>
      <c r="N19" s="273">
        <f t="shared" si="3"/>
        <v>342</v>
      </c>
      <c r="O19" s="273">
        <v>1007</v>
      </c>
      <c r="P19" s="273">
        <v>0</v>
      </c>
      <c r="Q19" s="273">
        <f t="shared" si="4"/>
        <v>1007</v>
      </c>
      <c r="R19" s="273">
        <v>1007</v>
      </c>
      <c r="S19" s="273">
        <v>0</v>
      </c>
      <c r="T19" s="273">
        <f t="shared" si="5"/>
        <v>1007</v>
      </c>
    </row>
    <row r="20" spans="1:20" x14ac:dyDescent="0.25">
      <c r="A20" s="353" t="s">
        <v>315</v>
      </c>
      <c r="B20" s="354" t="s">
        <v>316</v>
      </c>
      <c r="C20" s="355">
        <f t="shared" ref="C20:S20" si="19">SUM(C21:C21)</f>
        <v>0</v>
      </c>
      <c r="D20" s="355">
        <f t="shared" si="19"/>
        <v>0</v>
      </c>
      <c r="E20" s="355">
        <f t="shared" si="0"/>
        <v>0</v>
      </c>
      <c r="F20" s="355">
        <f t="shared" si="19"/>
        <v>0</v>
      </c>
      <c r="G20" s="355">
        <f t="shared" si="19"/>
        <v>0</v>
      </c>
      <c r="H20" s="355">
        <f t="shared" si="1"/>
        <v>0</v>
      </c>
      <c r="I20" s="355">
        <f t="shared" si="19"/>
        <v>0</v>
      </c>
      <c r="J20" s="355">
        <f t="shared" si="19"/>
        <v>0</v>
      </c>
      <c r="K20" s="355">
        <f t="shared" si="2"/>
        <v>0</v>
      </c>
      <c r="L20" s="355">
        <f t="shared" si="19"/>
        <v>0</v>
      </c>
      <c r="M20" s="355">
        <f t="shared" si="19"/>
        <v>0</v>
      </c>
      <c r="N20" s="355">
        <f t="shared" si="3"/>
        <v>0</v>
      </c>
      <c r="O20" s="355">
        <f t="shared" si="19"/>
        <v>0</v>
      </c>
      <c r="P20" s="355">
        <f t="shared" si="19"/>
        <v>0</v>
      </c>
      <c r="Q20" s="355">
        <f t="shared" si="4"/>
        <v>0</v>
      </c>
      <c r="R20" s="355">
        <f t="shared" si="19"/>
        <v>0</v>
      </c>
      <c r="S20" s="355">
        <f t="shared" si="19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0">C23+C25+C28</f>
        <v>0</v>
      </c>
      <c r="D22" s="352">
        <f t="shared" si="20"/>
        <v>0</v>
      </c>
      <c r="E22" s="352">
        <f t="shared" si="0"/>
        <v>0</v>
      </c>
      <c r="F22" s="352">
        <f t="shared" ref="F22:G22" si="21">F23+F25+F28</f>
        <v>0</v>
      </c>
      <c r="G22" s="352">
        <f t="shared" si="21"/>
        <v>0</v>
      </c>
      <c r="H22" s="352">
        <f t="shared" si="1"/>
        <v>0</v>
      </c>
      <c r="I22" s="352">
        <f t="shared" ref="I22:J22" si="22">I23+I25+I28</f>
        <v>0</v>
      </c>
      <c r="J22" s="352">
        <f t="shared" si="22"/>
        <v>0</v>
      </c>
      <c r="K22" s="352">
        <f t="shared" si="2"/>
        <v>0</v>
      </c>
      <c r="L22" s="352">
        <f t="shared" ref="L22:M22" si="23">L23+L25+L28</f>
        <v>0</v>
      </c>
      <c r="M22" s="352">
        <f t="shared" si="23"/>
        <v>0</v>
      </c>
      <c r="N22" s="352">
        <f t="shared" si="3"/>
        <v>0</v>
      </c>
      <c r="O22" s="352">
        <f t="shared" ref="O22:P22" si="24">O23+O25+O28</f>
        <v>0</v>
      </c>
      <c r="P22" s="352">
        <f t="shared" si="24"/>
        <v>0</v>
      </c>
      <c r="Q22" s="352">
        <f t="shared" si="4"/>
        <v>0</v>
      </c>
      <c r="R22" s="352">
        <f t="shared" ref="R22:S22" si="25">R23+R25+R28</f>
        <v>0</v>
      </c>
      <c r="S22" s="352">
        <f t="shared" si="25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S23" si="26">SUM(C24:C24)</f>
        <v>0</v>
      </c>
      <c r="D23" s="355">
        <f t="shared" si="26"/>
        <v>0</v>
      </c>
      <c r="E23" s="355">
        <f t="shared" si="0"/>
        <v>0</v>
      </c>
      <c r="F23" s="355">
        <f t="shared" si="26"/>
        <v>0</v>
      </c>
      <c r="G23" s="355">
        <f t="shared" si="26"/>
        <v>0</v>
      </c>
      <c r="H23" s="355">
        <f t="shared" si="1"/>
        <v>0</v>
      </c>
      <c r="I23" s="355">
        <f t="shared" si="26"/>
        <v>0</v>
      </c>
      <c r="J23" s="355">
        <f t="shared" si="26"/>
        <v>0</v>
      </c>
      <c r="K23" s="355">
        <f t="shared" si="2"/>
        <v>0</v>
      </c>
      <c r="L23" s="355">
        <f t="shared" si="26"/>
        <v>0</v>
      </c>
      <c r="M23" s="355">
        <f t="shared" si="26"/>
        <v>0</v>
      </c>
      <c r="N23" s="355">
        <f t="shared" si="3"/>
        <v>0</v>
      </c>
      <c r="O23" s="355">
        <f t="shared" si="26"/>
        <v>0</v>
      </c>
      <c r="P23" s="355">
        <f t="shared" si="26"/>
        <v>0</v>
      </c>
      <c r="Q23" s="355">
        <f t="shared" si="4"/>
        <v>0</v>
      </c>
      <c r="R23" s="355">
        <f t="shared" si="26"/>
        <v>0</v>
      </c>
      <c r="S23" s="355">
        <f t="shared" si="26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27">SUM(C26:C27)</f>
        <v>0</v>
      </c>
      <c r="D25" s="355">
        <f t="shared" si="27"/>
        <v>0</v>
      </c>
      <c r="E25" s="355">
        <f t="shared" si="0"/>
        <v>0</v>
      </c>
      <c r="F25" s="355">
        <f t="shared" ref="F25:G25" si="28">SUM(F26:F27)</f>
        <v>0</v>
      </c>
      <c r="G25" s="355">
        <f t="shared" si="28"/>
        <v>0</v>
      </c>
      <c r="H25" s="355">
        <f t="shared" si="1"/>
        <v>0</v>
      </c>
      <c r="I25" s="355">
        <f t="shared" ref="I25:J25" si="29">SUM(I26:I27)</f>
        <v>0</v>
      </c>
      <c r="J25" s="355">
        <f t="shared" si="29"/>
        <v>0</v>
      </c>
      <c r="K25" s="355">
        <f t="shared" si="2"/>
        <v>0</v>
      </c>
      <c r="L25" s="355">
        <f t="shared" ref="L25:M25" si="30">SUM(L26:L27)</f>
        <v>0</v>
      </c>
      <c r="M25" s="355">
        <f t="shared" si="30"/>
        <v>0</v>
      </c>
      <c r="N25" s="355">
        <f t="shared" si="3"/>
        <v>0</v>
      </c>
      <c r="O25" s="355">
        <f t="shared" ref="O25:P25" si="31">SUM(O26:O27)</f>
        <v>0</v>
      </c>
      <c r="P25" s="355">
        <f t="shared" si="31"/>
        <v>0</v>
      </c>
      <c r="Q25" s="355">
        <f t="shared" si="4"/>
        <v>0</v>
      </c>
      <c r="R25" s="355">
        <f t="shared" ref="R25:S25" si="32">SUM(R26:R27)</f>
        <v>0</v>
      </c>
      <c r="S25" s="355">
        <f t="shared" si="32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S28" si="33">SUM(C29:C29)</f>
        <v>0</v>
      </c>
      <c r="D28" s="355">
        <f t="shared" si="33"/>
        <v>0</v>
      </c>
      <c r="E28" s="355">
        <f t="shared" si="0"/>
        <v>0</v>
      </c>
      <c r="F28" s="355">
        <f t="shared" si="33"/>
        <v>0</v>
      </c>
      <c r="G28" s="355">
        <f t="shared" si="33"/>
        <v>0</v>
      </c>
      <c r="H28" s="355">
        <f t="shared" si="1"/>
        <v>0</v>
      </c>
      <c r="I28" s="355">
        <f t="shared" si="33"/>
        <v>0</v>
      </c>
      <c r="J28" s="355">
        <f t="shared" si="33"/>
        <v>0</v>
      </c>
      <c r="K28" s="355">
        <f t="shared" si="2"/>
        <v>0</v>
      </c>
      <c r="L28" s="355">
        <f t="shared" si="33"/>
        <v>0</v>
      </c>
      <c r="M28" s="355">
        <f t="shared" si="33"/>
        <v>0</v>
      </c>
      <c r="N28" s="355">
        <f t="shared" si="3"/>
        <v>0</v>
      </c>
      <c r="O28" s="355">
        <f t="shared" si="33"/>
        <v>0</v>
      </c>
      <c r="P28" s="355">
        <f t="shared" si="33"/>
        <v>0</v>
      </c>
      <c r="Q28" s="355">
        <f t="shared" si="4"/>
        <v>0</v>
      </c>
      <c r="R28" s="355">
        <f t="shared" si="33"/>
        <v>0</v>
      </c>
      <c r="S28" s="355">
        <f t="shared" si="33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4">C22+C8</f>
        <v>35016</v>
      </c>
      <c r="D30" s="360">
        <f t="shared" si="34"/>
        <v>0</v>
      </c>
      <c r="E30" s="360">
        <f t="shared" si="0"/>
        <v>35016</v>
      </c>
      <c r="F30" s="360">
        <f t="shared" ref="F30:G30" si="35">F22+F8</f>
        <v>35016</v>
      </c>
      <c r="G30" s="360">
        <f t="shared" si="35"/>
        <v>0</v>
      </c>
      <c r="H30" s="360">
        <f t="shared" si="1"/>
        <v>35016</v>
      </c>
      <c r="I30" s="360">
        <f t="shared" ref="I30:J30" si="36">I22+I8</f>
        <v>35016</v>
      </c>
      <c r="J30" s="360">
        <f t="shared" si="36"/>
        <v>0</v>
      </c>
      <c r="K30" s="360">
        <f t="shared" si="2"/>
        <v>35016</v>
      </c>
      <c r="L30" s="360">
        <f t="shared" ref="L30:M30" si="37">L22+L8</f>
        <v>37771</v>
      </c>
      <c r="M30" s="360">
        <f t="shared" si="37"/>
        <v>0</v>
      </c>
      <c r="N30" s="360">
        <f t="shared" si="3"/>
        <v>37771</v>
      </c>
      <c r="O30" s="360">
        <f t="shared" ref="O30:P30" si="38">O22+O8</f>
        <v>37000</v>
      </c>
      <c r="P30" s="360">
        <f t="shared" si="38"/>
        <v>0</v>
      </c>
      <c r="Q30" s="360">
        <f t="shared" si="4"/>
        <v>37000</v>
      </c>
      <c r="R30" s="360">
        <f t="shared" ref="R30:S30" si="39">R22+R8</f>
        <v>37000</v>
      </c>
      <c r="S30" s="360">
        <f t="shared" si="39"/>
        <v>0</v>
      </c>
      <c r="T30" s="360">
        <f t="shared" si="5"/>
        <v>37000</v>
      </c>
    </row>
    <row r="31" spans="1:20" x14ac:dyDescent="0.25">
      <c r="A31" s="350" t="s">
        <v>328</v>
      </c>
      <c r="B31" s="351" t="s">
        <v>329</v>
      </c>
      <c r="C31" s="352">
        <f t="shared" ref="C31:S31" si="40">C32</f>
        <v>163904</v>
      </c>
      <c r="D31" s="352">
        <f t="shared" si="40"/>
        <v>19542</v>
      </c>
      <c r="E31" s="352">
        <f t="shared" si="0"/>
        <v>183446</v>
      </c>
      <c r="F31" s="352">
        <f t="shared" si="40"/>
        <v>176381</v>
      </c>
      <c r="G31" s="352">
        <f t="shared" si="40"/>
        <v>19648</v>
      </c>
      <c r="H31" s="352">
        <f t="shared" si="1"/>
        <v>196029</v>
      </c>
      <c r="I31" s="352">
        <f t="shared" si="40"/>
        <v>176381</v>
      </c>
      <c r="J31" s="352">
        <f t="shared" si="40"/>
        <v>19648</v>
      </c>
      <c r="K31" s="352">
        <f t="shared" si="2"/>
        <v>196029</v>
      </c>
      <c r="L31" s="352">
        <f t="shared" si="40"/>
        <v>201775</v>
      </c>
      <c r="M31" s="352">
        <f t="shared" si="40"/>
        <v>0</v>
      </c>
      <c r="N31" s="352">
        <f t="shared" si="3"/>
        <v>201775</v>
      </c>
      <c r="O31" s="352">
        <f t="shared" si="40"/>
        <v>196781.65</v>
      </c>
      <c r="P31" s="352">
        <f t="shared" si="40"/>
        <v>57112</v>
      </c>
      <c r="Q31" s="352">
        <f t="shared" si="4"/>
        <v>253893.65</v>
      </c>
      <c r="R31" s="352">
        <f t="shared" si="40"/>
        <v>197984.65</v>
      </c>
      <c r="S31" s="352">
        <f t="shared" si="40"/>
        <v>57112</v>
      </c>
      <c r="T31" s="352">
        <f t="shared" si="5"/>
        <v>255096.65</v>
      </c>
    </row>
    <row r="32" spans="1:20" x14ac:dyDescent="0.25">
      <c r="A32" s="353" t="s">
        <v>311</v>
      </c>
      <c r="B32" s="354" t="s">
        <v>330</v>
      </c>
      <c r="C32" s="355">
        <f t="shared" ref="C32:D32" si="41">SUM(C33:C34)</f>
        <v>163904</v>
      </c>
      <c r="D32" s="355">
        <f t="shared" si="41"/>
        <v>19542</v>
      </c>
      <c r="E32" s="355">
        <f t="shared" si="0"/>
        <v>183446</v>
      </c>
      <c r="F32" s="355">
        <f t="shared" ref="F32:G32" si="42">SUM(F33:F34)</f>
        <v>176381</v>
      </c>
      <c r="G32" s="355">
        <f t="shared" si="42"/>
        <v>19648</v>
      </c>
      <c r="H32" s="355">
        <f t="shared" si="1"/>
        <v>196029</v>
      </c>
      <c r="I32" s="355">
        <f t="shared" ref="I32:J32" si="43">SUM(I33:I34)</f>
        <v>176381</v>
      </c>
      <c r="J32" s="355">
        <f t="shared" si="43"/>
        <v>19648</v>
      </c>
      <c r="K32" s="355">
        <f t="shared" si="2"/>
        <v>196029</v>
      </c>
      <c r="L32" s="355">
        <f t="shared" ref="L32:M32" si="44">SUM(L33:L34)</f>
        <v>201775</v>
      </c>
      <c r="M32" s="355">
        <f t="shared" si="44"/>
        <v>0</v>
      </c>
      <c r="N32" s="355">
        <f t="shared" si="3"/>
        <v>201775</v>
      </c>
      <c r="O32" s="355">
        <f t="shared" ref="O32:P32" si="45">SUM(O33:O34)</f>
        <v>196781.65</v>
      </c>
      <c r="P32" s="355">
        <f t="shared" si="45"/>
        <v>57112</v>
      </c>
      <c r="Q32" s="355">
        <f t="shared" si="4"/>
        <v>253893.65</v>
      </c>
      <c r="R32" s="355">
        <f t="shared" ref="R32:S32" si="46">SUM(R33:R34)</f>
        <v>197984.65</v>
      </c>
      <c r="S32" s="355">
        <f t="shared" si="46"/>
        <v>57112</v>
      </c>
      <c r="T32" s="355">
        <f t="shared" si="5"/>
        <v>255096.65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4237</v>
      </c>
      <c r="G33" s="273">
        <v>0</v>
      </c>
      <c r="H33" s="273">
        <f t="shared" si="1"/>
        <v>4237</v>
      </c>
      <c r="I33" s="273">
        <v>4335</v>
      </c>
      <c r="J33" s="273">
        <v>0</v>
      </c>
      <c r="K33" s="273">
        <f t="shared" si="2"/>
        <v>4335</v>
      </c>
      <c r="L33" s="273">
        <v>4236</v>
      </c>
      <c r="M33" s="273">
        <v>0</v>
      </c>
      <c r="N33" s="273">
        <f t="shared" si="3"/>
        <v>4236</v>
      </c>
      <c r="O33" s="273">
        <v>0</v>
      </c>
      <c r="P33" s="273">
        <v>0</v>
      </c>
      <c r="Q33" s="273">
        <f t="shared" si="4"/>
        <v>0</v>
      </c>
      <c r="R33" s="273">
        <v>1203</v>
      </c>
      <c r="S33" s="273">
        <v>0</v>
      </c>
      <c r="T33" s="273">
        <f t="shared" si="5"/>
        <v>1203</v>
      </c>
    </row>
    <row r="34" spans="1:20" x14ac:dyDescent="0.25">
      <c r="A34" s="392"/>
      <c r="B34" s="358" t="s">
        <v>332</v>
      </c>
      <c r="C34" s="273">
        <f t="shared" ref="C34:D34" si="47">C36+C42-C8-C22-C33</f>
        <v>163904</v>
      </c>
      <c r="D34" s="273">
        <f t="shared" si="47"/>
        <v>19542</v>
      </c>
      <c r="E34" s="273">
        <f t="shared" si="0"/>
        <v>183446</v>
      </c>
      <c r="F34" s="273">
        <f t="shared" ref="F34:G34" si="48">F36+F42-F8-F22-F33</f>
        <v>172144</v>
      </c>
      <c r="G34" s="273">
        <f t="shared" si="48"/>
        <v>19648</v>
      </c>
      <c r="H34" s="273">
        <f t="shared" si="1"/>
        <v>191792</v>
      </c>
      <c r="I34" s="273">
        <f t="shared" ref="I34:J34" si="49">I36+I42-I8-I22-I33</f>
        <v>172046</v>
      </c>
      <c r="J34" s="273">
        <f t="shared" si="49"/>
        <v>19648</v>
      </c>
      <c r="K34" s="273">
        <f t="shared" si="2"/>
        <v>191694</v>
      </c>
      <c r="L34" s="273">
        <v>197539</v>
      </c>
      <c r="M34" s="273"/>
      <c r="N34" s="273">
        <f t="shared" si="3"/>
        <v>197539</v>
      </c>
      <c r="O34" s="273">
        <f t="shared" ref="O34:P34" si="50">O36+O42-O8-O22-O33</f>
        <v>196781.65</v>
      </c>
      <c r="P34" s="273">
        <f t="shared" si="50"/>
        <v>57112</v>
      </c>
      <c r="Q34" s="273">
        <f t="shared" si="4"/>
        <v>253893.65</v>
      </c>
      <c r="R34" s="273">
        <f t="shared" ref="R34:S34" si="51">R36+R42-R8-R22-R33</f>
        <v>196781.65</v>
      </c>
      <c r="S34" s="273">
        <f t="shared" si="51"/>
        <v>57112</v>
      </c>
      <c r="T34" s="273">
        <f t="shared" si="5"/>
        <v>253893.65</v>
      </c>
    </row>
    <row r="35" spans="1:20" x14ac:dyDescent="0.25">
      <c r="A35" s="361"/>
      <c r="B35" s="362" t="s">
        <v>333</v>
      </c>
      <c r="C35" s="333">
        <f t="shared" ref="C35:D35" si="52">C31+C22+C8</f>
        <v>198920</v>
      </c>
      <c r="D35" s="333">
        <f t="shared" si="52"/>
        <v>19542</v>
      </c>
      <c r="E35" s="333">
        <f t="shared" si="0"/>
        <v>218462</v>
      </c>
      <c r="F35" s="333">
        <f t="shared" ref="F35:G35" si="53">F31+F22+F8</f>
        <v>211397</v>
      </c>
      <c r="G35" s="333">
        <f t="shared" si="53"/>
        <v>19648</v>
      </c>
      <c r="H35" s="333">
        <f t="shared" si="1"/>
        <v>231045</v>
      </c>
      <c r="I35" s="333">
        <f t="shared" ref="I35:J35" si="54">I31+I22+I8</f>
        <v>211397</v>
      </c>
      <c r="J35" s="333">
        <f t="shared" si="54"/>
        <v>19648</v>
      </c>
      <c r="K35" s="333">
        <f t="shared" si="2"/>
        <v>231045</v>
      </c>
      <c r="L35" s="333">
        <f t="shared" ref="L35:M35" si="55">L31+L22+L8</f>
        <v>239546</v>
      </c>
      <c r="M35" s="333">
        <f t="shared" si="55"/>
        <v>0</v>
      </c>
      <c r="N35" s="333">
        <f t="shared" si="3"/>
        <v>239546</v>
      </c>
      <c r="O35" s="333">
        <f t="shared" ref="O35:P35" si="56">O31+O22+O8</f>
        <v>233781.65</v>
      </c>
      <c r="P35" s="333">
        <f t="shared" si="56"/>
        <v>57112</v>
      </c>
      <c r="Q35" s="333">
        <f t="shared" si="4"/>
        <v>290893.65000000002</v>
      </c>
      <c r="R35" s="333">
        <f t="shared" ref="R35:S35" si="57">R31+R22+R8</f>
        <v>234984.65</v>
      </c>
      <c r="S35" s="333">
        <f t="shared" si="57"/>
        <v>57112</v>
      </c>
      <c r="T35" s="333">
        <f t="shared" si="5"/>
        <v>292096.65000000002</v>
      </c>
    </row>
    <row r="36" spans="1:20" x14ac:dyDescent="0.25">
      <c r="A36" s="350" t="s">
        <v>309</v>
      </c>
      <c r="B36" s="351" t="s">
        <v>334</v>
      </c>
      <c r="C36" s="352">
        <f t="shared" ref="C36:D36" si="58">SUM(C37:C41)</f>
        <v>193395</v>
      </c>
      <c r="D36" s="352">
        <f t="shared" si="58"/>
        <v>19542</v>
      </c>
      <c r="E36" s="352">
        <f t="shared" si="0"/>
        <v>212937</v>
      </c>
      <c r="F36" s="352">
        <f t="shared" ref="F36:G36" si="59">SUM(F37:F41)</f>
        <v>206181</v>
      </c>
      <c r="G36" s="352">
        <f t="shared" si="59"/>
        <v>19648</v>
      </c>
      <c r="H36" s="352">
        <f t="shared" si="1"/>
        <v>225829</v>
      </c>
      <c r="I36" s="352">
        <f t="shared" ref="I36:J36" si="60">SUM(I37:I41)</f>
        <v>206181</v>
      </c>
      <c r="J36" s="352">
        <f t="shared" si="60"/>
        <v>19648</v>
      </c>
      <c r="K36" s="352">
        <f t="shared" si="2"/>
        <v>225829</v>
      </c>
      <c r="L36" s="352">
        <f t="shared" ref="L36:M36" si="61">SUM(L37:L41)</f>
        <v>210063</v>
      </c>
      <c r="M36" s="352">
        <f t="shared" si="61"/>
        <v>23947</v>
      </c>
      <c r="N36" s="352">
        <f t="shared" si="3"/>
        <v>234010</v>
      </c>
      <c r="O36" s="352">
        <f t="shared" ref="O36:P36" si="62">SUM(O37:O41)</f>
        <v>212668</v>
      </c>
      <c r="P36" s="352">
        <f t="shared" si="62"/>
        <v>57112</v>
      </c>
      <c r="Q36" s="352">
        <f t="shared" si="4"/>
        <v>269780</v>
      </c>
      <c r="R36" s="352">
        <f t="shared" ref="R36:S36" si="63">SUM(R37:R41)</f>
        <v>213871</v>
      </c>
      <c r="S36" s="352">
        <f t="shared" si="63"/>
        <v>57112</v>
      </c>
      <c r="T36" s="352">
        <f t="shared" si="5"/>
        <v>270983</v>
      </c>
    </row>
    <row r="37" spans="1:20" x14ac:dyDescent="0.25">
      <c r="A37" s="353" t="s">
        <v>311</v>
      </c>
      <c r="B37" s="354" t="s">
        <v>286</v>
      </c>
      <c r="C37" s="355">
        <f>'5 GSZNR fel'!E51+'5 GSZNR fel'!E58+'5 GSZNR fel'!E63+'5 GSZNR fel'!C69</f>
        <v>58801</v>
      </c>
      <c r="D37" s="355">
        <f>'5 GSZNR fel'!E69</f>
        <v>667</v>
      </c>
      <c r="E37" s="355">
        <f t="shared" si="0"/>
        <v>59468</v>
      </c>
      <c r="F37" s="355">
        <f>'5 GSZNR fel'!H51+'5 GSZNR fel'!H58+'5 GSZNR fel'!H63+'5 GSZNR fel'!G69</f>
        <v>59083</v>
      </c>
      <c r="G37" s="355">
        <f>'5 GSZNR fel'!I51+'5 GSZNR fel'!I58+'5 GSZNR fel'!I63+'5 GSZNR fel'!H69</f>
        <v>773</v>
      </c>
      <c r="H37" s="355">
        <f t="shared" si="1"/>
        <v>59856</v>
      </c>
      <c r="I37" s="355">
        <f>'5 GSZNR fel'!K51+'5 GSZNR fel'!K58+'5 GSZNR fel'!K63</f>
        <v>59083</v>
      </c>
      <c r="J37" s="355">
        <f>'5 GSZNR fel'!L51+'5 GSZNR fel'!L58+'5 GSZNR fel'!L63+'5 GSZNR fel'!K69</f>
        <v>773</v>
      </c>
      <c r="K37" s="355">
        <f t="shared" si="2"/>
        <v>59856</v>
      </c>
      <c r="L37" s="355">
        <f>'5 GSZNR fel'!N51+'5 GSZNR fel'!N58+'5 GSZNR fel'!N63</f>
        <v>58498</v>
      </c>
      <c r="M37" s="355">
        <f>'5 GSZNR fel'!M51+'5 GSZNR fel'!M58+'5 GSZNR fel'!M63+'5 GSZNR fel'!N69</f>
        <v>774</v>
      </c>
      <c r="N37" s="355">
        <f t="shared" si="3"/>
        <v>59272</v>
      </c>
      <c r="O37" s="355">
        <f>'5 GSZNR fel'!Q51+'5 GSZNR fel'!Q58+'5 GSZNR fel'!Q63</f>
        <v>69632</v>
      </c>
      <c r="P37" s="355">
        <f>'5 GSZNR fel'!P51+'5 GSZNR fel'!P58+'5 GSZNR fel'!P63+'5 GSZNR fel'!Q69</f>
        <v>1500</v>
      </c>
      <c r="Q37" s="355">
        <f t="shared" si="4"/>
        <v>71132</v>
      </c>
      <c r="R37" s="355">
        <f>'5 GSZNR fel'!T51+'5 GSZNR fel'!T58+'5 GSZNR fel'!T63</f>
        <v>69632</v>
      </c>
      <c r="S37" s="355">
        <f>'5 GSZNR fel'!S51+'5 GSZNR fel'!S58+'5 GSZNR fel'!S63+'5 GSZNR fel'!T69</f>
        <v>1500</v>
      </c>
      <c r="T37" s="355">
        <f t="shared" si="5"/>
        <v>71132</v>
      </c>
    </row>
    <row r="38" spans="1:20" x14ac:dyDescent="0.25">
      <c r="A38" s="353" t="s">
        <v>322</v>
      </c>
      <c r="B38" s="354" t="s">
        <v>335</v>
      </c>
      <c r="C38" s="355">
        <f>'5 GSZNR fel'!E52+'5 GSZNR fel'!E59+'5 GSZNR fel'!E64+'5 GSZNR fel'!C70</f>
        <v>11520</v>
      </c>
      <c r="D38" s="355">
        <f>'5 GSZNR fel'!E70</f>
        <v>271</v>
      </c>
      <c r="E38" s="355">
        <f t="shared" si="0"/>
        <v>11791</v>
      </c>
      <c r="F38" s="355">
        <f>'5 GSZNR fel'!H52+'5 GSZNR fel'!H59+'5 GSZNR fel'!H64+'5 GSZNR fel'!G70</f>
        <v>11520</v>
      </c>
      <c r="G38" s="355">
        <f>'5 GSZNR fel'!I52+'5 GSZNR fel'!I59+'5 GSZNR fel'!I64+'5 GSZNR fel'!H70</f>
        <v>271</v>
      </c>
      <c r="H38" s="355">
        <f t="shared" si="1"/>
        <v>11791</v>
      </c>
      <c r="I38" s="355">
        <f>'5 GSZNR fel'!K52+'5 GSZNR fel'!K59+'5 GSZNR fel'!K64</f>
        <v>11520</v>
      </c>
      <c r="J38" s="355">
        <f>'5 GSZNR fel'!L52+'5 GSZNR fel'!L59+'5 GSZNR fel'!L64+'5 GSZNR fel'!K70</f>
        <v>271</v>
      </c>
      <c r="K38" s="355">
        <f t="shared" si="2"/>
        <v>11791</v>
      </c>
      <c r="L38" s="355">
        <f>'5 GSZNR fel'!N52+'5 GSZNR fel'!N59+'5 GSZNR fel'!N64</f>
        <v>11899</v>
      </c>
      <c r="M38" s="355">
        <f>'5 GSZNR fel'!M52+'5 GSZNR fel'!M59+'5 GSZNR fel'!M64+'5 GSZNR fel'!N70</f>
        <v>360</v>
      </c>
      <c r="N38" s="355">
        <f t="shared" si="3"/>
        <v>12259</v>
      </c>
      <c r="O38" s="355">
        <f>'5 GSZNR fel'!Q52+'5 GSZNR fel'!Q59+'5 GSZNR fel'!Q64</f>
        <v>13536</v>
      </c>
      <c r="P38" s="355">
        <f>'5 GSZNR fel'!P52+'5 GSZNR fel'!P59+'5 GSZNR fel'!P64+'5 GSZNR fel'!Q70</f>
        <v>612</v>
      </c>
      <c r="Q38" s="355">
        <f t="shared" si="4"/>
        <v>14148</v>
      </c>
      <c r="R38" s="355">
        <f>'5 GSZNR fel'!T52+'5 GSZNR fel'!T59+'5 GSZNR fel'!T64</f>
        <v>13536</v>
      </c>
      <c r="S38" s="355">
        <f>'5 GSZNR fel'!S52+'5 GSZNR fel'!S59+'5 GSZNR fel'!S64+'5 GSZNR fel'!T70</f>
        <v>612</v>
      </c>
      <c r="T38" s="355">
        <f t="shared" si="5"/>
        <v>14148</v>
      </c>
    </row>
    <row r="39" spans="1:20" x14ac:dyDescent="0.25">
      <c r="A39" s="353" t="s">
        <v>315</v>
      </c>
      <c r="B39" s="354" t="s">
        <v>292</v>
      </c>
      <c r="C39" s="355">
        <f>'5 GSZNR fel'!E53+'5 GSZNR fel'!E60+'5 GSZNR fel'!E65+'5 GSZNR fel'!C71</f>
        <v>123074</v>
      </c>
      <c r="D39" s="355">
        <f>'5 GSZNR fel'!E71</f>
        <v>18604</v>
      </c>
      <c r="E39" s="355">
        <f t="shared" si="0"/>
        <v>141678</v>
      </c>
      <c r="F39" s="355">
        <f>'5 GSZNR fel'!H53+'5 GSZNR fel'!H60+'5 GSZNR fel'!H65+'5 GSZNR fel'!G71</f>
        <v>131781</v>
      </c>
      <c r="G39" s="355">
        <f>'5 GSZNR fel'!I53+'5 GSZNR fel'!I60+'5 GSZNR fel'!I65+'5 GSZNR fel'!H71</f>
        <v>18604</v>
      </c>
      <c r="H39" s="355">
        <f t="shared" si="1"/>
        <v>150385</v>
      </c>
      <c r="I39" s="355">
        <f>'5 GSZNR fel'!K53+'5 GSZNR fel'!K60+'5 GSZNR fel'!K65</f>
        <v>131781</v>
      </c>
      <c r="J39" s="355">
        <f>'5 GSZNR fel'!L53+'5 GSZNR fel'!L60+'5 GSZNR fel'!L65+'5 GSZNR fel'!K71</f>
        <v>18604</v>
      </c>
      <c r="K39" s="355">
        <f t="shared" si="2"/>
        <v>150385</v>
      </c>
      <c r="L39" s="355">
        <f>'5 GSZNR fel'!N53+'5 GSZNR fel'!N60+'5 GSZNR fel'!N65</f>
        <v>139666</v>
      </c>
      <c r="M39" s="355">
        <f>'5 GSZNR fel'!M53+'5 GSZNR fel'!M60+'5 GSZNR fel'!M65+'5 GSZNR fel'!N71</f>
        <v>22813</v>
      </c>
      <c r="N39" s="355">
        <f t="shared" si="3"/>
        <v>162479</v>
      </c>
      <c r="O39" s="355">
        <f>'5 GSZNR fel'!Q53+'5 GSZNR fel'!Q60+'5 GSZNR fel'!Q65</f>
        <v>129500</v>
      </c>
      <c r="P39" s="355">
        <f>'5 GSZNR fel'!P53+'5 GSZNR fel'!P60+'5 GSZNR fel'!P65+'5 GSZNR fel'!Q71</f>
        <v>55000</v>
      </c>
      <c r="Q39" s="355">
        <f t="shared" si="4"/>
        <v>184500</v>
      </c>
      <c r="R39" s="355">
        <f>'5 GSZNR fel'!T53+'5 GSZNR fel'!T60+'5 GSZNR fel'!T65</f>
        <v>130703</v>
      </c>
      <c r="S39" s="355">
        <f>'5 GSZNR fel'!S53+'5 GSZNR fel'!S60+'5 GSZNR fel'!S65+'5 GSZNR fel'!T71</f>
        <v>55000</v>
      </c>
      <c r="T39" s="355">
        <f t="shared" si="5"/>
        <v>185703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fel'!H54</f>
        <v>3797</v>
      </c>
      <c r="G41" s="355">
        <v>0</v>
      </c>
      <c r="H41" s="355">
        <f t="shared" si="1"/>
        <v>3797</v>
      </c>
      <c r="I41" s="355">
        <f>+'5 GSZNR fel'!K54</f>
        <v>3797</v>
      </c>
      <c r="J41" s="355">
        <v>0</v>
      </c>
      <c r="K41" s="355">
        <f t="shared" si="2"/>
        <v>3797</v>
      </c>
      <c r="L41" s="355">
        <f>+'5 GSZNR fel'!N54</f>
        <v>0</v>
      </c>
      <c r="M41" s="355">
        <v>0</v>
      </c>
      <c r="N41" s="355">
        <f t="shared" si="3"/>
        <v>0</v>
      </c>
      <c r="O41" s="355">
        <f>+'5 GSZNR fel'!Q54</f>
        <v>0</v>
      </c>
      <c r="P41" s="355">
        <v>0</v>
      </c>
      <c r="Q41" s="355">
        <f t="shared" si="4"/>
        <v>0</v>
      </c>
      <c r="R41" s="355">
        <f>+'5 GSZNR fel'!T54</f>
        <v>0</v>
      </c>
      <c r="S41" s="355"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64">SUM(C43:C45)</f>
        <v>5525</v>
      </c>
      <c r="D42" s="352">
        <f t="shared" si="64"/>
        <v>0</v>
      </c>
      <c r="E42" s="352">
        <f t="shared" si="0"/>
        <v>5525</v>
      </c>
      <c r="F42" s="352">
        <f t="shared" ref="F42:G42" si="65">SUM(F43:F45)</f>
        <v>5216</v>
      </c>
      <c r="G42" s="352">
        <f t="shared" si="65"/>
        <v>0</v>
      </c>
      <c r="H42" s="352">
        <f t="shared" si="1"/>
        <v>5216</v>
      </c>
      <c r="I42" s="352">
        <f t="shared" ref="I42:J42" si="66">SUM(I43:I45)</f>
        <v>5216</v>
      </c>
      <c r="J42" s="352">
        <f t="shared" si="66"/>
        <v>0</v>
      </c>
      <c r="K42" s="352">
        <f t="shared" si="2"/>
        <v>5216</v>
      </c>
      <c r="L42" s="352">
        <f t="shared" ref="L42:M42" si="67">SUM(L43:L45)</f>
        <v>5499</v>
      </c>
      <c r="M42" s="352">
        <f t="shared" si="67"/>
        <v>0</v>
      </c>
      <c r="N42" s="352">
        <f t="shared" si="3"/>
        <v>5499</v>
      </c>
      <c r="O42" s="352">
        <f t="shared" ref="O42:P42" si="68">SUM(O43:O45)</f>
        <v>21113.65</v>
      </c>
      <c r="P42" s="352">
        <f t="shared" si="68"/>
        <v>0</v>
      </c>
      <c r="Q42" s="352">
        <f t="shared" si="4"/>
        <v>21113.65</v>
      </c>
      <c r="R42" s="352">
        <f t="shared" ref="R42:S42" si="69">SUM(R43:R45)</f>
        <v>21113.65</v>
      </c>
      <c r="S42" s="352">
        <f t="shared" si="69"/>
        <v>0</v>
      </c>
      <c r="T42" s="352">
        <f t="shared" si="5"/>
        <v>21113.65</v>
      </c>
    </row>
    <row r="43" spans="1:20" x14ac:dyDescent="0.25">
      <c r="A43" s="353" t="s">
        <v>311</v>
      </c>
      <c r="B43" s="354" t="s">
        <v>341</v>
      </c>
      <c r="C43" s="355">
        <f>'5 GSZNR fel'!E55+'5 GSZNR fel'!E61+'5 GSZNR fel'!E66</f>
        <v>5525</v>
      </c>
      <c r="D43" s="355">
        <f>'5 GSZNR fel'!E72</f>
        <v>0</v>
      </c>
      <c r="E43" s="355">
        <f t="shared" si="0"/>
        <v>5525</v>
      </c>
      <c r="F43" s="355">
        <f>'5 GSZNR fel'!H55+'5 GSZNR fel'!H61+'5 GSZNR fel'!H66</f>
        <v>5216</v>
      </c>
      <c r="G43" s="355">
        <f>'5 GSZNR fel'!F72</f>
        <v>0</v>
      </c>
      <c r="H43" s="355">
        <f t="shared" si="1"/>
        <v>5216</v>
      </c>
      <c r="I43" s="355">
        <f>'5 GSZNR fel'!K55+'5 GSZNR fel'!K61+'5 GSZNR fel'!K66</f>
        <v>5216</v>
      </c>
      <c r="J43" s="355">
        <f>'5 GSZNR fel'!J72</f>
        <v>0</v>
      </c>
      <c r="K43" s="355">
        <f t="shared" si="2"/>
        <v>5216</v>
      </c>
      <c r="L43" s="355">
        <f>'5 GSZNR fel'!N55+'5 GSZNR fel'!N61+'5 GSZNR fel'!N66</f>
        <v>5499</v>
      </c>
      <c r="M43" s="355">
        <f>'5 GSZNR fel'!L55+'5 GSZNR fel'!L61+'5 GSZNR fel'!L66</f>
        <v>0</v>
      </c>
      <c r="N43" s="355">
        <f t="shared" si="3"/>
        <v>5499</v>
      </c>
      <c r="O43" s="355">
        <f>'5 GSZNR fel'!Q55+'5 GSZNR fel'!Q61+'5 GSZNR fel'!Q66</f>
        <v>16757.650000000001</v>
      </c>
      <c r="P43" s="355">
        <f>'5 GSZNR fel'!P55+'5 GSZNR fel'!P61+'5 GSZNR fel'!P66</f>
        <v>0</v>
      </c>
      <c r="Q43" s="355">
        <f t="shared" si="4"/>
        <v>16757.650000000001</v>
      </c>
      <c r="R43" s="355">
        <f>'5 GSZNR fel'!T55+'5 GSZNR fel'!T61+'5 GSZNR fel'!T66</f>
        <v>16757.650000000001</v>
      </c>
      <c r="S43" s="355">
        <f>'5 GSZNR fel'!S55+'5 GSZNR fel'!S61+'5 GSZNR fel'!S66</f>
        <v>0</v>
      </c>
      <c r="T43" s="355">
        <f t="shared" si="5"/>
        <v>16757.650000000001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f>+'5 GSZNR fel'!Q56</f>
        <v>4356</v>
      </c>
      <c r="P44" s="355">
        <v>0</v>
      </c>
      <c r="Q44" s="355">
        <f t="shared" si="4"/>
        <v>4356</v>
      </c>
      <c r="R44" s="355">
        <f>+'5 GSZNR fel'!T56</f>
        <v>4356</v>
      </c>
      <c r="S44" s="355">
        <v>0</v>
      </c>
      <c r="T44" s="355">
        <f t="shared" si="5"/>
        <v>4356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 t="s">
        <v>1693</v>
      </c>
      <c r="P45" s="355">
        <v>0</v>
      </c>
      <c r="Q45" s="355">
        <f t="shared" si="4"/>
        <v>0</v>
      </c>
      <c r="R45" s="355" t="s">
        <v>1693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0">C36+C42</f>
        <v>198920</v>
      </c>
      <c r="D46" s="333">
        <f t="shared" si="70"/>
        <v>19542</v>
      </c>
      <c r="E46" s="333">
        <f t="shared" si="0"/>
        <v>218462</v>
      </c>
      <c r="F46" s="333">
        <f t="shared" ref="F46:G46" si="71">F36+F42</f>
        <v>211397</v>
      </c>
      <c r="G46" s="333">
        <f t="shared" si="71"/>
        <v>19648</v>
      </c>
      <c r="H46" s="333">
        <f t="shared" si="1"/>
        <v>231045</v>
      </c>
      <c r="I46" s="333">
        <f t="shared" ref="I46:J46" si="72">I36+I42</f>
        <v>211397</v>
      </c>
      <c r="J46" s="333">
        <f t="shared" si="72"/>
        <v>19648</v>
      </c>
      <c r="K46" s="333">
        <f t="shared" si="2"/>
        <v>231045</v>
      </c>
      <c r="L46" s="333">
        <f t="shared" ref="L46:M46" si="73">L36+L42</f>
        <v>215562</v>
      </c>
      <c r="M46" s="333">
        <f t="shared" si="73"/>
        <v>23947</v>
      </c>
      <c r="N46" s="333">
        <f t="shared" si="3"/>
        <v>239509</v>
      </c>
      <c r="O46" s="333">
        <f t="shared" ref="O46:P46" si="74">O36+O42</f>
        <v>233781.65</v>
      </c>
      <c r="P46" s="333">
        <f t="shared" si="74"/>
        <v>57112</v>
      </c>
      <c r="Q46" s="333">
        <f t="shared" si="4"/>
        <v>290893.65000000002</v>
      </c>
      <c r="R46" s="333">
        <f t="shared" ref="R46:S46" si="75">R36+R42</f>
        <v>234984.65</v>
      </c>
      <c r="S46" s="333">
        <f t="shared" si="75"/>
        <v>57112</v>
      </c>
      <c r="T46" s="333">
        <f t="shared" si="5"/>
        <v>292096.65000000002</v>
      </c>
    </row>
  </sheetData>
  <mergeCells count="8"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0629921259842521" bottom="0.19685039370078741" header="0.31496062992125984" footer="0.31496062992125984"/>
  <pageSetup paperSize="9" scale="57" fitToWidth="0" fitToHeight="0" orientation="portrait" copies="2" r:id="rId1"/>
  <headerFooter>
    <oddHeader>&amp;L4/D.  melléklet a ...../2019. (.......) önkormányzati rendelethez&amp;C&amp;"-,Félkövér"&amp;16
A Munkácsy Mihály Művelődési Ház 2019. évi bevételei és kiadásai jogcímenként és feladatonként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6.75" style="31" customWidth="1"/>
    <col min="2" max="2" width="53.375" customWidth="1"/>
    <col min="3" max="3" width="10" hidden="1" customWidth="1"/>
    <col min="4" max="4" width="9" hidden="1" customWidth="1"/>
    <col min="5" max="5" width="9.75" hidden="1" customWidth="1"/>
    <col min="6" max="7" width="9" hidden="1" customWidth="1"/>
    <col min="8" max="8" width="9.375" hidden="1" customWidth="1"/>
    <col min="9" max="14" width="9" hidden="1" customWidth="1"/>
  </cols>
  <sheetData>
    <row r="1" spans="1:20" ht="14.95" x14ac:dyDescent="0.25">
      <c r="E1" s="32"/>
      <c r="K1" s="32"/>
      <c r="N1" s="32"/>
      <c r="Q1" s="32" t="s">
        <v>302</v>
      </c>
      <c r="T1" s="32" t="s">
        <v>302</v>
      </c>
    </row>
    <row r="2" spans="1:20" ht="28.55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x14ac:dyDescent="0.25">
      <c r="A3" s="346" t="s">
        <v>304</v>
      </c>
      <c r="B3" s="346" t="s">
        <v>1514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50.95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4</v>
      </c>
      <c r="D6" s="349">
        <v>1</v>
      </c>
      <c r="E6" s="349">
        <f t="shared" ref="E6:E46" si="0">SUM(C6:D6)</f>
        <v>5</v>
      </c>
      <c r="F6" s="349">
        <v>4</v>
      </c>
      <c r="G6" s="349">
        <v>1</v>
      </c>
      <c r="H6" s="349">
        <f t="shared" ref="H6:H46" si="1">SUM(F6:G6)</f>
        <v>5</v>
      </c>
      <c r="I6" s="349">
        <v>4</v>
      </c>
      <c r="J6" s="349">
        <v>1</v>
      </c>
      <c r="K6" s="349">
        <f t="shared" ref="K6:K46" si="2">SUM(I6:J6)</f>
        <v>5</v>
      </c>
      <c r="L6" s="349">
        <v>4</v>
      </c>
      <c r="M6" s="349">
        <v>1</v>
      </c>
      <c r="N6" s="349">
        <f t="shared" ref="N6:N46" si="3">SUM(L6:M6)</f>
        <v>5</v>
      </c>
      <c r="O6" s="349">
        <v>4</v>
      </c>
      <c r="P6" s="349">
        <v>1.5</v>
      </c>
      <c r="Q6" s="349">
        <f t="shared" ref="Q6:Q46" si="4">SUM(O6:P6)</f>
        <v>5.5</v>
      </c>
      <c r="R6" s="349">
        <v>4</v>
      </c>
      <c r="S6" s="349">
        <v>1.5</v>
      </c>
      <c r="T6" s="349">
        <f t="shared" ref="T6:T46" si="5">SUM(R6:S6)</f>
        <v>5.5</v>
      </c>
    </row>
    <row r="7" spans="1:20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170</v>
      </c>
      <c r="D8" s="352">
        <f t="shared" si="6"/>
        <v>0</v>
      </c>
      <c r="E8" s="352">
        <f t="shared" si="0"/>
        <v>170</v>
      </c>
      <c r="F8" s="352">
        <f t="shared" ref="F8:G8" si="7">F9+F11+F20</f>
        <v>170</v>
      </c>
      <c r="G8" s="352">
        <f t="shared" si="7"/>
        <v>0</v>
      </c>
      <c r="H8" s="352">
        <f t="shared" si="1"/>
        <v>170</v>
      </c>
      <c r="I8" s="352">
        <f t="shared" ref="I8:J8" si="8">I9+I11+I20</f>
        <v>170</v>
      </c>
      <c r="J8" s="352">
        <f t="shared" si="8"/>
        <v>0</v>
      </c>
      <c r="K8" s="352">
        <f t="shared" si="2"/>
        <v>170</v>
      </c>
      <c r="L8" s="352">
        <f t="shared" ref="L8:M8" si="9">L9+L11+L20</f>
        <v>51</v>
      </c>
      <c r="M8" s="352">
        <f t="shared" si="9"/>
        <v>0</v>
      </c>
      <c r="N8" s="352">
        <f t="shared" si="3"/>
        <v>51</v>
      </c>
      <c r="O8" s="352">
        <f t="shared" ref="O8:P8" si="10">O9+O11+O20</f>
        <v>50</v>
      </c>
      <c r="P8" s="352">
        <f t="shared" si="10"/>
        <v>0</v>
      </c>
      <c r="Q8" s="352">
        <f t="shared" si="4"/>
        <v>50</v>
      </c>
      <c r="R8" s="352">
        <f t="shared" ref="R8:S8" si="11">R9+R11+R20</f>
        <v>50</v>
      </c>
      <c r="S8" s="352">
        <f t="shared" si="11"/>
        <v>0</v>
      </c>
      <c r="T8" s="352">
        <f t="shared" si="5"/>
        <v>50</v>
      </c>
    </row>
    <row r="9" spans="1:20" x14ac:dyDescent="0.25">
      <c r="A9" s="353" t="s">
        <v>311</v>
      </c>
      <c r="B9" s="354" t="s">
        <v>312</v>
      </c>
      <c r="C9" s="355">
        <f t="shared" ref="C9:S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si="12"/>
        <v>0</v>
      </c>
      <c r="T9" s="355">
        <f t="shared" si="5"/>
        <v>0</v>
      </c>
    </row>
    <row r="10" spans="1:20" ht="30.1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3">C12+C13+C14+C15+C16+C17+C18+C19</f>
        <v>170</v>
      </c>
      <c r="D11" s="355">
        <f t="shared" si="13"/>
        <v>0</v>
      </c>
      <c r="E11" s="355">
        <f t="shared" si="0"/>
        <v>170</v>
      </c>
      <c r="F11" s="355">
        <f t="shared" ref="F11:G11" si="14">F12+F13+F14+F15+F16+F17+F18+F19</f>
        <v>170</v>
      </c>
      <c r="G11" s="355">
        <f t="shared" si="14"/>
        <v>0</v>
      </c>
      <c r="H11" s="355">
        <f t="shared" si="1"/>
        <v>170</v>
      </c>
      <c r="I11" s="355">
        <f t="shared" ref="I11:J11" si="15">I12+I13+I14+I15+I16+I17+I18+I19</f>
        <v>170</v>
      </c>
      <c r="J11" s="355">
        <f t="shared" si="15"/>
        <v>0</v>
      </c>
      <c r="K11" s="355">
        <f t="shared" si="2"/>
        <v>170</v>
      </c>
      <c r="L11" s="355">
        <f t="shared" ref="L11:M11" si="16">L12+L13+L14+L15+L16+L17+L18+L19</f>
        <v>51</v>
      </c>
      <c r="M11" s="355">
        <f t="shared" si="16"/>
        <v>0</v>
      </c>
      <c r="N11" s="355">
        <f t="shared" si="3"/>
        <v>51</v>
      </c>
      <c r="O11" s="355">
        <f t="shared" ref="O11:P11" si="17">O12+O13+O14+O15+O16+O17+O18+O19</f>
        <v>50</v>
      </c>
      <c r="P11" s="355">
        <f t="shared" si="17"/>
        <v>0</v>
      </c>
      <c r="Q11" s="355">
        <f t="shared" si="4"/>
        <v>50</v>
      </c>
      <c r="R11" s="355">
        <f t="shared" ref="R11:S11" si="18">R12+R13+R14+R15+R16+R17+R18+R19</f>
        <v>50</v>
      </c>
      <c r="S11" s="355">
        <f t="shared" si="18"/>
        <v>0</v>
      </c>
      <c r="T11" s="355">
        <f t="shared" si="5"/>
        <v>50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273">
        <v>170</v>
      </c>
      <c r="D13" s="273">
        <v>0</v>
      </c>
      <c r="E13" s="273">
        <f t="shared" si="0"/>
        <v>170</v>
      </c>
      <c r="F13" s="273">
        <v>170</v>
      </c>
      <c r="G13" s="273">
        <v>0</v>
      </c>
      <c r="H13" s="273">
        <f t="shared" si="1"/>
        <v>170</v>
      </c>
      <c r="I13" s="273">
        <v>170</v>
      </c>
      <c r="J13" s="273">
        <v>0</v>
      </c>
      <c r="K13" s="273">
        <f t="shared" si="2"/>
        <v>170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</row>
    <row r="14" spans="1:20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</row>
    <row r="15" spans="1:20" x14ac:dyDescent="0.25">
      <c r="A15" s="392"/>
      <c r="B15" s="356" t="s">
        <v>664</v>
      </c>
      <c r="C15" s="273">
        <v>0</v>
      </c>
      <c r="D15" s="273">
        <v>0</v>
      </c>
      <c r="E15" s="273">
        <f t="shared" si="0"/>
        <v>0</v>
      </c>
      <c r="F15" s="273">
        <v>0</v>
      </c>
      <c r="G15" s="273">
        <v>0</v>
      </c>
      <c r="H15" s="273">
        <f t="shared" si="1"/>
        <v>0</v>
      </c>
      <c r="I15" s="273">
        <v>0</v>
      </c>
      <c r="J15" s="273">
        <v>0</v>
      </c>
      <c r="K15" s="273">
        <f t="shared" si="2"/>
        <v>0</v>
      </c>
      <c r="L15" s="273">
        <v>0</v>
      </c>
      <c r="M15" s="273">
        <v>0</v>
      </c>
      <c r="N15" s="273">
        <f t="shared" si="3"/>
        <v>0</v>
      </c>
      <c r="O15" s="273">
        <v>0</v>
      </c>
      <c r="P15" s="273">
        <v>0</v>
      </c>
      <c r="Q15" s="273">
        <f t="shared" si="4"/>
        <v>0</v>
      </c>
      <c r="R15" s="273">
        <v>0</v>
      </c>
      <c r="S15" s="273">
        <v>0</v>
      </c>
      <c r="T15" s="273">
        <f t="shared" si="5"/>
        <v>0</v>
      </c>
    </row>
    <row r="16" spans="1:20" x14ac:dyDescent="0.25">
      <c r="A16" s="392"/>
      <c r="B16" s="356" t="s">
        <v>665</v>
      </c>
      <c r="C16" s="273">
        <v>0</v>
      </c>
      <c r="D16" s="273">
        <v>0</v>
      </c>
      <c r="E16" s="273">
        <f t="shared" si="0"/>
        <v>0</v>
      </c>
      <c r="F16" s="273">
        <v>0</v>
      </c>
      <c r="G16" s="273">
        <v>0</v>
      </c>
      <c r="H16" s="273">
        <f t="shared" si="1"/>
        <v>0</v>
      </c>
      <c r="I16" s="273">
        <v>0</v>
      </c>
      <c r="J16" s="273">
        <v>0</v>
      </c>
      <c r="K16" s="273">
        <f t="shared" si="2"/>
        <v>0</v>
      </c>
      <c r="L16" s="273">
        <v>0</v>
      </c>
      <c r="M16" s="273">
        <v>0</v>
      </c>
      <c r="N16" s="273">
        <f t="shared" si="3"/>
        <v>0</v>
      </c>
      <c r="O16" s="273">
        <v>0</v>
      </c>
      <c r="P16" s="273">
        <v>0</v>
      </c>
      <c r="Q16" s="273">
        <f t="shared" si="4"/>
        <v>0</v>
      </c>
      <c r="R16" s="273">
        <v>0</v>
      </c>
      <c r="S16" s="273">
        <v>0</v>
      </c>
      <c r="T16" s="273">
        <f t="shared" si="5"/>
        <v>0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51</v>
      </c>
      <c r="M19" s="273">
        <v>0</v>
      </c>
      <c r="N19" s="273">
        <f t="shared" si="3"/>
        <v>51</v>
      </c>
      <c r="O19" s="273">
        <v>50</v>
      </c>
      <c r="P19" s="273">
        <v>0</v>
      </c>
      <c r="Q19" s="273">
        <f t="shared" si="4"/>
        <v>50</v>
      </c>
      <c r="R19" s="273">
        <v>50</v>
      </c>
      <c r="S19" s="273">
        <v>0</v>
      </c>
      <c r="T19" s="273">
        <f t="shared" si="5"/>
        <v>50</v>
      </c>
    </row>
    <row r="20" spans="1:20" x14ac:dyDescent="0.25">
      <c r="A20" s="353" t="s">
        <v>315</v>
      </c>
      <c r="B20" s="354" t="s">
        <v>316</v>
      </c>
      <c r="C20" s="355">
        <f t="shared" ref="C20:S20" si="19">SUM(C21:C21)</f>
        <v>0</v>
      </c>
      <c r="D20" s="355">
        <f t="shared" si="19"/>
        <v>0</v>
      </c>
      <c r="E20" s="355">
        <f t="shared" si="0"/>
        <v>0</v>
      </c>
      <c r="F20" s="355">
        <f t="shared" si="19"/>
        <v>0</v>
      </c>
      <c r="G20" s="355">
        <f t="shared" si="19"/>
        <v>0</v>
      </c>
      <c r="H20" s="355">
        <f t="shared" si="1"/>
        <v>0</v>
      </c>
      <c r="I20" s="355">
        <f t="shared" si="19"/>
        <v>0</v>
      </c>
      <c r="J20" s="355">
        <f t="shared" si="19"/>
        <v>0</v>
      </c>
      <c r="K20" s="355">
        <f t="shared" si="2"/>
        <v>0</v>
      </c>
      <c r="L20" s="355">
        <f t="shared" si="19"/>
        <v>0</v>
      </c>
      <c r="M20" s="355">
        <f t="shared" si="19"/>
        <v>0</v>
      </c>
      <c r="N20" s="355">
        <f t="shared" si="3"/>
        <v>0</v>
      </c>
      <c r="O20" s="355">
        <f t="shared" si="19"/>
        <v>0</v>
      </c>
      <c r="P20" s="355">
        <f t="shared" si="19"/>
        <v>0</v>
      </c>
      <c r="Q20" s="355">
        <f t="shared" si="4"/>
        <v>0</v>
      </c>
      <c r="R20" s="355">
        <f t="shared" si="19"/>
        <v>0</v>
      </c>
      <c r="S20" s="355">
        <f t="shared" si="19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0">C23+C25+C28</f>
        <v>0</v>
      </c>
      <c r="D22" s="352">
        <f t="shared" si="20"/>
        <v>0</v>
      </c>
      <c r="E22" s="352">
        <f t="shared" si="0"/>
        <v>0</v>
      </c>
      <c r="F22" s="352">
        <f t="shared" ref="F22:G22" si="21">F23+F25+F28</f>
        <v>0</v>
      </c>
      <c r="G22" s="352">
        <f t="shared" si="21"/>
        <v>0</v>
      </c>
      <c r="H22" s="352">
        <f t="shared" si="1"/>
        <v>0</v>
      </c>
      <c r="I22" s="352">
        <f t="shared" ref="I22:J22" si="22">I23+I25+I28</f>
        <v>0</v>
      </c>
      <c r="J22" s="352">
        <f t="shared" si="22"/>
        <v>0</v>
      </c>
      <c r="K22" s="352">
        <f t="shared" si="2"/>
        <v>0</v>
      </c>
      <c r="L22" s="352">
        <f t="shared" ref="L22:M22" si="23">L23+L25+L28</f>
        <v>0</v>
      </c>
      <c r="M22" s="352">
        <f t="shared" si="23"/>
        <v>0</v>
      </c>
      <c r="N22" s="352">
        <f t="shared" si="3"/>
        <v>0</v>
      </c>
      <c r="O22" s="352">
        <f t="shared" ref="O22:P22" si="24">O23+O25+O28</f>
        <v>0</v>
      </c>
      <c r="P22" s="352">
        <f t="shared" si="24"/>
        <v>0</v>
      </c>
      <c r="Q22" s="352">
        <f t="shared" si="4"/>
        <v>0</v>
      </c>
      <c r="R22" s="352">
        <f t="shared" ref="R22:S22" si="25">R23+R25+R28</f>
        <v>0</v>
      </c>
      <c r="S22" s="352">
        <f t="shared" si="25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S23" si="26">SUM(C24:C24)</f>
        <v>0</v>
      </c>
      <c r="D23" s="355">
        <f t="shared" si="26"/>
        <v>0</v>
      </c>
      <c r="E23" s="355">
        <f t="shared" si="0"/>
        <v>0</v>
      </c>
      <c r="F23" s="355">
        <f t="shared" si="26"/>
        <v>0</v>
      </c>
      <c r="G23" s="355">
        <f t="shared" si="26"/>
        <v>0</v>
      </c>
      <c r="H23" s="355">
        <f t="shared" si="1"/>
        <v>0</v>
      </c>
      <c r="I23" s="355">
        <f t="shared" si="26"/>
        <v>0</v>
      </c>
      <c r="J23" s="355">
        <f t="shared" si="26"/>
        <v>0</v>
      </c>
      <c r="K23" s="355">
        <f t="shared" si="2"/>
        <v>0</v>
      </c>
      <c r="L23" s="355">
        <f t="shared" si="26"/>
        <v>0</v>
      </c>
      <c r="M23" s="355">
        <f t="shared" si="26"/>
        <v>0</v>
      </c>
      <c r="N23" s="355">
        <f t="shared" si="3"/>
        <v>0</v>
      </c>
      <c r="O23" s="355">
        <f t="shared" si="26"/>
        <v>0</v>
      </c>
      <c r="P23" s="355">
        <f t="shared" si="26"/>
        <v>0</v>
      </c>
      <c r="Q23" s="355">
        <f t="shared" si="4"/>
        <v>0</v>
      </c>
      <c r="R23" s="355">
        <f t="shared" si="26"/>
        <v>0</v>
      </c>
      <c r="S23" s="355">
        <f t="shared" si="26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27">SUM(C26:C27)</f>
        <v>0</v>
      </c>
      <c r="D25" s="355">
        <f t="shared" si="27"/>
        <v>0</v>
      </c>
      <c r="E25" s="355">
        <f t="shared" si="0"/>
        <v>0</v>
      </c>
      <c r="F25" s="355">
        <f t="shared" ref="F25:G25" si="28">SUM(F26:F27)</f>
        <v>0</v>
      </c>
      <c r="G25" s="355">
        <f t="shared" si="28"/>
        <v>0</v>
      </c>
      <c r="H25" s="355">
        <f t="shared" si="1"/>
        <v>0</v>
      </c>
      <c r="I25" s="355">
        <f t="shared" ref="I25:J25" si="29">SUM(I26:I27)</f>
        <v>0</v>
      </c>
      <c r="J25" s="355">
        <f t="shared" si="29"/>
        <v>0</v>
      </c>
      <c r="K25" s="355">
        <f t="shared" si="2"/>
        <v>0</v>
      </c>
      <c r="L25" s="355">
        <f t="shared" ref="L25:M25" si="30">SUM(L26:L27)</f>
        <v>0</v>
      </c>
      <c r="M25" s="355">
        <f t="shared" si="30"/>
        <v>0</v>
      </c>
      <c r="N25" s="355">
        <f t="shared" si="3"/>
        <v>0</v>
      </c>
      <c r="O25" s="355">
        <f t="shared" ref="O25:P25" si="31">SUM(O26:O27)</f>
        <v>0</v>
      </c>
      <c r="P25" s="355">
        <f t="shared" si="31"/>
        <v>0</v>
      </c>
      <c r="Q25" s="355">
        <f t="shared" si="4"/>
        <v>0</v>
      </c>
      <c r="R25" s="355">
        <f t="shared" ref="R25:S25" si="32">SUM(R26:R27)</f>
        <v>0</v>
      </c>
      <c r="S25" s="355">
        <f t="shared" si="32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S28" si="33">SUM(C29:C29)</f>
        <v>0</v>
      </c>
      <c r="D28" s="355">
        <f t="shared" si="33"/>
        <v>0</v>
      </c>
      <c r="E28" s="355">
        <f t="shared" si="0"/>
        <v>0</v>
      </c>
      <c r="F28" s="355">
        <f t="shared" si="33"/>
        <v>0</v>
      </c>
      <c r="G28" s="355">
        <f t="shared" si="33"/>
        <v>0</v>
      </c>
      <c r="H28" s="355">
        <f t="shared" si="1"/>
        <v>0</v>
      </c>
      <c r="I28" s="355">
        <f t="shared" si="33"/>
        <v>0</v>
      </c>
      <c r="J28" s="355">
        <f t="shared" si="33"/>
        <v>0</v>
      </c>
      <c r="K28" s="355">
        <f t="shared" si="2"/>
        <v>0</v>
      </c>
      <c r="L28" s="355">
        <f t="shared" si="33"/>
        <v>0</v>
      </c>
      <c r="M28" s="355">
        <f t="shared" si="33"/>
        <v>0</v>
      </c>
      <c r="N28" s="355">
        <f t="shared" si="3"/>
        <v>0</v>
      </c>
      <c r="O28" s="355">
        <f t="shared" si="33"/>
        <v>0</v>
      </c>
      <c r="P28" s="355">
        <f t="shared" si="33"/>
        <v>0</v>
      </c>
      <c r="Q28" s="355">
        <f t="shared" si="4"/>
        <v>0</v>
      </c>
      <c r="R28" s="355">
        <f t="shared" si="33"/>
        <v>0</v>
      </c>
      <c r="S28" s="355">
        <f t="shared" si="33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4">C22+C8</f>
        <v>170</v>
      </c>
      <c r="D30" s="360">
        <f t="shared" si="34"/>
        <v>0</v>
      </c>
      <c r="E30" s="360">
        <f t="shared" si="0"/>
        <v>170</v>
      </c>
      <c r="F30" s="360">
        <f t="shared" ref="F30:G30" si="35">F22+F8</f>
        <v>170</v>
      </c>
      <c r="G30" s="360">
        <f t="shared" si="35"/>
        <v>0</v>
      </c>
      <c r="H30" s="360">
        <f t="shared" si="1"/>
        <v>170</v>
      </c>
      <c r="I30" s="360">
        <f t="shared" ref="I30:J30" si="36">I22+I8</f>
        <v>170</v>
      </c>
      <c r="J30" s="360">
        <f t="shared" si="36"/>
        <v>0</v>
      </c>
      <c r="K30" s="360">
        <f t="shared" si="2"/>
        <v>170</v>
      </c>
      <c r="L30" s="360">
        <f t="shared" ref="L30:M30" si="37">L22+L8</f>
        <v>51</v>
      </c>
      <c r="M30" s="360">
        <f t="shared" si="37"/>
        <v>0</v>
      </c>
      <c r="N30" s="360">
        <f t="shared" si="3"/>
        <v>51</v>
      </c>
      <c r="O30" s="360">
        <f t="shared" ref="O30:P30" si="38">O22+O8</f>
        <v>50</v>
      </c>
      <c r="P30" s="360">
        <f t="shared" si="38"/>
        <v>0</v>
      </c>
      <c r="Q30" s="360">
        <f t="shared" si="4"/>
        <v>50</v>
      </c>
      <c r="R30" s="360">
        <f t="shared" ref="R30:S30" si="39">R22+R8</f>
        <v>50</v>
      </c>
      <c r="S30" s="360">
        <f t="shared" si="39"/>
        <v>0</v>
      </c>
      <c r="T30" s="360">
        <f t="shared" si="5"/>
        <v>50</v>
      </c>
    </row>
    <row r="31" spans="1:20" x14ac:dyDescent="0.25">
      <c r="A31" s="350" t="s">
        <v>328</v>
      </c>
      <c r="B31" s="351" t="s">
        <v>329</v>
      </c>
      <c r="C31" s="352">
        <f t="shared" ref="C31:S31" si="40">C32</f>
        <v>26764</v>
      </c>
      <c r="D31" s="352">
        <f t="shared" si="40"/>
        <v>10094</v>
      </c>
      <c r="E31" s="352">
        <f t="shared" si="0"/>
        <v>36858</v>
      </c>
      <c r="F31" s="352">
        <f t="shared" si="40"/>
        <v>27712</v>
      </c>
      <c r="G31" s="352">
        <f t="shared" si="40"/>
        <v>10094</v>
      </c>
      <c r="H31" s="352">
        <f t="shared" si="1"/>
        <v>37806</v>
      </c>
      <c r="I31" s="352">
        <f t="shared" si="40"/>
        <v>27305</v>
      </c>
      <c r="J31" s="352">
        <f t="shared" si="40"/>
        <v>10501</v>
      </c>
      <c r="K31" s="352">
        <f t="shared" si="2"/>
        <v>37806</v>
      </c>
      <c r="L31" s="352">
        <f t="shared" si="40"/>
        <v>33217</v>
      </c>
      <c r="M31" s="352">
        <f t="shared" si="40"/>
        <v>0</v>
      </c>
      <c r="N31" s="352">
        <f t="shared" si="3"/>
        <v>33217</v>
      </c>
      <c r="O31" s="352">
        <f t="shared" si="40"/>
        <v>28785.5</v>
      </c>
      <c r="P31" s="352">
        <f t="shared" si="40"/>
        <v>9388</v>
      </c>
      <c r="Q31" s="352">
        <f t="shared" si="4"/>
        <v>38173.5</v>
      </c>
      <c r="R31" s="352">
        <f t="shared" si="40"/>
        <v>29899</v>
      </c>
      <c r="S31" s="352">
        <f t="shared" si="40"/>
        <v>9388</v>
      </c>
      <c r="T31" s="352">
        <f t="shared" si="5"/>
        <v>39287</v>
      </c>
    </row>
    <row r="32" spans="1:20" x14ac:dyDescent="0.25">
      <c r="A32" s="353" t="s">
        <v>311</v>
      </c>
      <c r="B32" s="354" t="s">
        <v>330</v>
      </c>
      <c r="C32" s="355">
        <f t="shared" ref="C32:D32" si="41">SUM(C33:C34)</f>
        <v>26764</v>
      </c>
      <c r="D32" s="355">
        <f t="shared" si="41"/>
        <v>10094</v>
      </c>
      <c r="E32" s="355">
        <f t="shared" si="0"/>
        <v>36858</v>
      </c>
      <c r="F32" s="355">
        <f t="shared" ref="F32:G32" si="42">SUM(F33:F34)</f>
        <v>27712</v>
      </c>
      <c r="G32" s="355">
        <f t="shared" si="42"/>
        <v>10094</v>
      </c>
      <c r="H32" s="355">
        <f t="shared" si="1"/>
        <v>37806</v>
      </c>
      <c r="I32" s="355">
        <f t="shared" ref="I32:J32" si="43">SUM(I33:I34)</f>
        <v>27305</v>
      </c>
      <c r="J32" s="355">
        <f t="shared" si="43"/>
        <v>10501</v>
      </c>
      <c r="K32" s="355">
        <f t="shared" si="2"/>
        <v>37806</v>
      </c>
      <c r="L32" s="355">
        <f t="shared" ref="L32:M32" si="44">SUM(L33:L34)</f>
        <v>33217</v>
      </c>
      <c r="M32" s="355">
        <f t="shared" si="44"/>
        <v>0</v>
      </c>
      <c r="N32" s="355">
        <f t="shared" si="3"/>
        <v>33217</v>
      </c>
      <c r="O32" s="355">
        <f t="shared" ref="O32:P32" si="45">SUM(O33:O34)</f>
        <v>28785.5</v>
      </c>
      <c r="P32" s="355">
        <f t="shared" si="45"/>
        <v>9388</v>
      </c>
      <c r="Q32" s="355">
        <f t="shared" si="4"/>
        <v>38173.5</v>
      </c>
      <c r="R32" s="355">
        <f t="shared" ref="R32:S32" si="46">SUM(R33:R34)</f>
        <v>29899</v>
      </c>
      <c r="S32" s="355">
        <f t="shared" si="46"/>
        <v>9388</v>
      </c>
      <c r="T32" s="355">
        <f t="shared" si="5"/>
        <v>39287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541</v>
      </c>
      <c r="G33" s="273">
        <v>0</v>
      </c>
      <c r="H33" s="273">
        <f t="shared" si="1"/>
        <v>541</v>
      </c>
      <c r="I33" s="273">
        <v>526</v>
      </c>
      <c r="J33" s="273">
        <v>0</v>
      </c>
      <c r="K33" s="273">
        <f t="shared" si="2"/>
        <v>526</v>
      </c>
      <c r="L33" s="273">
        <v>541</v>
      </c>
      <c r="M33" s="273">
        <v>0</v>
      </c>
      <c r="N33" s="273">
        <f t="shared" si="3"/>
        <v>541</v>
      </c>
      <c r="O33" s="273">
        <v>0</v>
      </c>
      <c r="P33" s="273">
        <v>0</v>
      </c>
      <c r="Q33" s="273">
        <f t="shared" si="4"/>
        <v>0</v>
      </c>
      <c r="R33" s="273">
        <v>1113</v>
      </c>
      <c r="S33" s="273">
        <v>0</v>
      </c>
      <c r="T33" s="273">
        <f t="shared" si="5"/>
        <v>1113</v>
      </c>
    </row>
    <row r="34" spans="1:20" x14ac:dyDescent="0.25">
      <c r="A34" s="392"/>
      <c r="B34" s="358" t="s">
        <v>332</v>
      </c>
      <c r="C34" s="273">
        <f t="shared" ref="C34:D34" si="47">C46-C30-C33</f>
        <v>26764</v>
      </c>
      <c r="D34" s="273">
        <f t="shared" si="47"/>
        <v>10094</v>
      </c>
      <c r="E34" s="273">
        <f t="shared" si="0"/>
        <v>36858</v>
      </c>
      <c r="F34" s="273">
        <f t="shared" ref="F34:G34" si="48">F46-F30-F33</f>
        <v>27171</v>
      </c>
      <c r="G34" s="273">
        <f t="shared" si="48"/>
        <v>10094</v>
      </c>
      <c r="H34" s="273">
        <f t="shared" si="1"/>
        <v>37265</v>
      </c>
      <c r="I34" s="273">
        <f t="shared" ref="I34:J34" si="49">I46-I30-I33</f>
        <v>26779</v>
      </c>
      <c r="J34" s="273">
        <f t="shared" si="49"/>
        <v>10501</v>
      </c>
      <c r="K34" s="273">
        <f t="shared" si="2"/>
        <v>37280</v>
      </c>
      <c r="L34" s="273">
        <v>32676</v>
      </c>
      <c r="M34" s="273"/>
      <c r="N34" s="273">
        <f t="shared" si="3"/>
        <v>32676</v>
      </c>
      <c r="O34" s="273">
        <f t="shared" ref="O34:P34" si="50">O46-O30-O33</f>
        <v>28785.5</v>
      </c>
      <c r="P34" s="273">
        <f t="shared" si="50"/>
        <v>9388</v>
      </c>
      <c r="Q34" s="273">
        <f t="shared" si="4"/>
        <v>38173.5</v>
      </c>
      <c r="R34" s="273">
        <f t="shared" ref="R34:S34" si="51">R46-R30-R33</f>
        <v>28786</v>
      </c>
      <c r="S34" s="273">
        <f t="shared" si="51"/>
        <v>9388</v>
      </c>
      <c r="T34" s="273">
        <f t="shared" si="5"/>
        <v>38174</v>
      </c>
    </row>
    <row r="35" spans="1:20" x14ac:dyDescent="0.25">
      <c r="A35" s="361"/>
      <c r="B35" s="362" t="s">
        <v>333</v>
      </c>
      <c r="C35" s="333">
        <f t="shared" ref="C35:D35" si="52">C31+C22+C8</f>
        <v>26934</v>
      </c>
      <c r="D35" s="333">
        <f t="shared" si="52"/>
        <v>10094</v>
      </c>
      <c r="E35" s="333">
        <f t="shared" si="0"/>
        <v>37028</v>
      </c>
      <c r="F35" s="333">
        <f t="shared" ref="F35:G35" si="53">F31+F22+F8</f>
        <v>27882</v>
      </c>
      <c r="G35" s="333">
        <f t="shared" si="53"/>
        <v>10094</v>
      </c>
      <c r="H35" s="333">
        <f t="shared" si="1"/>
        <v>37976</v>
      </c>
      <c r="I35" s="333">
        <f t="shared" ref="I35:J35" si="54">I31+I22+I8</f>
        <v>27475</v>
      </c>
      <c r="J35" s="333">
        <f t="shared" si="54"/>
        <v>10501</v>
      </c>
      <c r="K35" s="333">
        <f t="shared" si="2"/>
        <v>37976</v>
      </c>
      <c r="L35" s="333">
        <f t="shared" ref="L35:M35" si="55">L31+L22+L8</f>
        <v>33268</v>
      </c>
      <c r="M35" s="333">
        <f t="shared" si="55"/>
        <v>0</v>
      </c>
      <c r="N35" s="333">
        <f t="shared" si="3"/>
        <v>33268</v>
      </c>
      <c r="O35" s="333">
        <f t="shared" ref="O35:P35" si="56">O31+O22+O8</f>
        <v>28835.5</v>
      </c>
      <c r="P35" s="333">
        <f t="shared" si="56"/>
        <v>9388</v>
      </c>
      <c r="Q35" s="333">
        <f t="shared" si="4"/>
        <v>38223.5</v>
      </c>
      <c r="R35" s="333">
        <f t="shared" ref="R35:S35" si="57">R31+R22+R8</f>
        <v>29949</v>
      </c>
      <c r="S35" s="333">
        <f t="shared" si="57"/>
        <v>9388</v>
      </c>
      <c r="T35" s="333">
        <f t="shared" si="5"/>
        <v>39337</v>
      </c>
    </row>
    <row r="36" spans="1:20" x14ac:dyDescent="0.25">
      <c r="A36" s="350" t="s">
        <v>309</v>
      </c>
      <c r="B36" s="351" t="s">
        <v>334</v>
      </c>
      <c r="C36" s="352">
        <f t="shared" ref="C36:D36" si="58">SUM(C37:C41)</f>
        <v>23588</v>
      </c>
      <c r="D36" s="352">
        <f t="shared" si="58"/>
        <v>10094</v>
      </c>
      <c r="E36" s="352">
        <f t="shared" si="0"/>
        <v>33682</v>
      </c>
      <c r="F36" s="352">
        <f t="shared" ref="F36:G36" si="59">SUM(F37:F41)</f>
        <v>24122</v>
      </c>
      <c r="G36" s="352">
        <f t="shared" si="59"/>
        <v>10094</v>
      </c>
      <c r="H36" s="352">
        <f t="shared" si="1"/>
        <v>34216</v>
      </c>
      <c r="I36" s="352">
        <f t="shared" ref="I36:J36" si="60">SUM(I37:I41)</f>
        <v>24122</v>
      </c>
      <c r="J36" s="352">
        <f t="shared" si="60"/>
        <v>10094</v>
      </c>
      <c r="K36" s="352">
        <f t="shared" si="2"/>
        <v>34216</v>
      </c>
      <c r="L36" s="352">
        <f t="shared" ref="L36:M36" si="61">SUM(L37:L41)</f>
        <v>23293</v>
      </c>
      <c r="M36" s="352">
        <f t="shared" si="61"/>
        <v>6660</v>
      </c>
      <c r="N36" s="352">
        <f t="shared" si="3"/>
        <v>29953</v>
      </c>
      <c r="O36" s="352">
        <f t="shared" ref="O36:P36" si="62">SUM(O37:O41)</f>
        <v>28314.5</v>
      </c>
      <c r="P36" s="352">
        <f t="shared" si="62"/>
        <v>9138</v>
      </c>
      <c r="Q36" s="352">
        <f t="shared" si="4"/>
        <v>37452.5</v>
      </c>
      <c r="R36" s="352">
        <f t="shared" ref="R36:S36" si="63">SUM(R37:R41)</f>
        <v>27905</v>
      </c>
      <c r="S36" s="352">
        <f t="shared" si="63"/>
        <v>9138</v>
      </c>
      <c r="T36" s="352">
        <f t="shared" si="5"/>
        <v>37043</v>
      </c>
    </row>
    <row r="37" spans="1:20" x14ac:dyDescent="0.25">
      <c r="A37" s="353" t="s">
        <v>311</v>
      </c>
      <c r="B37" s="354" t="s">
        <v>286</v>
      </c>
      <c r="C37" s="355">
        <f>'5 GSZNR fel'!E76+'5 GSZNR fel'!E82</f>
        <v>13135</v>
      </c>
      <c r="D37" s="355">
        <f>'5 GSZNR fel'!E88</f>
        <v>4252</v>
      </c>
      <c r="E37" s="355">
        <f t="shared" si="0"/>
        <v>17387</v>
      </c>
      <c r="F37" s="355">
        <f>'5 GSZNR fel'!H76+'5 GSZNR fel'!H82</f>
        <v>13135</v>
      </c>
      <c r="G37" s="355">
        <f>'5 GSZNR fel'!H88</f>
        <v>4252</v>
      </c>
      <c r="H37" s="355">
        <f t="shared" si="1"/>
        <v>17387</v>
      </c>
      <c r="I37" s="355">
        <f>'5 GSZNR fel'!K76+'5 GSZNR fel'!K82</f>
        <v>13135</v>
      </c>
      <c r="J37" s="355">
        <f>'5 GSZNR fel'!K88</f>
        <v>4252</v>
      </c>
      <c r="K37" s="355">
        <f t="shared" si="2"/>
        <v>17387</v>
      </c>
      <c r="L37" s="355">
        <f>'5 GSZNR fel'!N76+'5 GSZNR fel'!N82</f>
        <v>13086</v>
      </c>
      <c r="M37" s="355">
        <f>'5 GSZNR fel'!N88</f>
        <v>3002</v>
      </c>
      <c r="N37" s="355">
        <f t="shared" si="3"/>
        <v>16088</v>
      </c>
      <c r="O37" s="355">
        <f>'5 GSZNR fel'!Q76+'5 GSZNR fel'!Q82</f>
        <v>13123</v>
      </c>
      <c r="P37" s="355">
        <f>'5 GSZNR fel'!Q88</f>
        <v>6146</v>
      </c>
      <c r="Q37" s="355">
        <f t="shared" si="4"/>
        <v>19269</v>
      </c>
      <c r="R37" s="355">
        <f>'5 GSZNR fel'!T76+'5 GSZNR fel'!T82</f>
        <v>13123</v>
      </c>
      <c r="S37" s="355">
        <f>'5 GSZNR fel'!T88</f>
        <v>6146</v>
      </c>
      <c r="T37" s="355">
        <f t="shared" si="5"/>
        <v>19269</v>
      </c>
    </row>
    <row r="38" spans="1:20" x14ac:dyDescent="0.25">
      <c r="A38" s="353" t="s">
        <v>322</v>
      </c>
      <c r="B38" s="354" t="s">
        <v>335</v>
      </c>
      <c r="C38" s="355">
        <f>'5 GSZNR fel'!E77+'5 GSZNR fel'!E83</f>
        <v>2634</v>
      </c>
      <c r="D38" s="355">
        <f>'5 GSZNR fel'!E89</f>
        <v>1011</v>
      </c>
      <c r="E38" s="355">
        <f t="shared" si="0"/>
        <v>3645</v>
      </c>
      <c r="F38" s="355">
        <f>'5 GSZNR fel'!H77+'5 GSZNR fel'!H83</f>
        <v>2634</v>
      </c>
      <c r="G38" s="355">
        <f>'5 GSZNR fel'!H89</f>
        <v>1011</v>
      </c>
      <c r="H38" s="355">
        <f t="shared" si="1"/>
        <v>3645</v>
      </c>
      <c r="I38" s="355">
        <f>'5 GSZNR fel'!K77+'5 GSZNR fel'!K83</f>
        <v>2634</v>
      </c>
      <c r="J38" s="355">
        <f>'5 GSZNR fel'!K89</f>
        <v>1011</v>
      </c>
      <c r="K38" s="355">
        <f t="shared" si="2"/>
        <v>3645</v>
      </c>
      <c r="L38" s="355">
        <f>'5 GSZNR fel'!N77+'5 GSZNR fel'!N83</f>
        <v>2874</v>
      </c>
      <c r="M38" s="355">
        <f>'5 GSZNR fel'!N89</f>
        <v>696</v>
      </c>
      <c r="N38" s="355">
        <f t="shared" si="3"/>
        <v>3570</v>
      </c>
      <c r="O38" s="355">
        <f>'5 GSZNR fel'!Q77+'5 GSZNR fel'!Q83</f>
        <v>2493</v>
      </c>
      <c r="P38" s="355">
        <f>'5 GSZNR fel'!Q89</f>
        <v>1168</v>
      </c>
      <c r="Q38" s="355">
        <f t="shared" si="4"/>
        <v>3661</v>
      </c>
      <c r="R38" s="355">
        <f>'5 GSZNR fel'!T77+'5 GSZNR fel'!T83</f>
        <v>2493</v>
      </c>
      <c r="S38" s="355">
        <f>'5 GSZNR fel'!T89</f>
        <v>1168</v>
      </c>
      <c r="T38" s="355">
        <f t="shared" si="5"/>
        <v>3661</v>
      </c>
    </row>
    <row r="39" spans="1:20" x14ac:dyDescent="0.25">
      <c r="A39" s="353" t="s">
        <v>315</v>
      </c>
      <c r="B39" s="354" t="s">
        <v>292</v>
      </c>
      <c r="C39" s="355">
        <f>'5 GSZNR fel'!E78+'5 GSZNR fel'!E84</f>
        <v>7819</v>
      </c>
      <c r="D39" s="355">
        <f>'5 GSZNR fel'!E90</f>
        <v>4831</v>
      </c>
      <c r="E39" s="355">
        <f t="shared" si="0"/>
        <v>12650</v>
      </c>
      <c r="F39" s="355">
        <f>'5 GSZNR fel'!H78+'5 GSZNR fel'!H84</f>
        <v>8058</v>
      </c>
      <c r="G39" s="355">
        <f>'5 GSZNR fel'!H90</f>
        <v>4831</v>
      </c>
      <c r="H39" s="355">
        <f t="shared" si="1"/>
        <v>12889</v>
      </c>
      <c r="I39" s="355">
        <f>'5 GSZNR fel'!K78+'5 GSZNR fel'!K84</f>
        <v>8058</v>
      </c>
      <c r="J39" s="355">
        <f>'5 GSZNR fel'!K90</f>
        <v>4831</v>
      </c>
      <c r="K39" s="355">
        <f t="shared" si="2"/>
        <v>12889</v>
      </c>
      <c r="L39" s="355">
        <f>'5 GSZNR fel'!N78+'5 GSZNR fel'!N84</f>
        <v>7038</v>
      </c>
      <c r="M39" s="355">
        <f>'5 GSZNR fel'!N90</f>
        <v>2962</v>
      </c>
      <c r="N39" s="355">
        <f t="shared" si="3"/>
        <v>10000</v>
      </c>
      <c r="O39" s="355">
        <f>'5 GSZNR fel'!Q78+'5 GSZNR fel'!Q84</f>
        <v>12698.5</v>
      </c>
      <c r="P39" s="355">
        <f>'5 GSZNR fel'!Q90</f>
        <v>1824</v>
      </c>
      <c r="Q39" s="355">
        <f t="shared" si="4"/>
        <v>14522.5</v>
      </c>
      <c r="R39" s="355">
        <f>'5 GSZNR fel'!T78+'5 GSZNR fel'!T84</f>
        <v>12289</v>
      </c>
      <c r="S39" s="355">
        <f>'5 GSZNR fel'!T90</f>
        <v>1824</v>
      </c>
      <c r="T39" s="355">
        <f t="shared" si="5"/>
        <v>14113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fel'!H79</f>
        <v>295</v>
      </c>
      <c r="G41" s="355">
        <v>0</v>
      </c>
      <c r="H41" s="355">
        <f t="shared" si="1"/>
        <v>295</v>
      </c>
      <c r="I41" s="355">
        <f>+'5 GSZNR fel'!K79</f>
        <v>295</v>
      </c>
      <c r="J41" s="355">
        <v>0</v>
      </c>
      <c r="K41" s="355">
        <f t="shared" si="2"/>
        <v>295</v>
      </c>
      <c r="L41" s="355">
        <f>+'5 GSZNR fel'!N79</f>
        <v>295</v>
      </c>
      <c r="M41" s="355">
        <v>0</v>
      </c>
      <c r="N41" s="355">
        <f t="shared" si="3"/>
        <v>295</v>
      </c>
      <c r="O41" s="355">
        <f>+'5 GSZNR fel'!Q79</f>
        <v>0</v>
      </c>
      <c r="P41" s="355">
        <v>0</v>
      </c>
      <c r="Q41" s="355">
        <f t="shared" si="4"/>
        <v>0</v>
      </c>
      <c r="R41" s="355">
        <f>+'5 GSZNR fel'!T79</f>
        <v>0</v>
      </c>
      <c r="S41" s="355"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64">SUM(C43:C45)</f>
        <v>3346</v>
      </c>
      <c r="D42" s="352">
        <f t="shared" si="64"/>
        <v>0</v>
      </c>
      <c r="E42" s="352">
        <f t="shared" si="0"/>
        <v>3346</v>
      </c>
      <c r="F42" s="352">
        <f>SUM(F43:F45)</f>
        <v>3760</v>
      </c>
      <c r="G42" s="352">
        <f t="shared" ref="G42" si="65">SUM(G43:G45)</f>
        <v>0</v>
      </c>
      <c r="H42" s="352">
        <f t="shared" si="1"/>
        <v>3760</v>
      </c>
      <c r="I42" s="352">
        <f>SUM(I43:I45)</f>
        <v>3353</v>
      </c>
      <c r="J42" s="352">
        <f t="shared" ref="J42" si="66">SUM(J43:J45)</f>
        <v>407</v>
      </c>
      <c r="K42" s="352">
        <f t="shared" si="2"/>
        <v>3760</v>
      </c>
      <c r="L42" s="352">
        <f>SUM(L43:L45)</f>
        <v>2079</v>
      </c>
      <c r="M42" s="352">
        <f t="shared" ref="M42" si="67">SUM(M43:M45)</f>
        <v>129</v>
      </c>
      <c r="N42" s="352">
        <f t="shared" si="3"/>
        <v>2208</v>
      </c>
      <c r="O42" s="352">
        <f>SUM(O43:O45)</f>
        <v>521</v>
      </c>
      <c r="P42" s="352">
        <f t="shared" ref="P42" si="68">SUM(P43:P45)</f>
        <v>250</v>
      </c>
      <c r="Q42" s="352">
        <f t="shared" si="4"/>
        <v>771</v>
      </c>
      <c r="R42" s="352">
        <f>SUM(R43:R45)</f>
        <v>2044</v>
      </c>
      <c r="S42" s="352">
        <f t="shared" ref="S42" si="69">SUM(S43:S45)</f>
        <v>250</v>
      </c>
      <c r="T42" s="352">
        <f t="shared" si="5"/>
        <v>2294</v>
      </c>
    </row>
    <row r="43" spans="1:20" x14ac:dyDescent="0.25">
      <c r="A43" s="353" t="s">
        <v>311</v>
      </c>
      <c r="B43" s="354" t="s">
        <v>341</v>
      </c>
      <c r="C43" s="355">
        <f>'5 GSZNR fel'!E80+'5 GSZNR fel'!E85</f>
        <v>3346</v>
      </c>
      <c r="D43" s="355">
        <f>'5 GSZNR fel'!D80+'5 GSZNR fel'!D85+'5 GSZNR fel'!D91</f>
        <v>0</v>
      </c>
      <c r="E43" s="355">
        <f t="shared" si="0"/>
        <v>3346</v>
      </c>
      <c r="F43" s="355">
        <f>'5 GSZNR fel'!H80+'5 GSZNR fel'!H85+'5 GSZNR fel'!H91</f>
        <v>3760</v>
      </c>
      <c r="G43" s="355">
        <f>'5 GSZNR fel'!I80+'5 GSZNR fel'!I85+'5 GSZNR fel'!I91</f>
        <v>0</v>
      </c>
      <c r="H43" s="355">
        <f t="shared" si="1"/>
        <v>3760</v>
      </c>
      <c r="I43" s="355">
        <f>'5 GSZNR fel'!K80+'5 GSZNR fel'!K85</f>
        <v>3353</v>
      </c>
      <c r="J43" s="355">
        <f>'5 GSZNR fel'!K91</f>
        <v>407</v>
      </c>
      <c r="K43" s="355">
        <f t="shared" si="2"/>
        <v>3760</v>
      </c>
      <c r="L43" s="355">
        <f>'5 GSZNR fel'!N80+'5 GSZNR fel'!N85</f>
        <v>2079</v>
      </c>
      <c r="M43" s="355">
        <f>'5 GSZNR fel'!N91</f>
        <v>129</v>
      </c>
      <c r="N43" s="355">
        <f t="shared" si="3"/>
        <v>2208</v>
      </c>
      <c r="O43" s="355">
        <f>'5 GSZNR fel'!Q80+'5 GSZNR fel'!Q85</f>
        <v>521</v>
      </c>
      <c r="P43" s="355">
        <f>'5 GSZNR fel'!Q91</f>
        <v>250</v>
      </c>
      <c r="Q43" s="355">
        <f t="shared" si="4"/>
        <v>771</v>
      </c>
      <c r="R43" s="355">
        <f>'5 GSZNR fel'!T80+'5 GSZNR fel'!T85</f>
        <v>2044</v>
      </c>
      <c r="S43" s="355">
        <f>'5 GSZNR fel'!T91</f>
        <v>250</v>
      </c>
      <c r="T43" s="355">
        <f t="shared" si="5"/>
        <v>2294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0">C36+C42</f>
        <v>26934</v>
      </c>
      <c r="D46" s="333">
        <f t="shared" si="70"/>
        <v>10094</v>
      </c>
      <c r="E46" s="333">
        <f t="shared" si="0"/>
        <v>37028</v>
      </c>
      <c r="F46" s="333">
        <f t="shared" ref="F46:G46" si="71">F36+F42</f>
        <v>27882</v>
      </c>
      <c r="G46" s="333">
        <f t="shared" si="71"/>
        <v>10094</v>
      </c>
      <c r="H46" s="333">
        <f t="shared" si="1"/>
        <v>37976</v>
      </c>
      <c r="I46" s="333">
        <f t="shared" ref="I46:J46" si="72">I36+I42</f>
        <v>27475</v>
      </c>
      <c r="J46" s="333">
        <f t="shared" si="72"/>
        <v>10501</v>
      </c>
      <c r="K46" s="333">
        <f t="shared" si="2"/>
        <v>37976</v>
      </c>
      <c r="L46" s="333">
        <f t="shared" ref="L46:M46" si="73">L36+L42</f>
        <v>25372</v>
      </c>
      <c r="M46" s="333">
        <f t="shared" si="73"/>
        <v>6789</v>
      </c>
      <c r="N46" s="333">
        <f t="shared" si="3"/>
        <v>32161</v>
      </c>
      <c r="O46" s="333">
        <f t="shared" ref="O46:P46" si="74">O36+O42</f>
        <v>28835.5</v>
      </c>
      <c r="P46" s="333">
        <f t="shared" si="74"/>
        <v>9388</v>
      </c>
      <c r="Q46" s="333">
        <f t="shared" si="4"/>
        <v>38223.5</v>
      </c>
      <c r="R46" s="333">
        <f t="shared" ref="R46:S46" si="75">R36+R42</f>
        <v>29949</v>
      </c>
      <c r="S46" s="333">
        <f t="shared" si="75"/>
        <v>9388</v>
      </c>
      <c r="T46" s="333">
        <f t="shared" si="5"/>
        <v>39337</v>
      </c>
    </row>
  </sheetData>
  <mergeCells count="8">
    <mergeCell ref="A4:A5"/>
    <mergeCell ref="B4:B5"/>
    <mergeCell ref="F4:H4"/>
    <mergeCell ref="C4:E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7" fitToWidth="0" fitToHeight="0" orientation="portrait" copies="2" r:id="rId1"/>
  <headerFooter>
    <oddHeader>&amp;L4/E.  melléklet a ...../2019. (.......) önkormányzati rendelethez&amp;C&amp;"-,Félkövér"&amp;16
A Volf György Könyvtár és Helytörténeti Gyűjtemény 2019. évi bevételei és kiadásai jogcímenként és feladatonként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7.125" style="31" customWidth="1"/>
    <col min="2" max="2" width="51.875" customWidth="1"/>
    <col min="3" max="3" width="11.125" hidden="1" customWidth="1"/>
    <col min="4" max="5" width="9" hidden="1" customWidth="1"/>
    <col min="6" max="6" width="9.625" hidden="1" customWidth="1"/>
    <col min="7" max="14" width="9" hidden="1" customWidth="1"/>
  </cols>
  <sheetData>
    <row r="1" spans="1:20" ht="14.95" x14ac:dyDescent="0.25">
      <c r="E1" s="32"/>
      <c r="K1" s="32"/>
      <c r="N1" s="32"/>
      <c r="Q1" s="32"/>
      <c r="T1" s="32" t="s">
        <v>302</v>
      </c>
    </row>
    <row r="2" spans="1:20" ht="14.95" customHeight="1" x14ac:dyDescent="0.25">
      <c r="A2" s="346" t="s">
        <v>303</v>
      </c>
      <c r="B2" s="779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ht="14.95" customHeight="1" x14ac:dyDescent="0.25">
      <c r="A3" s="346" t="s">
        <v>304</v>
      </c>
      <c r="B3" s="346" t="s">
        <v>1513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66.25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17</v>
      </c>
      <c r="D6" s="349"/>
      <c r="E6" s="349">
        <f t="shared" ref="E6:E46" si="0">SUM(C6:D6)</f>
        <v>17</v>
      </c>
      <c r="F6" s="349">
        <v>17</v>
      </c>
      <c r="G6" s="349"/>
      <c r="H6" s="349">
        <f t="shared" ref="H6:H46" si="1">SUM(F6:G6)</f>
        <v>17</v>
      </c>
      <c r="I6" s="349">
        <v>17</v>
      </c>
      <c r="J6" s="349"/>
      <c r="K6" s="349">
        <f t="shared" ref="K6:K46" si="2">SUM(I6:J6)</f>
        <v>17</v>
      </c>
      <c r="L6" s="349">
        <v>17</v>
      </c>
      <c r="M6" s="349"/>
      <c r="N6" s="349">
        <f t="shared" ref="N6:N46" si="3">SUM(L6:M6)</f>
        <v>17</v>
      </c>
      <c r="O6" s="349">
        <v>17</v>
      </c>
      <c r="P6" s="349"/>
      <c r="Q6" s="349">
        <f t="shared" ref="Q6:Q46" si="4">SUM(O6:P6)</f>
        <v>17</v>
      </c>
      <c r="R6" s="349">
        <v>17</v>
      </c>
      <c r="S6" s="349"/>
      <c r="T6" s="349">
        <f t="shared" ref="T6:T46" si="5">SUM(R6:S6)</f>
        <v>17</v>
      </c>
    </row>
    <row r="7" spans="1:20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7671</v>
      </c>
      <c r="D8" s="352">
        <f t="shared" si="6"/>
        <v>0</v>
      </c>
      <c r="E8" s="352">
        <f t="shared" si="0"/>
        <v>7671</v>
      </c>
      <c r="F8" s="352">
        <f t="shared" ref="F8:G8" si="7">F9+F11+F20</f>
        <v>7671</v>
      </c>
      <c r="G8" s="352">
        <f t="shared" si="7"/>
        <v>0</v>
      </c>
      <c r="H8" s="352">
        <f t="shared" si="1"/>
        <v>7671</v>
      </c>
      <c r="I8" s="352">
        <f t="shared" ref="I8:J8" si="8">I9+I11+I20</f>
        <v>6731</v>
      </c>
      <c r="J8" s="352">
        <f t="shared" si="8"/>
        <v>0</v>
      </c>
      <c r="K8" s="352">
        <f t="shared" si="2"/>
        <v>6731</v>
      </c>
      <c r="L8" s="352">
        <f t="shared" ref="L8:M8" si="9">L9+L11+L20</f>
        <v>7875</v>
      </c>
      <c r="M8" s="352">
        <f t="shared" si="9"/>
        <v>0</v>
      </c>
      <c r="N8" s="352">
        <f t="shared" si="3"/>
        <v>7875</v>
      </c>
      <c r="O8" s="352">
        <f t="shared" ref="O8:P8" si="10">O9+O11+O20</f>
        <v>7671</v>
      </c>
      <c r="P8" s="352">
        <f t="shared" si="10"/>
        <v>0</v>
      </c>
      <c r="Q8" s="352">
        <f t="shared" si="4"/>
        <v>7671</v>
      </c>
      <c r="R8" s="352">
        <f t="shared" ref="R8:S8" si="11">R9+R11+R20</f>
        <v>7671</v>
      </c>
      <c r="S8" s="352">
        <f t="shared" si="11"/>
        <v>0</v>
      </c>
      <c r="T8" s="352">
        <f t="shared" si="5"/>
        <v>7671</v>
      </c>
    </row>
    <row r="9" spans="1:20" x14ac:dyDescent="0.25">
      <c r="A9" s="353" t="s">
        <v>311</v>
      </c>
      <c r="B9" s="354" t="s">
        <v>312</v>
      </c>
      <c r="C9" s="355">
        <f t="shared" ref="C9:S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si="12"/>
        <v>0</v>
      </c>
      <c r="T9" s="355">
        <f t="shared" si="5"/>
        <v>0</v>
      </c>
    </row>
    <row r="10" spans="1:20" ht="30.1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3">C12+C13+C14+C15+C16+C17+C18+C19</f>
        <v>7671</v>
      </c>
      <c r="D11" s="355">
        <f t="shared" si="13"/>
        <v>0</v>
      </c>
      <c r="E11" s="355">
        <f t="shared" si="0"/>
        <v>7671</v>
      </c>
      <c r="F11" s="355">
        <f t="shared" ref="F11:G11" si="14">F12+F13+F14+F15+F16+F17+F18+F19</f>
        <v>7671</v>
      </c>
      <c r="G11" s="355">
        <f t="shared" si="14"/>
        <v>0</v>
      </c>
      <c r="H11" s="355">
        <f t="shared" si="1"/>
        <v>7671</v>
      </c>
      <c r="I11" s="355">
        <f t="shared" ref="I11:J11" si="15">I12+I13+I14+I15+I16+I17+I18+I19</f>
        <v>6731</v>
      </c>
      <c r="J11" s="355">
        <f t="shared" si="15"/>
        <v>0</v>
      </c>
      <c r="K11" s="355">
        <f t="shared" si="2"/>
        <v>6731</v>
      </c>
      <c r="L11" s="355">
        <f t="shared" ref="L11:M11" si="16">L12+L13+L14+L15+L16+L17+L18+L19</f>
        <v>7875</v>
      </c>
      <c r="M11" s="355">
        <f t="shared" si="16"/>
        <v>0</v>
      </c>
      <c r="N11" s="355">
        <f t="shared" si="3"/>
        <v>7875</v>
      </c>
      <c r="O11" s="355">
        <f t="shared" ref="O11:P11" si="17">O12+O13+O14+O15+O16+O17+O18+O19</f>
        <v>7671</v>
      </c>
      <c r="P11" s="355">
        <f t="shared" si="17"/>
        <v>0</v>
      </c>
      <c r="Q11" s="355">
        <f t="shared" si="4"/>
        <v>7671</v>
      </c>
      <c r="R11" s="355">
        <f t="shared" ref="R11:S11" si="18">R12+R13+R14+R15+R16+R17+R18+R19</f>
        <v>7671</v>
      </c>
      <c r="S11" s="355">
        <f t="shared" si="18"/>
        <v>0</v>
      </c>
      <c r="T11" s="355">
        <f t="shared" si="5"/>
        <v>7671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</row>
    <row r="14" spans="1:20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</row>
    <row r="15" spans="1:20" x14ac:dyDescent="0.25">
      <c r="A15" s="392"/>
      <c r="B15" s="356" t="s">
        <v>664</v>
      </c>
      <c r="C15" s="273">
        <v>6040</v>
      </c>
      <c r="D15" s="273">
        <v>0</v>
      </c>
      <c r="E15" s="273">
        <f t="shared" si="0"/>
        <v>6040</v>
      </c>
      <c r="F15" s="273">
        <v>6040</v>
      </c>
      <c r="G15" s="273">
        <v>0</v>
      </c>
      <c r="H15" s="273">
        <f t="shared" si="1"/>
        <v>6040</v>
      </c>
      <c r="I15" s="273">
        <v>5300</v>
      </c>
      <c r="J15" s="273">
        <v>0</v>
      </c>
      <c r="K15" s="273">
        <f t="shared" si="2"/>
        <v>5300</v>
      </c>
      <c r="L15" s="273">
        <v>6324</v>
      </c>
      <c r="M15" s="273">
        <v>0</v>
      </c>
      <c r="N15" s="273">
        <f t="shared" si="3"/>
        <v>6324</v>
      </c>
      <c r="O15" s="273">
        <v>6040</v>
      </c>
      <c r="P15" s="273">
        <v>0</v>
      </c>
      <c r="Q15" s="273">
        <f t="shared" si="4"/>
        <v>6040</v>
      </c>
      <c r="R15" s="273">
        <v>6040</v>
      </c>
      <c r="S15" s="273">
        <v>0</v>
      </c>
      <c r="T15" s="273">
        <f t="shared" si="5"/>
        <v>6040</v>
      </c>
    </row>
    <row r="16" spans="1:20" x14ac:dyDescent="0.25">
      <c r="A16" s="392"/>
      <c r="B16" s="356" t="s">
        <v>665</v>
      </c>
      <c r="C16" s="273">
        <v>1631</v>
      </c>
      <c r="D16" s="273">
        <v>0</v>
      </c>
      <c r="E16" s="273">
        <f t="shared" si="0"/>
        <v>1631</v>
      </c>
      <c r="F16" s="273">
        <v>1631</v>
      </c>
      <c r="G16" s="273">
        <v>0</v>
      </c>
      <c r="H16" s="273">
        <f t="shared" si="1"/>
        <v>1631</v>
      </c>
      <c r="I16" s="273">
        <v>1431</v>
      </c>
      <c r="J16" s="273">
        <v>0</v>
      </c>
      <c r="K16" s="273">
        <f t="shared" si="2"/>
        <v>1431</v>
      </c>
      <c r="L16" s="273">
        <v>1549</v>
      </c>
      <c r="M16" s="273">
        <v>0</v>
      </c>
      <c r="N16" s="273">
        <f t="shared" si="3"/>
        <v>1549</v>
      </c>
      <c r="O16" s="273">
        <v>1631</v>
      </c>
      <c r="P16" s="273">
        <v>0</v>
      </c>
      <c r="Q16" s="273">
        <f t="shared" si="4"/>
        <v>1631</v>
      </c>
      <c r="R16" s="273">
        <v>1631</v>
      </c>
      <c r="S16" s="273">
        <v>0</v>
      </c>
      <c r="T16" s="273">
        <f t="shared" si="5"/>
        <v>1631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2</v>
      </c>
      <c r="M19" s="273">
        <v>0</v>
      </c>
      <c r="N19" s="273">
        <f t="shared" si="3"/>
        <v>2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</row>
    <row r="20" spans="1:20" x14ac:dyDescent="0.25">
      <c r="A20" s="353" t="s">
        <v>315</v>
      </c>
      <c r="B20" s="354" t="s">
        <v>316</v>
      </c>
      <c r="C20" s="355">
        <f t="shared" ref="C20:S20" si="19">SUM(C21:C21)</f>
        <v>0</v>
      </c>
      <c r="D20" s="355">
        <f t="shared" si="19"/>
        <v>0</v>
      </c>
      <c r="E20" s="355">
        <f t="shared" si="0"/>
        <v>0</v>
      </c>
      <c r="F20" s="355">
        <f t="shared" si="19"/>
        <v>0</v>
      </c>
      <c r="G20" s="355">
        <f t="shared" si="19"/>
        <v>0</v>
      </c>
      <c r="H20" s="355">
        <f t="shared" si="1"/>
        <v>0</v>
      </c>
      <c r="I20" s="355">
        <f t="shared" si="19"/>
        <v>0</v>
      </c>
      <c r="J20" s="355">
        <f t="shared" si="19"/>
        <v>0</v>
      </c>
      <c r="K20" s="355">
        <f t="shared" si="2"/>
        <v>0</v>
      </c>
      <c r="L20" s="355">
        <f t="shared" si="19"/>
        <v>0</v>
      </c>
      <c r="M20" s="355">
        <f t="shared" si="19"/>
        <v>0</v>
      </c>
      <c r="N20" s="355">
        <f t="shared" si="3"/>
        <v>0</v>
      </c>
      <c r="O20" s="355">
        <f t="shared" si="19"/>
        <v>0</v>
      </c>
      <c r="P20" s="355">
        <f t="shared" si="19"/>
        <v>0</v>
      </c>
      <c r="Q20" s="355">
        <f t="shared" si="4"/>
        <v>0</v>
      </c>
      <c r="R20" s="355">
        <f t="shared" si="19"/>
        <v>0</v>
      </c>
      <c r="S20" s="355">
        <f t="shared" si="19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0">C23+C25+C28</f>
        <v>0</v>
      </c>
      <c r="D22" s="352">
        <f t="shared" si="20"/>
        <v>0</v>
      </c>
      <c r="E22" s="352">
        <f t="shared" si="0"/>
        <v>0</v>
      </c>
      <c r="F22" s="352">
        <f t="shared" ref="F22:G22" si="21">F23+F25+F28</f>
        <v>0</v>
      </c>
      <c r="G22" s="352">
        <f t="shared" si="21"/>
        <v>0</v>
      </c>
      <c r="H22" s="352">
        <f t="shared" si="1"/>
        <v>0</v>
      </c>
      <c r="I22" s="352">
        <f t="shared" ref="I22:J22" si="22">I23+I25+I28</f>
        <v>0</v>
      </c>
      <c r="J22" s="352">
        <f t="shared" si="22"/>
        <v>0</v>
      </c>
      <c r="K22" s="352">
        <f t="shared" si="2"/>
        <v>0</v>
      </c>
      <c r="L22" s="352">
        <f t="shared" ref="L22:M22" si="23">L23+L25+L28</f>
        <v>0</v>
      </c>
      <c r="M22" s="352">
        <f t="shared" si="23"/>
        <v>0</v>
      </c>
      <c r="N22" s="352">
        <f t="shared" si="3"/>
        <v>0</v>
      </c>
      <c r="O22" s="352">
        <f t="shared" ref="O22:P22" si="24">O23+O25+O28</f>
        <v>0</v>
      </c>
      <c r="P22" s="352">
        <f t="shared" si="24"/>
        <v>0</v>
      </c>
      <c r="Q22" s="352">
        <f t="shared" si="4"/>
        <v>0</v>
      </c>
      <c r="R22" s="352">
        <f t="shared" ref="R22:S22" si="25">R23+R25+R28</f>
        <v>0</v>
      </c>
      <c r="S22" s="352">
        <f t="shared" si="25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S23" si="26">SUM(C24:C24)</f>
        <v>0</v>
      </c>
      <c r="D23" s="355">
        <f t="shared" si="26"/>
        <v>0</v>
      </c>
      <c r="E23" s="355">
        <f t="shared" si="0"/>
        <v>0</v>
      </c>
      <c r="F23" s="355">
        <f t="shared" si="26"/>
        <v>0</v>
      </c>
      <c r="G23" s="355">
        <f t="shared" si="26"/>
        <v>0</v>
      </c>
      <c r="H23" s="355">
        <f t="shared" si="1"/>
        <v>0</v>
      </c>
      <c r="I23" s="355">
        <f t="shared" si="26"/>
        <v>0</v>
      </c>
      <c r="J23" s="355">
        <f t="shared" si="26"/>
        <v>0</v>
      </c>
      <c r="K23" s="355">
        <f t="shared" si="2"/>
        <v>0</v>
      </c>
      <c r="L23" s="355">
        <f t="shared" si="26"/>
        <v>0</v>
      </c>
      <c r="M23" s="355">
        <f t="shared" si="26"/>
        <v>0</v>
      </c>
      <c r="N23" s="355">
        <f t="shared" si="3"/>
        <v>0</v>
      </c>
      <c r="O23" s="355">
        <f t="shared" si="26"/>
        <v>0</v>
      </c>
      <c r="P23" s="355">
        <f t="shared" si="26"/>
        <v>0</v>
      </c>
      <c r="Q23" s="355">
        <f t="shared" si="4"/>
        <v>0</v>
      </c>
      <c r="R23" s="355">
        <f t="shared" si="26"/>
        <v>0</v>
      </c>
      <c r="S23" s="355">
        <f t="shared" si="26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27">SUM(C26:C27)</f>
        <v>0</v>
      </c>
      <c r="D25" s="355">
        <f t="shared" si="27"/>
        <v>0</v>
      </c>
      <c r="E25" s="355">
        <f t="shared" si="0"/>
        <v>0</v>
      </c>
      <c r="F25" s="355">
        <f t="shared" ref="F25:G25" si="28">SUM(F26:F27)</f>
        <v>0</v>
      </c>
      <c r="G25" s="355">
        <f t="shared" si="28"/>
        <v>0</v>
      </c>
      <c r="H25" s="355">
        <f t="shared" si="1"/>
        <v>0</v>
      </c>
      <c r="I25" s="355">
        <f t="shared" ref="I25:J25" si="29">SUM(I26:I27)</f>
        <v>0</v>
      </c>
      <c r="J25" s="355">
        <f t="shared" si="29"/>
        <v>0</v>
      </c>
      <c r="K25" s="355">
        <f t="shared" si="2"/>
        <v>0</v>
      </c>
      <c r="L25" s="355">
        <f t="shared" ref="L25:M25" si="30">SUM(L26:L27)</f>
        <v>0</v>
      </c>
      <c r="M25" s="355">
        <f t="shared" si="30"/>
        <v>0</v>
      </c>
      <c r="N25" s="355">
        <f t="shared" si="3"/>
        <v>0</v>
      </c>
      <c r="O25" s="355">
        <f t="shared" ref="O25:P25" si="31">SUM(O26:O27)</f>
        <v>0</v>
      </c>
      <c r="P25" s="355">
        <f t="shared" si="31"/>
        <v>0</v>
      </c>
      <c r="Q25" s="355">
        <f t="shared" si="4"/>
        <v>0</v>
      </c>
      <c r="R25" s="355">
        <f t="shared" ref="R25:S25" si="32">SUM(R26:R27)</f>
        <v>0</v>
      </c>
      <c r="S25" s="355">
        <f t="shared" si="32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S28" si="33">SUM(C29:C29)</f>
        <v>0</v>
      </c>
      <c r="D28" s="355">
        <f t="shared" si="33"/>
        <v>0</v>
      </c>
      <c r="E28" s="355">
        <f t="shared" si="0"/>
        <v>0</v>
      </c>
      <c r="F28" s="355">
        <f t="shared" si="33"/>
        <v>0</v>
      </c>
      <c r="G28" s="355">
        <f t="shared" si="33"/>
        <v>0</v>
      </c>
      <c r="H28" s="355">
        <f t="shared" si="1"/>
        <v>0</v>
      </c>
      <c r="I28" s="355">
        <f t="shared" si="33"/>
        <v>0</v>
      </c>
      <c r="J28" s="355">
        <f t="shared" si="33"/>
        <v>0</v>
      </c>
      <c r="K28" s="355">
        <f t="shared" si="2"/>
        <v>0</v>
      </c>
      <c r="L28" s="355">
        <f t="shared" si="33"/>
        <v>0</v>
      </c>
      <c r="M28" s="355">
        <f t="shared" si="33"/>
        <v>0</v>
      </c>
      <c r="N28" s="355">
        <f t="shared" si="3"/>
        <v>0</v>
      </c>
      <c r="O28" s="355">
        <f t="shared" si="33"/>
        <v>0</v>
      </c>
      <c r="P28" s="355">
        <f t="shared" si="33"/>
        <v>0</v>
      </c>
      <c r="Q28" s="355">
        <f t="shared" si="4"/>
        <v>0</v>
      </c>
      <c r="R28" s="355">
        <f t="shared" si="33"/>
        <v>0</v>
      </c>
      <c r="S28" s="355">
        <f t="shared" si="33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4">C22+C8</f>
        <v>7671</v>
      </c>
      <c r="D30" s="360">
        <f t="shared" si="34"/>
        <v>0</v>
      </c>
      <c r="E30" s="360">
        <f t="shared" si="0"/>
        <v>7671</v>
      </c>
      <c r="F30" s="360">
        <f t="shared" ref="F30:G30" si="35">F22+F8</f>
        <v>7671</v>
      </c>
      <c r="G30" s="360">
        <f t="shared" si="35"/>
        <v>0</v>
      </c>
      <c r="H30" s="360">
        <f t="shared" si="1"/>
        <v>7671</v>
      </c>
      <c r="I30" s="360">
        <f t="shared" ref="I30:J30" si="36">I22+I8</f>
        <v>6731</v>
      </c>
      <c r="J30" s="360">
        <f t="shared" si="36"/>
        <v>0</v>
      </c>
      <c r="K30" s="360">
        <f t="shared" si="2"/>
        <v>6731</v>
      </c>
      <c r="L30" s="360">
        <f t="shared" ref="L30:M30" si="37">L22+L8</f>
        <v>7875</v>
      </c>
      <c r="M30" s="360">
        <f t="shared" si="37"/>
        <v>0</v>
      </c>
      <c r="N30" s="360">
        <f t="shared" si="3"/>
        <v>7875</v>
      </c>
      <c r="O30" s="360">
        <f t="shared" ref="O30:P30" si="38">O22+O8</f>
        <v>7671</v>
      </c>
      <c r="P30" s="360">
        <f t="shared" si="38"/>
        <v>0</v>
      </c>
      <c r="Q30" s="360">
        <f t="shared" si="4"/>
        <v>7671</v>
      </c>
      <c r="R30" s="360">
        <f t="shared" ref="R30:S30" si="39">R22+R8</f>
        <v>7671</v>
      </c>
      <c r="S30" s="360">
        <f t="shared" si="39"/>
        <v>0</v>
      </c>
      <c r="T30" s="360">
        <f t="shared" si="5"/>
        <v>7671</v>
      </c>
    </row>
    <row r="31" spans="1:20" x14ac:dyDescent="0.25">
      <c r="A31" s="350" t="s">
        <v>328</v>
      </c>
      <c r="B31" s="351" t="s">
        <v>329</v>
      </c>
      <c r="C31" s="352">
        <f t="shared" ref="C31:S31" si="40">C32</f>
        <v>118876</v>
      </c>
      <c r="D31" s="352">
        <f t="shared" si="40"/>
        <v>0</v>
      </c>
      <c r="E31" s="352">
        <f t="shared" si="0"/>
        <v>118876</v>
      </c>
      <c r="F31" s="352">
        <f t="shared" si="40"/>
        <v>122556</v>
      </c>
      <c r="G31" s="352">
        <f t="shared" si="40"/>
        <v>2212</v>
      </c>
      <c r="H31" s="352">
        <f t="shared" si="1"/>
        <v>124768</v>
      </c>
      <c r="I31" s="352">
        <f t="shared" si="40"/>
        <v>123496</v>
      </c>
      <c r="J31" s="352">
        <f t="shared" si="40"/>
        <v>2212</v>
      </c>
      <c r="K31" s="352">
        <f t="shared" si="2"/>
        <v>125708</v>
      </c>
      <c r="L31" s="352">
        <f t="shared" si="40"/>
        <v>121793</v>
      </c>
      <c r="M31" s="352">
        <f t="shared" si="40"/>
        <v>0</v>
      </c>
      <c r="N31" s="352">
        <f t="shared" si="3"/>
        <v>121793</v>
      </c>
      <c r="O31" s="352">
        <f t="shared" si="40"/>
        <v>132235.68</v>
      </c>
      <c r="P31" s="352">
        <f t="shared" si="40"/>
        <v>0</v>
      </c>
      <c r="Q31" s="352">
        <f t="shared" si="4"/>
        <v>132235.68</v>
      </c>
      <c r="R31" s="352">
        <f t="shared" si="40"/>
        <v>134329.68</v>
      </c>
      <c r="S31" s="352">
        <f t="shared" si="40"/>
        <v>0</v>
      </c>
      <c r="T31" s="352">
        <f t="shared" si="5"/>
        <v>134329.68</v>
      </c>
    </row>
    <row r="32" spans="1:20" x14ac:dyDescent="0.25">
      <c r="A32" s="353" t="s">
        <v>311</v>
      </c>
      <c r="B32" s="354" t="s">
        <v>330</v>
      </c>
      <c r="C32" s="355">
        <f t="shared" ref="C32:D32" si="41">SUM(C33:C34)</f>
        <v>118876</v>
      </c>
      <c r="D32" s="355">
        <f t="shared" si="41"/>
        <v>0</v>
      </c>
      <c r="E32" s="355">
        <f t="shared" si="0"/>
        <v>118876</v>
      </c>
      <c r="F32" s="355">
        <f t="shared" ref="F32:G32" si="42">SUM(F33:F34)</f>
        <v>122556</v>
      </c>
      <c r="G32" s="355">
        <f t="shared" si="42"/>
        <v>2212</v>
      </c>
      <c r="H32" s="355">
        <f t="shared" si="1"/>
        <v>124768</v>
      </c>
      <c r="I32" s="355">
        <f t="shared" ref="I32:J32" si="43">SUM(I33:I34)</f>
        <v>123496</v>
      </c>
      <c r="J32" s="355">
        <f t="shared" si="43"/>
        <v>2212</v>
      </c>
      <c r="K32" s="355">
        <f t="shared" si="2"/>
        <v>125708</v>
      </c>
      <c r="L32" s="355">
        <f t="shared" ref="L32:M32" si="44">SUM(L33:L34)</f>
        <v>121793</v>
      </c>
      <c r="M32" s="355">
        <f t="shared" si="44"/>
        <v>0</v>
      </c>
      <c r="N32" s="355">
        <f t="shared" si="3"/>
        <v>121793</v>
      </c>
      <c r="O32" s="355">
        <f t="shared" ref="O32:P32" si="45">SUM(O33:O34)</f>
        <v>132235.68</v>
      </c>
      <c r="P32" s="355">
        <f t="shared" si="45"/>
        <v>0</v>
      </c>
      <c r="Q32" s="355">
        <f t="shared" si="4"/>
        <v>132235.68</v>
      </c>
      <c r="R32" s="355">
        <f t="shared" ref="R32:S32" si="46">SUM(R33:R34)</f>
        <v>134329.68</v>
      </c>
      <c r="S32" s="355">
        <f t="shared" si="46"/>
        <v>0</v>
      </c>
      <c r="T32" s="355">
        <f t="shared" si="5"/>
        <v>134329.68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548</v>
      </c>
      <c r="G33" s="273">
        <v>0</v>
      </c>
      <c r="H33" s="273">
        <f t="shared" si="1"/>
        <v>548</v>
      </c>
      <c r="I33" s="273">
        <v>3839</v>
      </c>
      <c r="J33" s="273">
        <v>0</v>
      </c>
      <c r="K33" s="273">
        <f t="shared" si="2"/>
        <v>3839</v>
      </c>
      <c r="L33" s="273">
        <v>548</v>
      </c>
      <c r="M33" s="273">
        <v>0</v>
      </c>
      <c r="N33" s="273">
        <f t="shared" si="3"/>
        <v>548</v>
      </c>
      <c r="O33" s="273">
        <v>0</v>
      </c>
      <c r="P33" s="273">
        <v>0</v>
      </c>
      <c r="Q33" s="273">
        <f t="shared" si="4"/>
        <v>0</v>
      </c>
      <c r="R33" s="273">
        <v>454</v>
      </c>
      <c r="S33" s="273">
        <v>0</v>
      </c>
      <c r="T33" s="273">
        <f t="shared" si="5"/>
        <v>454</v>
      </c>
    </row>
    <row r="34" spans="1:20" x14ac:dyDescent="0.25">
      <c r="A34" s="392"/>
      <c r="B34" s="358" t="s">
        <v>332</v>
      </c>
      <c r="C34" s="273">
        <f t="shared" ref="C34:D34" si="47">C36+C42-C30-C33</f>
        <v>118876</v>
      </c>
      <c r="D34" s="273">
        <f t="shared" si="47"/>
        <v>0</v>
      </c>
      <c r="E34" s="273">
        <f t="shared" si="0"/>
        <v>118876</v>
      </c>
      <c r="F34" s="273">
        <f t="shared" ref="F34:G34" si="48">F36+F42-F30-F33</f>
        <v>122008</v>
      </c>
      <c r="G34" s="273">
        <f t="shared" si="48"/>
        <v>2212</v>
      </c>
      <c r="H34" s="273">
        <f t="shared" si="1"/>
        <v>124220</v>
      </c>
      <c r="I34" s="273">
        <f t="shared" ref="I34:J34" si="49">I36+I42-I30-I33</f>
        <v>119657</v>
      </c>
      <c r="J34" s="273">
        <f t="shared" si="49"/>
        <v>2212</v>
      </c>
      <c r="K34" s="273">
        <f t="shared" si="2"/>
        <v>121869</v>
      </c>
      <c r="L34" s="273">
        <v>121245</v>
      </c>
      <c r="M34" s="273">
        <f t="shared" ref="M34" si="50">M36+M42-M30-M33</f>
        <v>0</v>
      </c>
      <c r="N34" s="273">
        <f t="shared" si="3"/>
        <v>121245</v>
      </c>
      <c r="O34" s="273">
        <f t="shared" ref="O34:P34" si="51">O36+O42-O30-O33</f>
        <v>132235.68</v>
      </c>
      <c r="P34" s="273">
        <f t="shared" si="51"/>
        <v>0</v>
      </c>
      <c r="Q34" s="273">
        <f t="shared" si="4"/>
        <v>132235.68</v>
      </c>
      <c r="R34" s="273">
        <f t="shared" ref="R34:S34" si="52">R36+R42-R30-R33</f>
        <v>133875.68</v>
      </c>
      <c r="S34" s="273">
        <f t="shared" si="52"/>
        <v>0</v>
      </c>
      <c r="T34" s="273">
        <f t="shared" si="5"/>
        <v>133875.68</v>
      </c>
    </row>
    <row r="35" spans="1:20" x14ac:dyDescent="0.25">
      <c r="A35" s="361"/>
      <c r="B35" s="362" t="s">
        <v>333</v>
      </c>
      <c r="C35" s="333">
        <f t="shared" ref="C35:D35" si="53">C31+C22+C8</f>
        <v>126547</v>
      </c>
      <c r="D35" s="333">
        <f t="shared" si="53"/>
        <v>0</v>
      </c>
      <c r="E35" s="333">
        <f t="shared" si="0"/>
        <v>126547</v>
      </c>
      <c r="F35" s="333">
        <f t="shared" ref="F35:G35" si="54">F31+F22+F8</f>
        <v>130227</v>
      </c>
      <c r="G35" s="333">
        <f t="shared" si="54"/>
        <v>2212</v>
      </c>
      <c r="H35" s="333">
        <f t="shared" si="1"/>
        <v>132439</v>
      </c>
      <c r="I35" s="333">
        <f t="shared" ref="I35:J35" si="55">I31+I22+I8</f>
        <v>130227</v>
      </c>
      <c r="J35" s="333">
        <f t="shared" si="55"/>
        <v>2212</v>
      </c>
      <c r="K35" s="333">
        <f t="shared" si="2"/>
        <v>132439</v>
      </c>
      <c r="L35" s="333">
        <f t="shared" ref="L35:M35" si="56">L31+L22+L8</f>
        <v>129668</v>
      </c>
      <c r="M35" s="333">
        <f t="shared" si="56"/>
        <v>0</v>
      </c>
      <c r="N35" s="333">
        <f t="shared" si="3"/>
        <v>129668</v>
      </c>
      <c r="O35" s="333">
        <f t="shared" ref="O35:P35" si="57">O31+O22+O8</f>
        <v>139906.68</v>
      </c>
      <c r="P35" s="333">
        <f t="shared" si="57"/>
        <v>0</v>
      </c>
      <c r="Q35" s="333">
        <f t="shared" si="4"/>
        <v>139906.68</v>
      </c>
      <c r="R35" s="333">
        <f t="shared" ref="R35:S35" si="58">R31+R22+R8</f>
        <v>142000.68</v>
      </c>
      <c r="S35" s="333">
        <f t="shared" si="58"/>
        <v>0</v>
      </c>
      <c r="T35" s="333">
        <f t="shared" si="5"/>
        <v>142000.68</v>
      </c>
    </row>
    <row r="36" spans="1:20" x14ac:dyDescent="0.25">
      <c r="A36" s="350" t="s">
        <v>309</v>
      </c>
      <c r="B36" s="351" t="s">
        <v>334</v>
      </c>
      <c r="C36" s="352">
        <f t="shared" ref="C36:D36" si="59">SUM(C37:C41)</f>
        <v>125277</v>
      </c>
      <c r="D36" s="352">
        <f t="shared" si="59"/>
        <v>0</v>
      </c>
      <c r="E36" s="352">
        <f t="shared" si="0"/>
        <v>125277</v>
      </c>
      <c r="F36" s="352">
        <f>SUM(F37:F41)</f>
        <v>129207</v>
      </c>
      <c r="G36" s="352">
        <f t="shared" ref="G36" si="60">SUM(G37:G41)</f>
        <v>2137</v>
      </c>
      <c r="H36" s="352">
        <f t="shared" si="1"/>
        <v>131344</v>
      </c>
      <c r="I36" s="352">
        <f>SUM(I37:I41)</f>
        <v>129207</v>
      </c>
      <c r="J36" s="352">
        <f t="shared" ref="J36" si="61">SUM(J37:J41)</f>
        <v>2137</v>
      </c>
      <c r="K36" s="352">
        <f t="shared" si="2"/>
        <v>131344</v>
      </c>
      <c r="L36" s="352">
        <f>SUM(L37:L41)</f>
        <v>125928</v>
      </c>
      <c r="M36" s="352">
        <f t="shared" ref="M36" si="62">SUM(M37:M41)</f>
        <v>0</v>
      </c>
      <c r="N36" s="352">
        <f t="shared" si="3"/>
        <v>125928</v>
      </c>
      <c r="O36" s="352">
        <f>SUM(O37:O41)</f>
        <v>139656.68</v>
      </c>
      <c r="P36" s="352">
        <f t="shared" ref="P36" si="63">SUM(P37:P41)</f>
        <v>0</v>
      </c>
      <c r="Q36" s="352">
        <f t="shared" si="4"/>
        <v>139656.68</v>
      </c>
      <c r="R36" s="352">
        <f>SUM(R37:R41)</f>
        <v>140661.68</v>
      </c>
      <c r="S36" s="352">
        <f t="shared" ref="S36" si="64">SUM(S37:S41)</f>
        <v>0</v>
      </c>
      <c r="T36" s="352">
        <f t="shared" si="5"/>
        <v>140661.68</v>
      </c>
    </row>
    <row r="37" spans="1:20" x14ac:dyDescent="0.25">
      <c r="A37" s="353" t="s">
        <v>311</v>
      </c>
      <c r="B37" s="354" t="s">
        <v>286</v>
      </c>
      <c r="C37" s="355">
        <f>'5 GSZNR fel'!E95+'5 GSZNR fel'!E101+'5 GSZNR fel'!E106</f>
        <v>72628</v>
      </c>
      <c r="D37" s="355">
        <f>'5 GSZNR fel'!D95+'5 GSZNR fel'!D101+'5 GSZNR fel'!D106</f>
        <v>0</v>
      </c>
      <c r="E37" s="355">
        <f t="shared" si="0"/>
        <v>72628</v>
      </c>
      <c r="F37" s="355">
        <f>'5 GSZNR fel'!H95+'5 GSZNR fel'!H101+'5 GSZNR fel'!H106</f>
        <v>75411</v>
      </c>
      <c r="G37" s="355">
        <f>'5 GSZNR fel'!H112</f>
        <v>128</v>
      </c>
      <c r="H37" s="355">
        <f t="shared" si="1"/>
        <v>75539</v>
      </c>
      <c r="I37" s="355">
        <f>'5 GSZNR fel'!K95+'5 GSZNR fel'!K101+'5 GSZNR fel'!K106</f>
        <v>75411</v>
      </c>
      <c r="J37" s="355">
        <f>'5 GSZNR fel'!K112</f>
        <v>128</v>
      </c>
      <c r="K37" s="355">
        <f t="shared" si="2"/>
        <v>75539</v>
      </c>
      <c r="L37" s="355">
        <f>'5 GSZNR fel'!N95+'5 GSZNR fel'!N101+'5 GSZNR fel'!N106</f>
        <v>72015</v>
      </c>
      <c r="M37" s="355">
        <f>'5 GSZNR fel'!L95+'5 GSZNR fel'!L101+'5 GSZNR fel'!L106</f>
        <v>0</v>
      </c>
      <c r="N37" s="355">
        <f t="shared" si="3"/>
        <v>72015</v>
      </c>
      <c r="O37" s="355">
        <f>'5 GSZNR fel'!Q95+'5 GSZNR fel'!Q101+'5 GSZNR fel'!Q106</f>
        <v>76194</v>
      </c>
      <c r="P37" s="355">
        <f>'5 GSZNR fel'!P95+'5 GSZNR fel'!P101+'5 GSZNR fel'!P106</f>
        <v>0</v>
      </c>
      <c r="Q37" s="355">
        <f t="shared" si="4"/>
        <v>76194</v>
      </c>
      <c r="R37" s="355">
        <f>'5 GSZNR fel'!T95+'5 GSZNR fel'!T101+'5 GSZNR fel'!T106</f>
        <v>77567</v>
      </c>
      <c r="S37" s="355">
        <f>'5 GSZNR fel'!S95+'5 GSZNR fel'!S101+'5 GSZNR fel'!S106</f>
        <v>0</v>
      </c>
      <c r="T37" s="355">
        <f t="shared" si="5"/>
        <v>77567</v>
      </c>
    </row>
    <row r="38" spans="1:20" x14ac:dyDescent="0.25">
      <c r="A38" s="353" t="s">
        <v>322</v>
      </c>
      <c r="B38" s="354" t="s">
        <v>335</v>
      </c>
      <c r="C38" s="355">
        <f>'5 GSZNR fel'!E96+'5 GSZNR fel'!E102+'5 GSZNR fel'!E107</f>
        <v>14059</v>
      </c>
      <c r="D38" s="355">
        <f>'5 GSZNR fel'!D96+'5 GSZNR fel'!D102+'5 GSZNR fel'!D107</f>
        <v>0</v>
      </c>
      <c r="E38" s="355">
        <f t="shared" si="0"/>
        <v>14059</v>
      </c>
      <c r="F38" s="355">
        <f>'5 GSZNR fel'!H96+'5 GSZNR fel'!H102+'5 GSZNR fel'!H107</f>
        <v>14314</v>
      </c>
      <c r="G38" s="355">
        <f>'5 GSZNR fel'!H113</f>
        <v>49</v>
      </c>
      <c r="H38" s="355">
        <f t="shared" si="1"/>
        <v>14363</v>
      </c>
      <c r="I38" s="355">
        <f>'5 GSZNR fel'!K96+'5 GSZNR fel'!K102+'5 GSZNR fel'!K107</f>
        <v>14314</v>
      </c>
      <c r="J38" s="355">
        <f>'5 GSZNR fel'!K113</f>
        <v>49</v>
      </c>
      <c r="K38" s="355">
        <f t="shared" si="2"/>
        <v>14363</v>
      </c>
      <c r="L38" s="355">
        <f>'5 GSZNR fel'!N96+'5 GSZNR fel'!N102+'5 GSZNR fel'!N107</f>
        <v>12869</v>
      </c>
      <c r="M38" s="355">
        <f>'5 GSZNR fel'!L96+'5 GSZNR fel'!L102+'5 GSZNR fel'!L107</f>
        <v>0</v>
      </c>
      <c r="N38" s="355">
        <f t="shared" si="3"/>
        <v>12869</v>
      </c>
      <c r="O38" s="355">
        <f>'5 GSZNR fel'!Q96+'5 GSZNR fel'!Q102+'5 GSZNR fel'!Q107</f>
        <v>14477</v>
      </c>
      <c r="P38" s="355">
        <f>'5 GSZNR fel'!P96+'5 GSZNR fel'!P102+'5 GSZNR fel'!P107</f>
        <v>0</v>
      </c>
      <c r="Q38" s="355">
        <f t="shared" si="4"/>
        <v>14477</v>
      </c>
      <c r="R38" s="355">
        <f>'5 GSZNR fel'!T96+'5 GSZNR fel'!T102+'5 GSZNR fel'!T107</f>
        <v>14744</v>
      </c>
      <c r="S38" s="355">
        <f>'5 GSZNR fel'!S96+'5 GSZNR fel'!S102+'5 GSZNR fel'!S107</f>
        <v>0</v>
      </c>
      <c r="T38" s="355">
        <f t="shared" si="5"/>
        <v>14744</v>
      </c>
    </row>
    <row r="39" spans="1:20" x14ac:dyDescent="0.25">
      <c r="A39" s="353" t="s">
        <v>315</v>
      </c>
      <c r="B39" s="354" t="s">
        <v>292</v>
      </c>
      <c r="C39" s="355">
        <f>'5 GSZNR fel'!E97+'5 GSZNR fel'!E103+'5 GSZNR fel'!E108</f>
        <v>38590</v>
      </c>
      <c r="D39" s="355">
        <f>'5 GSZNR fel'!D97+'5 GSZNR fel'!D103+'5 GSZNR fel'!D108</f>
        <v>0</v>
      </c>
      <c r="E39" s="355">
        <f t="shared" si="0"/>
        <v>38590</v>
      </c>
      <c r="F39" s="355">
        <f>'5 GSZNR fel'!H97+'5 GSZNR fel'!H103+'5 GSZNR fel'!H108</f>
        <v>39482</v>
      </c>
      <c r="G39" s="355">
        <f>'5 GSZNR fel'!H114</f>
        <v>1960</v>
      </c>
      <c r="H39" s="355">
        <f t="shared" si="1"/>
        <v>41442</v>
      </c>
      <c r="I39" s="355">
        <f>'5 GSZNR fel'!K97+'5 GSZNR fel'!K103+'5 GSZNR fel'!K108</f>
        <v>39482</v>
      </c>
      <c r="J39" s="355">
        <f>'5 GSZNR fel'!K114</f>
        <v>1960</v>
      </c>
      <c r="K39" s="355">
        <f t="shared" si="2"/>
        <v>41442</v>
      </c>
      <c r="L39" s="355">
        <f>'5 GSZNR fel'!N97+'5 GSZNR fel'!N103+'5 GSZNR fel'!N108</f>
        <v>41044</v>
      </c>
      <c r="M39" s="355">
        <f>'5 GSZNR fel'!L97+'5 GSZNR fel'!L103+'5 GSZNR fel'!L108</f>
        <v>0</v>
      </c>
      <c r="N39" s="355">
        <f t="shared" si="3"/>
        <v>41044</v>
      </c>
      <c r="O39" s="355">
        <f>'5 GSZNR fel'!Q97+'5 GSZNR fel'!Q103+'5 GSZNR fel'!Q108</f>
        <v>48985.68</v>
      </c>
      <c r="P39" s="355">
        <f>'5 GSZNR fel'!P97+'5 GSZNR fel'!P103+'5 GSZNR fel'!P108</f>
        <v>0</v>
      </c>
      <c r="Q39" s="355">
        <f t="shared" si="4"/>
        <v>48985.68</v>
      </c>
      <c r="R39" s="355">
        <f>'5 GSZNR fel'!T97+'5 GSZNR fel'!T103+'5 GSZNR fel'!T108</f>
        <v>48350.68</v>
      </c>
      <c r="S39" s="355">
        <f>'5 GSZNR fel'!S97+'5 GSZNR fel'!S103+'5 GSZNR fel'!S108</f>
        <v>0</v>
      </c>
      <c r="T39" s="355">
        <f t="shared" si="5"/>
        <v>48350.68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fel'!H98</f>
        <v>0</v>
      </c>
      <c r="G41" s="355">
        <v>0</v>
      </c>
      <c r="H41" s="355">
        <f t="shared" si="1"/>
        <v>0</v>
      </c>
      <c r="I41" s="355">
        <f>+'5 GSZNR fel'!K98</f>
        <v>0</v>
      </c>
      <c r="J41" s="355">
        <v>0</v>
      </c>
      <c r="K41" s="355">
        <f t="shared" si="2"/>
        <v>0</v>
      </c>
      <c r="L41" s="355">
        <f>+'5 GSZNR fel'!N98</f>
        <v>0</v>
      </c>
      <c r="M41" s="355">
        <v>0</v>
      </c>
      <c r="N41" s="355">
        <f t="shared" si="3"/>
        <v>0</v>
      </c>
      <c r="O41" s="355">
        <f>+'5 GSZNR fel'!Q98</f>
        <v>0</v>
      </c>
      <c r="P41" s="355">
        <v>0</v>
      </c>
      <c r="Q41" s="355">
        <f t="shared" si="4"/>
        <v>0</v>
      </c>
      <c r="R41" s="355">
        <f>+'5 GSZNR fel'!T98</f>
        <v>0</v>
      </c>
      <c r="S41" s="355"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65">SUM(C43:C45)</f>
        <v>1270</v>
      </c>
      <c r="D42" s="352">
        <f t="shared" si="65"/>
        <v>0</v>
      </c>
      <c r="E42" s="352">
        <f t="shared" si="0"/>
        <v>1270</v>
      </c>
      <c r="F42" s="352">
        <f>SUM(F43:F45)</f>
        <v>1020</v>
      </c>
      <c r="G42" s="352">
        <f>SUM(G43:G45)</f>
        <v>75</v>
      </c>
      <c r="H42" s="352">
        <f t="shared" si="1"/>
        <v>1095</v>
      </c>
      <c r="I42" s="352">
        <f>SUM(I43:I45)</f>
        <v>1020</v>
      </c>
      <c r="J42" s="352">
        <f>SUM(J43:J45)</f>
        <v>75</v>
      </c>
      <c r="K42" s="352">
        <f t="shared" si="2"/>
        <v>1095</v>
      </c>
      <c r="L42" s="352">
        <f>SUM(L43:L45)</f>
        <v>0</v>
      </c>
      <c r="M42" s="352">
        <f>SUM(M43:M45)</f>
        <v>0</v>
      </c>
      <c r="N42" s="352">
        <f t="shared" si="3"/>
        <v>0</v>
      </c>
      <c r="O42" s="352">
        <f>SUM(O43:O45)</f>
        <v>250</v>
      </c>
      <c r="P42" s="352">
        <f>SUM(P43:P45)</f>
        <v>0</v>
      </c>
      <c r="Q42" s="352">
        <f t="shared" si="4"/>
        <v>250</v>
      </c>
      <c r="R42" s="352">
        <f>SUM(R43:R45)</f>
        <v>1339</v>
      </c>
      <c r="S42" s="352">
        <f>SUM(S43:S45)</f>
        <v>0</v>
      </c>
      <c r="T42" s="352">
        <f t="shared" si="5"/>
        <v>1339</v>
      </c>
    </row>
    <row r="43" spans="1:20" x14ac:dyDescent="0.25">
      <c r="A43" s="353" t="s">
        <v>311</v>
      </c>
      <c r="B43" s="354" t="s">
        <v>341</v>
      </c>
      <c r="C43" s="355">
        <f>'5 GSZNR fel'!E99+'5 GSZNR fel'!E104+'5 GSZNR fel'!E109</f>
        <v>1270</v>
      </c>
      <c r="D43" s="355">
        <f>'5 GSZNR fel'!D99+'5 GSZNR fel'!D104+'5 GSZNR fel'!D109</f>
        <v>0</v>
      </c>
      <c r="E43" s="355">
        <f t="shared" si="0"/>
        <v>1270</v>
      </c>
      <c r="F43" s="355">
        <f>'5 GSZNR fel'!H99+'5 GSZNR fel'!H104+'5 GSZNR fel'!H109</f>
        <v>1020</v>
      </c>
      <c r="G43" s="355">
        <f>'5 GSZNR fel'!H115</f>
        <v>75</v>
      </c>
      <c r="H43" s="355">
        <f t="shared" si="1"/>
        <v>1095</v>
      </c>
      <c r="I43" s="355">
        <f>'5 GSZNR fel'!K99+'5 GSZNR fel'!K104+'5 GSZNR fel'!K109</f>
        <v>1020</v>
      </c>
      <c r="J43" s="355">
        <f>'5 GSZNR fel'!K115</f>
        <v>75</v>
      </c>
      <c r="K43" s="355">
        <f t="shared" si="2"/>
        <v>1095</v>
      </c>
      <c r="L43" s="355">
        <f>'5 GSZNR fel'!N99+'5 GSZNR fel'!N104+'5 GSZNR fel'!N109</f>
        <v>0</v>
      </c>
      <c r="M43" s="355">
        <f>'5 GSZNR fel'!L99+'5 GSZNR fel'!L104+'5 GSZNR fel'!L109</f>
        <v>0</v>
      </c>
      <c r="N43" s="355">
        <f t="shared" si="3"/>
        <v>0</v>
      </c>
      <c r="O43" s="355">
        <f>'5 GSZNR fel'!Q99+'5 GSZNR fel'!Q104+'5 GSZNR fel'!Q109</f>
        <v>250</v>
      </c>
      <c r="P43" s="355">
        <f>'5 GSZNR fel'!P99+'5 GSZNR fel'!P104+'5 GSZNR fel'!P109</f>
        <v>0</v>
      </c>
      <c r="Q43" s="355">
        <f t="shared" si="4"/>
        <v>250</v>
      </c>
      <c r="R43" s="355">
        <f>'5 GSZNR fel'!T99+'5 GSZNR fel'!T104+'5 GSZNR fel'!T109</f>
        <v>1339</v>
      </c>
      <c r="S43" s="355">
        <f>'5 GSZNR fel'!S99+'5 GSZNR fel'!S104+'5 GSZNR fel'!S109</f>
        <v>0</v>
      </c>
      <c r="T43" s="355">
        <f t="shared" si="5"/>
        <v>1339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66">C36+C42</f>
        <v>126547</v>
      </c>
      <c r="D46" s="333">
        <f t="shared" si="66"/>
        <v>0</v>
      </c>
      <c r="E46" s="333">
        <f t="shared" si="0"/>
        <v>126547</v>
      </c>
      <c r="F46" s="333">
        <f t="shared" ref="F46:G46" si="67">F36+F42</f>
        <v>130227</v>
      </c>
      <c r="G46" s="333">
        <f t="shared" si="67"/>
        <v>2212</v>
      </c>
      <c r="H46" s="333">
        <f t="shared" si="1"/>
        <v>132439</v>
      </c>
      <c r="I46" s="333">
        <f t="shared" ref="I46:J46" si="68">I36+I42</f>
        <v>130227</v>
      </c>
      <c r="J46" s="333">
        <f t="shared" si="68"/>
        <v>2212</v>
      </c>
      <c r="K46" s="333">
        <f t="shared" si="2"/>
        <v>132439</v>
      </c>
      <c r="L46" s="333">
        <f t="shared" ref="L46:M46" si="69">L36+L42</f>
        <v>125928</v>
      </c>
      <c r="M46" s="333">
        <f t="shared" si="69"/>
        <v>0</v>
      </c>
      <c r="N46" s="333">
        <f t="shared" si="3"/>
        <v>125928</v>
      </c>
      <c r="O46" s="333">
        <f t="shared" ref="O46:P46" si="70">O36+O42</f>
        <v>139906.68</v>
      </c>
      <c r="P46" s="333">
        <f t="shared" si="70"/>
        <v>0</v>
      </c>
      <c r="Q46" s="333">
        <f t="shared" si="4"/>
        <v>139906.68</v>
      </c>
      <c r="R46" s="333">
        <f t="shared" ref="R46:S46" si="71">R36+R42</f>
        <v>142000.68</v>
      </c>
      <c r="S46" s="333">
        <f t="shared" si="71"/>
        <v>0</v>
      </c>
      <c r="T46" s="333">
        <f t="shared" si="5"/>
        <v>142000.68</v>
      </c>
    </row>
  </sheetData>
  <mergeCells count="8"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8" fitToWidth="0" fitToHeight="0" orientation="portrait" copies="2" r:id="rId1"/>
  <headerFooter>
    <oddHeader>&amp;L4/F.  melléklet a ...../2019. (.......) önkormányzati rendelethez&amp;C&amp;"-,Félkövér"&amp;16
A Segítő Kéz Szolgálat 2019. évi bevételei és kiadásai jogcímenként és feladatonként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view="pageBreakPreview" zoomScale="75" zoomScaleNormal="100" zoomScaleSheetLayoutView="75" workbookViewId="0">
      <selection activeCell="L8" sqref="L8"/>
    </sheetView>
  </sheetViews>
  <sheetFormatPr defaultRowHeight="14.3" x14ac:dyDescent="0.25"/>
  <cols>
    <col min="1" max="1" width="5.625" customWidth="1"/>
    <col min="2" max="2" width="41" customWidth="1"/>
    <col min="3" max="6" width="11.75" customWidth="1"/>
    <col min="7" max="7" width="5.875" customWidth="1"/>
    <col min="8" max="8" width="46.875" customWidth="1"/>
    <col min="9" max="11" width="12.125" customWidth="1"/>
    <col min="12" max="12" width="12.75" customWidth="1"/>
  </cols>
  <sheetData>
    <row r="1" spans="1:12" ht="14.95" x14ac:dyDescent="0.25">
      <c r="J1" s="91"/>
      <c r="K1" s="91"/>
      <c r="L1" s="91" t="s">
        <v>302</v>
      </c>
    </row>
    <row r="2" spans="1:12" ht="57.1" x14ac:dyDescent="0.25">
      <c r="A2" s="120" t="s">
        <v>305</v>
      </c>
      <c r="B2" s="121" t="s">
        <v>470</v>
      </c>
      <c r="C2" s="394" t="s">
        <v>1461</v>
      </c>
      <c r="D2" s="122" t="s">
        <v>1531</v>
      </c>
      <c r="E2" s="394" t="s">
        <v>1498</v>
      </c>
      <c r="F2" s="692" t="s">
        <v>1501</v>
      </c>
      <c r="G2" s="120" t="s">
        <v>305</v>
      </c>
      <c r="H2" s="121" t="s">
        <v>586</v>
      </c>
      <c r="I2" s="394" t="s">
        <v>1461</v>
      </c>
      <c r="J2" s="394" t="s">
        <v>1531</v>
      </c>
      <c r="K2" s="394" t="s">
        <v>1498</v>
      </c>
      <c r="L2" s="777" t="s">
        <v>1501</v>
      </c>
    </row>
    <row r="3" spans="1:12" x14ac:dyDescent="0.25">
      <c r="A3" s="123" t="s">
        <v>309</v>
      </c>
      <c r="B3" s="124" t="s">
        <v>310</v>
      </c>
      <c r="C3" s="125">
        <f>SUM(C4:C7)</f>
        <v>3916065</v>
      </c>
      <c r="D3" s="125">
        <f t="shared" ref="D3" si="0">SUM(D4:D7)</f>
        <v>4223842</v>
      </c>
      <c r="E3" s="125">
        <f t="shared" ref="E3:F3" si="1">SUM(E4:E7)</f>
        <v>4385329</v>
      </c>
      <c r="F3" s="125">
        <f t="shared" si="1"/>
        <v>4177944.0810000002</v>
      </c>
      <c r="G3" s="123" t="s">
        <v>309</v>
      </c>
      <c r="H3" s="126" t="s">
        <v>587</v>
      </c>
      <c r="I3" s="127">
        <f>SUM(I4:I8)</f>
        <v>4122045.2</v>
      </c>
      <c r="J3" s="127" t="e">
        <f t="shared" ref="J3" si="2">SUM(J4:J8)</f>
        <v>#REF!</v>
      </c>
      <c r="K3" s="127">
        <f t="shared" ref="K3:L3" si="3">SUM(K4:K8)</f>
        <v>4378308</v>
      </c>
      <c r="L3" s="127">
        <f t="shared" si="3"/>
        <v>4177944.1943149604</v>
      </c>
    </row>
    <row r="4" spans="1:12" ht="28.55" x14ac:dyDescent="0.25">
      <c r="A4" s="128" t="s">
        <v>311</v>
      </c>
      <c r="B4" s="781" t="s">
        <v>312</v>
      </c>
      <c r="C4" s="130">
        <f>+'1A. Fő bev'!F5</f>
        <v>565149</v>
      </c>
      <c r="D4" s="130">
        <f>+'1A. Fő bev'!J5</f>
        <v>654738</v>
      </c>
      <c r="E4" s="130">
        <f>+'1A. Fő bev'!R5</f>
        <v>669516</v>
      </c>
      <c r="F4" s="130">
        <f>+'1A. Fő bev'!V5</f>
        <v>611832.08100000001</v>
      </c>
      <c r="G4" s="128" t="s">
        <v>311</v>
      </c>
      <c r="H4" s="131" t="s">
        <v>286</v>
      </c>
      <c r="I4" s="132">
        <f>+'1B. Fő kiad'!F5</f>
        <v>1516006</v>
      </c>
      <c r="J4" s="132">
        <f>+'1B. Fő kiad'!J5</f>
        <v>1557029</v>
      </c>
      <c r="K4" s="132">
        <f>+'1B. Fő kiad'!R5</f>
        <v>1369210</v>
      </c>
      <c r="L4" s="132">
        <f>+'1B. Fő kiad'!V5</f>
        <v>1583865.6</v>
      </c>
    </row>
    <row r="5" spans="1:12" ht="32.6" customHeight="1" x14ac:dyDescent="0.25">
      <c r="A5" s="128" t="s">
        <v>322</v>
      </c>
      <c r="B5" s="129" t="s">
        <v>488</v>
      </c>
      <c r="C5" s="130">
        <f>+'1A. Fő bev'!F10</f>
        <v>3107500</v>
      </c>
      <c r="D5" s="130">
        <f>+'1A. Fő bev'!J10</f>
        <v>3107500</v>
      </c>
      <c r="E5" s="130">
        <f>+'1A. Fő bev'!R10</f>
        <v>3295731</v>
      </c>
      <c r="F5" s="130">
        <f>+'1A. Fő bev'!V10</f>
        <v>3317500</v>
      </c>
      <c r="G5" s="128" t="s">
        <v>322</v>
      </c>
      <c r="H5" s="782" t="s">
        <v>335</v>
      </c>
      <c r="I5" s="132">
        <f>+'1B. Fő kiad'!F6</f>
        <v>313809</v>
      </c>
      <c r="J5" s="132">
        <f>+'1B. Fő kiad'!J6</f>
        <v>319589</v>
      </c>
      <c r="K5" s="132">
        <f>+'1B. Fő kiad'!R6</f>
        <v>262966</v>
      </c>
      <c r="L5" s="132">
        <f>+'1B. Fő kiad'!V6</f>
        <v>305671.864</v>
      </c>
    </row>
    <row r="6" spans="1:12" ht="17.5" customHeight="1" x14ac:dyDescent="0.25">
      <c r="A6" s="128" t="s">
        <v>315</v>
      </c>
      <c r="B6" s="129" t="s">
        <v>314</v>
      </c>
      <c r="C6" s="130">
        <f>+'1A. Fő bev'!F17</f>
        <v>243156</v>
      </c>
      <c r="D6" s="130">
        <f>+'1A. Fő bev'!J17</f>
        <v>453196</v>
      </c>
      <c r="E6" s="130">
        <f>+'1A. Fő bev'!R17</f>
        <v>419822</v>
      </c>
      <c r="F6" s="130">
        <f>+'1A. Fő bev'!V17</f>
        <v>248612</v>
      </c>
      <c r="G6" s="128" t="s">
        <v>315</v>
      </c>
      <c r="H6" s="131" t="s">
        <v>292</v>
      </c>
      <c r="I6" s="132">
        <f>+'1B. Fő kiad'!F7</f>
        <v>1454349.2</v>
      </c>
      <c r="J6" s="132">
        <f>+'1B. Fő kiad'!J7</f>
        <v>2147349</v>
      </c>
      <c r="K6" s="132">
        <f>+'1B. Fő kiad'!R7</f>
        <v>2335247</v>
      </c>
      <c r="L6" s="859">
        <f>+'1B. Fő kiad'!V7</f>
        <v>1446546.7303149605</v>
      </c>
    </row>
    <row r="7" spans="1:12" ht="17.5" customHeight="1" x14ac:dyDescent="0.25">
      <c r="A7" s="128" t="s">
        <v>336</v>
      </c>
      <c r="B7" s="129" t="s">
        <v>316</v>
      </c>
      <c r="C7" s="130">
        <f>+'1A. Fő bev'!F26</f>
        <v>260</v>
      </c>
      <c r="D7" s="130">
        <f>+'1A. Fő bev'!J26</f>
        <v>8408</v>
      </c>
      <c r="E7" s="130">
        <f>+'1A. Fő bev'!R26</f>
        <v>260</v>
      </c>
      <c r="F7" s="130">
        <f>+'1A. Fő bev'!V26</f>
        <v>0</v>
      </c>
      <c r="G7" s="128" t="s">
        <v>336</v>
      </c>
      <c r="H7" s="131" t="s">
        <v>337</v>
      </c>
      <c r="I7" s="132">
        <f>+'1B. Fő kiad'!F8</f>
        <v>30000</v>
      </c>
      <c r="J7" s="132">
        <f>+'1B. Fő kiad'!J8</f>
        <v>30223</v>
      </c>
      <c r="K7" s="132">
        <f>+'1B. Fő kiad'!R8</f>
        <v>11767</v>
      </c>
      <c r="L7" s="132">
        <f>+'1B. Fő kiad'!V8</f>
        <v>34000</v>
      </c>
    </row>
    <row r="8" spans="1:12" ht="17.5" customHeight="1" x14ac:dyDescent="0.25">
      <c r="A8" s="133"/>
      <c r="B8" s="133"/>
      <c r="C8" s="133"/>
      <c r="D8" s="133"/>
      <c r="E8" s="133"/>
      <c r="F8" s="133"/>
      <c r="G8" s="128" t="s">
        <v>338</v>
      </c>
      <c r="H8" s="131" t="s">
        <v>339</v>
      </c>
      <c r="I8" s="132">
        <f>+'1B. Fő kiad'!F9</f>
        <v>807881</v>
      </c>
      <c r="J8" s="132" t="e">
        <f>+'1B. Fő kiad'!J9</f>
        <v>#REF!</v>
      </c>
      <c r="K8" s="132">
        <f>+'1B. Fő kiad'!R9</f>
        <v>399118</v>
      </c>
      <c r="L8" s="859">
        <f>+'1B. Fő kiad'!V9</f>
        <v>807860</v>
      </c>
    </row>
    <row r="9" spans="1:12" ht="17.5" customHeight="1" x14ac:dyDescent="0.25">
      <c r="A9" s="134"/>
      <c r="B9" s="135" t="s">
        <v>588</v>
      </c>
      <c r="C9" s="135">
        <f>IF(C3-I3&lt;0,I3-C3,0)</f>
        <v>205980.20000000019</v>
      </c>
      <c r="D9" s="135" t="e">
        <f>IF(D3-J3&lt;0,J3-D3,0)</f>
        <v>#REF!</v>
      </c>
      <c r="E9" s="135">
        <f>IF(E3-K3&lt;0,K3-E3,0)</f>
        <v>0</v>
      </c>
      <c r="F9" s="135">
        <f>IF(F3-L3&lt;0,L3-F3,0)</f>
        <v>0.11331496015191078</v>
      </c>
      <c r="G9" s="136"/>
      <c r="H9" s="137" t="s">
        <v>589</v>
      </c>
      <c r="I9" s="137">
        <f>IF(C3-I3&gt;0,C3-I3,0)</f>
        <v>0</v>
      </c>
      <c r="J9" s="137" t="e">
        <f>IF(D3-J3&gt;0,D3-J3,0)</f>
        <v>#REF!</v>
      </c>
      <c r="K9" s="137">
        <f>IF(E3-K3&gt;0,E3-K3,0)</f>
        <v>7021</v>
      </c>
      <c r="L9" s="137">
        <f>IF(F3-L3&gt;0,F3-L3,0)</f>
        <v>0</v>
      </c>
    </row>
    <row r="10" spans="1:12" ht="17.5" customHeight="1" x14ac:dyDescent="0.25">
      <c r="A10" s="123" t="s">
        <v>318</v>
      </c>
      <c r="B10" s="124" t="s">
        <v>319</v>
      </c>
      <c r="C10" s="125">
        <f>SUM(C11:C13)</f>
        <v>391169</v>
      </c>
      <c r="D10" s="125">
        <f t="shared" ref="D10" si="4">SUM(D11:D13)</f>
        <v>591858</v>
      </c>
      <c r="E10" s="125">
        <f t="shared" ref="E10:F10" si="5">SUM(E11:E13)</f>
        <v>522058</v>
      </c>
      <c r="F10" s="125">
        <f t="shared" si="5"/>
        <v>494027</v>
      </c>
      <c r="G10" s="123" t="s">
        <v>318</v>
      </c>
      <c r="H10" s="126" t="s">
        <v>590</v>
      </c>
      <c r="I10" s="127">
        <f>SUM(I11:I13)</f>
        <v>1842758.24</v>
      </c>
      <c r="J10" s="127">
        <f t="shared" ref="J10" si="6">SUM(J11:J13)</f>
        <v>2016594.5</v>
      </c>
      <c r="K10" s="127">
        <f t="shared" ref="K10:L10" si="7">SUM(K11:K13)</f>
        <v>1779868</v>
      </c>
      <c r="L10" s="127">
        <f t="shared" si="7"/>
        <v>1396318.65</v>
      </c>
    </row>
    <row r="11" spans="1:12" ht="17.5" customHeight="1" x14ac:dyDescent="0.25">
      <c r="A11" s="128" t="s">
        <v>311</v>
      </c>
      <c r="B11" s="129" t="s">
        <v>320</v>
      </c>
      <c r="C11" s="130">
        <f>+'1A. Fő bev'!F30</f>
        <v>0</v>
      </c>
      <c r="D11" s="130">
        <f>+'1A. Fő bev'!J30</f>
        <v>14100</v>
      </c>
      <c r="E11" s="130">
        <f>+'1A. Fő bev'!R30</f>
        <v>21100</v>
      </c>
      <c r="F11" s="130">
        <f>+'1A. Fő bev'!V30</f>
        <v>200000</v>
      </c>
      <c r="G11" s="128" t="s">
        <v>311</v>
      </c>
      <c r="H11" s="131" t="s">
        <v>351</v>
      </c>
      <c r="I11" s="132">
        <f>+'1B. Fő kiad'!F16</f>
        <v>1547310.24</v>
      </c>
      <c r="J11" s="132">
        <f>+'1B. Fő kiad'!J16</f>
        <v>1765400.5</v>
      </c>
      <c r="K11" s="132">
        <f>+'1B. Fő kiad'!R16</f>
        <v>1581613</v>
      </c>
      <c r="L11" s="132">
        <f>+'1B. Fő kiad'!V16</f>
        <v>957880.65</v>
      </c>
    </row>
    <row r="12" spans="1:12" ht="17.5" customHeight="1" x14ac:dyDescent="0.25">
      <c r="A12" s="128" t="s">
        <v>322</v>
      </c>
      <c r="B12" s="129" t="s">
        <v>257</v>
      </c>
      <c r="C12" s="130">
        <f>+'1A. Fő bev'!F34</f>
        <v>385369</v>
      </c>
      <c r="D12" s="130">
        <f>+'1A. Fő bev'!J34</f>
        <v>495556</v>
      </c>
      <c r="E12" s="130">
        <f>+'1A. Fő bev'!R34</f>
        <v>498415</v>
      </c>
      <c r="F12" s="130">
        <f>+'1A. Fő bev'!V34</f>
        <v>243000</v>
      </c>
      <c r="G12" s="128" t="s">
        <v>322</v>
      </c>
      <c r="H12" s="131" t="s">
        <v>342</v>
      </c>
      <c r="I12" s="132">
        <f>+'1B. Fő kiad'!F17</f>
        <v>294748</v>
      </c>
      <c r="J12" s="132">
        <f>+'1B. Fő kiad'!J17</f>
        <v>247922</v>
      </c>
      <c r="K12" s="132">
        <f>+'1B. Fő kiad'!R17</f>
        <v>197683</v>
      </c>
      <c r="L12" s="132">
        <f>+'1B. Fő kiad'!V17</f>
        <v>437738</v>
      </c>
    </row>
    <row r="13" spans="1:12" ht="17.5" customHeight="1" x14ac:dyDescent="0.25">
      <c r="A13" s="128" t="s">
        <v>315</v>
      </c>
      <c r="B13" s="129" t="s">
        <v>325</v>
      </c>
      <c r="C13" s="130">
        <f>+'1A. Fő bev'!F39</f>
        <v>5800</v>
      </c>
      <c r="D13" s="130">
        <f>+'1A. Fő bev'!J39</f>
        <v>82202</v>
      </c>
      <c r="E13" s="130">
        <f>+'1A. Fő bev'!R39</f>
        <v>2543</v>
      </c>
      <c r="F13" s="130">
        <f>+'1A. Fő bev'!V39</f>
        <v>51027</v>
      </c>
      <c r="G13" s="128" t="s">
        <v>315</v>
      </c>
      <c r="H13" s="131" t="s">
        <v>343</v>
      </c>
      <c r="I13" s="132">
        <f>+'1B. Fő kiad'!F18</f>
        <v>700</v>
      </c>
      <c r="J13" s="132">
        <f>+'1B. Fő kiad'!J18</f>
        <v>3272</v>
      </c>
      <c r="K13" s="132">
        <f>+'1B. Fő kiad'!R18</f>
        <v>572</v>
      </c>
      <c r="L13" s="132">
        <f>+'1B. Fő kiad'!V18</f>
        <v>700</v>
      </c>
    </row>
    <row r="14" spans="1:12" ht="17.5" customHeight="1" x14ac:dyDescent="0.25">
      <c r="A14" s="134"/>
      <c r="B14" s="134" t="s">
        <v>591</v>
      </c>
      <c r="C14" s="135">
        <f>IF(C10-I10&lt;0,I10-C10,0)</f>
        <v>1451589.24</v>
      </c>
      <c r="D14" s="135">
        <f>IF(D10-J10&lt;0,J10-D10,0)</f>
        <v>1424736.5</v>
      </c>
      <c r="E14" s="135">
        <f>IF(E10-K10&lt;0,K10-E10,0)</f>
        <v>1257810</v>
      </c>
      <c r="F14" s="135">
        <f>IF(F10-L10&lt;0,L10-F10,0)</f>
        <v>902291.64999999991</v>
      </c>
      <c r="G14" s="138"/>
      <c r="H14" s="136" t="s">
        <v>592</v>
      </c>
      <c r="I14" s="137">
        <f>IF(C10-I10&gt;0,C10-I10,0)</f>
        <v>0</v>
      </c>
      <c r="J14" s="137">
        <f>IF(D10-J10&gt;0,D10-J10,0)</f>
        <v>0</v>
      </c>
      <c r="K14" s="137">
        <f>IF(E10-K10&gt;0,E10-K10,0)</f>
        <v>0</v>
      </c>
      <c r="L14" s="137">
        <f>IF(F10-L10&gt;0,F10-L10,0)</f>
        <v>0</v>
      </c>
    </row>
    <row r="15" spans="1:12" ht="17.5" customHeight="1" x14ac:dyDescent="0.25">
      <c r="A15" s="121"/>
      <c r="B15" s="139" t="s">
        <v>327</v>
      </c>
      <c r="C15" s="140">
        <f>C3+C10</f>
        <v>4307234</v>
      </c>
      <c r="D15" s="140">
        <f t="shared" ref="D15:E15" si="8">D3+D10</f>
        <v>4815700</v>
      </c>
      <c r="E15" s="140">
        <f t="shared" si="8"/>
        <v>4907387</v>
      </c>
      <c r="F15" s="140">
        <f t="shared" ref="F15" si="9">F3+F10</f>
        <v>4671971.0810000002</v>
      </c>
      <c r="G15" s="121"/>
      <c r="H15" s="139" t="s">
        <v>593</v>
      </c>
      <c r="I15" s="141">
        <f>I3+I10</f>
        <v>5964803.4400000004</v>
      </c>
      <c r="J15" s="141" t="e">
        <f t="shared" ref="J15:K15" si="10">J3+J10</f>
        <v>#REF!</v>
      </c>
      <c r="K15" s="141">
        <f t="shared" si="10"/>
        <v>6158176</v>
      </c>
      <c r="L15" s="141">
        <f t="shared" ref="L15" si="11">L3+L10</f>
        <v>5574262.8443149608</v>
      </c>
    </row>
    <row r="16" spans="1:12" ht="17.5" customHeight="1" x14ac:dyDescent="0.25">
      <c r="A16" s="142"/>
      <c r="B16" s="143" t="s">
        <v>594</v>
      </c>
      <c r="C16" s="143">
        <f>IF(I9+I14-C9-C14&lt;0,C9+C14-I9-I14,0)</f>
        <v>1657569.4400000002</v>
      </c>
      <c r="D16" s="143" t="e">
        <f>IF(J9+J14-D9-D14&lt;0,D9+D14-J9-J14,0)</f>
        <v>#REF!</v>
      </c>
      <c r="E16" s="143">
        <f>IF(K9+K14-E9-E14&lt;0,E9+E14-K9-K14,0)</f>
        <v>1250789</v>
      </c>
      <c r="F16" s="143">
        <f>IF(L9+L14-F9-F14&lt;0,F9+F14-L9-L14,0)</f>
        <v>902291.76331496006</v>
      </c>
      <c r="G16" s="144"/>
      <c r="H16" s="145" t="s">
        <v>595</v>
      </c>
      <c r="I16" s="143">
        <f>IF(I9+I14-C9-C14&gt;0,I9+I14-C9-C14,0)</f>
        <v>0</v>
      </c>
      <c r="J16" s="143" t="e">
        <f>IF(J9+J14-D9-D14&gt;0,J9+J14-D9-D14,0)</f>
        <v>#REF!</v>
      </c>
      <c r="K16" s="143">
        <f>IF(K9+K14-E9-E14&gt;0,K9+K14-E9-E14,0)</f>
        <v>0</v>
      </c>
      <c r="L16" s="143">
        <f>IF(L9+L14-F9-F14&gt;0,L9+L14-F9-F14,0)</f>
        <v>0</v>
      </c>
    </row>
    <row r="17" spans="1:12" ht="17.5" customHeight="1" x14ac:dyDescent="0.25">
      <c r="A17" s="123" t="s">
        <v>328</v>
      </c>
      <c r="B17" s="124" t="s">
        <v>329</v>
      </c>
      <c r="C17" s="125">
        <f>C18+C22</f>
        <v>2068000</v>
      </c>
      <c r="D17" s="125">
        <f>D18+D22</f>
        <v>2689212</v>
      </c>
      <c r="E17" s="125">
        <f>E18+E22</f>
        <v>2691661</v>
      </c>
      <c r="F17" s="125">
        <f>F18+F22</f>
        <v>1100000</v>
      </c>
      <c r="G17" s="123" t="s">
        <v>328</v>
      </c>
      <c r="H17" s="126" t="s">
        <v>596</v>
      </c>
      <c r="I17" s="127">
        <f>I18+I22</f>
        <v>410430</v>
      </c>
      <c r="J17" s="127">
        <f>J18+J22</f>
        <v>711873</v>
      </c>
      <c r="K17" s="127">
        <f>K18+K22</f>
        <v>311873</v>
      </c>
      <c r="L17" s="127">
        <f>L18+L22</f>
        <v>197708</v>
      </c>
    </row>
    <row r="18" spans="1:12" ht="17.5" customHeight="1" x14ac:dyDescent="0.25">
      <c r="A18" s="134"/>
      <c r="B18" s="135" t="s">
        <v>597</v>
      </c>
      <c r="C18" s="135">
        <f>C19+C20+C21</f>
        <v>1300000</v>
      </c>
      <c r="D18" s="135">
        <f>D19+D20+D21</f>
        <v>1689212</v>
      </c>
      <c r="E18" s="135">
        <f>E19+E20+E21</f>
        <v>1691661</v>
      </c>
      <c r="F18" s="135">
        <f>F19+F20+F21</f>
        <v>1100000</v>
      </c>
      <c r="G18" s="136"/>
      <c r="H18" s="137" t="s">
        <v>598</v>
      </c>
      <c r="I18" s="135">
        <f>I19+I20+I21</f>
        <v>410430</v>
      </c>
      <c r="J18" s="135">
        <f>J19+J20+J21</f>
        <v>711873</v>
      </c>
      <c r="K18" s="135">
        <f>K19+K20+K21</f>
        <v>311873</v>
      </c>
      <c r="L18" s="135">
        <f>L19+L20+L21</f>
        <v>197708</v>
      </c>
    </row>
    <row r="19" spans="1:12" ht="17.5" customHeight="1" x14ac:dyDescent="0.25">
      <c r="A19" s="146" t="s">
        <v>311</v>
      </c>
      <c r="B19" s="133" t="s">
        <v>368</v>
      </c>
      <c r="C19" s="130">
        <f>+'1A. Fő bev'!F54</f>
        <v>800000</v>
      </c>
      <c r="D19" s="130">
        <f>+'1A. Fő bev'!J54</f>
        <v>887769</v>
      </c>
      <c r="E19" s="130">
        <f>+'1A. Fő bev'!R54</f>
        <v>887768</v>
      </c>
      <c r="F19" s="130">
        <f>+'1A. Fő bev'!V54</f>
        <v>1100000</v>
      </c>
      <c r="G19" s="146" t="s">
        <v>311</v>
      </c>
      <c r="H19" s="147" t="s">
        <v>599</v>
      </c>
      <c r="I19" s="148"/>
      <c r="J19" s="148"/>
      <c r="K19" s="148"/>
      <c r="L19" s="148">
        <f>+'1B. Fő kiad'!V27</f>
        <v>180645</v>
      </c>
    </row>
    <row r="20" spans="1:12" ht="17.5" customHeight="1" x14ac:dyDescent="0.25">
      <c r="A20" s="146" t="s">
        <v>322</v>
      </c>
      <c r="B20" s="133" t="s">
        <v>670</v>
      </c>
      <c r="C20" s="130">
        <f>+'1A. Fő bev'!F56</f>
        <v>500000</v>
      </c>
      <c r="D20" s="130">
        <f>+'1A. Fő bev'!J56</f>
        <v>500000</v>
      </c>
      <c r="E20" s="130">
        <f>+'1A. Fő bev'!R56</f>
        <v>502450</v>
      </c>
      <c r="F20" s="130">
        <f>+'1A. Fő bev'!V56</f>
        <v>0</v>
      </c>
      <c r="G20" s="146" t="s">
        <v>322</v>
      </c>
      <c r="H20" s="147" t="s">
        <v>1698</v>
      </c>
      <c r="I20" s="148">
        <f>+'1B. Fő kiad'!F30</f>
        <v>400000</v>
      </c>
      <c r="J20" s="148">
        <f>+'1B. Fő kiad'!J30</f>
        <v>400000</v>
      </c>
      <c r="K20" s="148">
        <f>+'1B. Fő kiad'!R32</f>
        <v>0</v>
      </c>
      <c r="L20" s="148">
        <f>+'1B. Fő kiad'!V32</f>
        <v>0</v>
      </c>
    </row>
    <row r="21" spans="1:12" ht="17.5" customHeight="1" x14ac:dyDescent="0.25">
      <c r="A21" s="783" t="s">
        <v>315</v>
      </c>
      <c r="B21" s="784" t="s">
        <v>1532</v>
      </c>
      <c r="C21" s="785">
        <f>+'1A. Fő bev'!F53</f>
        <v>0</v>
      </c>
      <c r="D21" s="785">
        <f>+'1A. Fő bev'!J53</f>
        <v>301443</v>
      </c>
      <c r="E21" s="785">
        <f>+'1A. Fő bev'!R53</f>
        <v>301443</v>
      </c>
      <c r="F21" s="785">
        <f>+'1A. Fő bev'!V53</f>
        <v>0</v>
      </c>
      <c r="G21" s="783" t="s">
        <v>315</v>
      </c>
      <c r="H21" s="786" t="s">
        <v>1532</v>
      </c>
      <c r="I21" s="148">
        <f>+'1B. Fő kiad'!F29</f>
        <v>10430</v>
      </c>
      <c r="J21" s="148">
        <f>+'1B. Fő kiad'!J29</f>
        <v>311873</v>
      </c>
      <c r="K21" s="148">
        <f>+'1B. Fő kiad'!R29</f>
        <v>311873</v>
      </c>
      <c r="L21" s="787">
        <f>+'1B. Fő kiad'!V29</f>
        <v>17063</v>
      </c>
    </row>
    <row r="22" spans="1:12" ht="17.5" customHeight="1" x14ac:dyDescent="0.25">
      <c r="A22" s="134"/>
      <c r="B22" s="135" t="s">
        <v>601</v>
      </c>
      <c r="C22" s="135">
        <f>C23+C24</f>
        <v>768000</v>
      </c>
      <c r="D22" s="135">
        <f t="shared" ref="D22:E22" si="12">D23+D24</f>
        <v>1000000</v>
      </c>
      <c r="E22" s="135">
        <f t="shared" si="12"/>
        <v>1000000</v>
      </c>
      <c r="F22" s="135">
        <f t="shared" ref="F22" si="13">F23+F24</f>
        <v>0</v>
      </c>
      <c r="G22" s="136"/>
      <c r="H22" s="137" t="s">
        <v>602</v>
      </c>
      <c r="I22" s="137">
        <f>I23</f>
        <v>0</v>
      </c>
      <c r="J22" s="137">
        <f t="shared" ref="J22:L22" si="14">J23</f>
        <v>0</v>
      </c>
      <c r="K22" s="137">
        <f t="shared" si="14"/>
        <v>0</v>
      </c>
      <c r="L22" s="137">
        <f t="shared" si="14"/>
        <v>0</v>
      </c>
    </row>
    <row r="23" spans="1:12" ht="17.5" customHeight="1" x14ac:dyDescent="0.25">
      <c r="A23" s="146" t="s">
        <v>311</v>
      </c>
      <c r="B23" s="133" t="s">
        <v>330</v>
      </c>
      <c r="C23" s="130">
        <f>+'1A. Fő bev'!F48</f>
        <v>768000</v>
      </c>
      <c r="D23" s="130">
        <f>+'1A. Fő bev'!J48</f>
        <v>1000000</v>
      </c>
      <c r="E23" s="130">
        <f>+'1A. Fő bev'!R48</f>
        <v>1000000</v>
      </c>
      <c r="F23" s="130">
        <f>+'1A. Fő bev'!V48</f>
        <v>0</v>
      </c>
      <c r="G23" s="146" t="s">
        <v>311</v>
      </c>
      <c r="H23" s="147" t="s">
        <v>599</v>
      </c>
      <c r="I23" s="148">
        <v>0</v>
      </c>
      <c r="J23" s="132">
        <v>0</v>
      </c>
      <c r="K23" s="132">
        <v>0</v>
      </c>
      <c r="L23" s="132">
        <v>0</v>
      </c>
    </row>
    <row r="24" spans="1:12" ht="17.5" customHeight="1" x14ac:dyDescent="0.25">
      <c r="A24" s="146" t="s">
        <v>322</v>
      </c>
      <c r="B24" s="133" t="s">
        <v>548</v>
      </c>
      <c r="C24" s="130">
        <f>+'1A. Fő bev'!F57</f>
        <v>0</v>
      </c>
      <c r="D24" s="130">
        <f>+'1A. Fő bev'!N57</f>
        <v>0</v>
      </c>
      <c r="E24" s="130">
        <f>+'1A. Fő bev'!R57</f>
        <v>0</v>
      </c>
      <c r="F24" s="130">
        <f>+'1A. Fő bev'!V57</f>
        <v>0</v>
      </c>
      <c r="G24" s="146" t="s">
        <v>322</v>
      </c>
      <c r="H24" s="147" t="s">
        <v>600</v>
      </c>
      <c r="I24" s="148">
        <v>0</v>
      </c>
      <c r="J24" s="132">
        <v>0</v>
      </c>
      <c r="K24" s="132">
        <v>0</v>
      </c>
      <c r="L24" s="132">
        <v>0</v>
      </c>
    </row>
    <row r="25" spans="1:12" ht="17.5" customHeight="1" x14ac:dyDescent="0.25">
      <c r="A25" s="149"/>
      <c r="B25" s="150" t="s">
        <v>333</v>
      </c>
      <c r="C25" s="151">
        <f>C15+C17</f>
        <v>6375234</v>
      </c>
      <c r="D25" s="151">
        <f>D15+D17</f>
        <v>7504912</v>
      </c>
      <c r="E25" s="151">
        <f>E15+E17</f>
        <v>7599048</v>
      </c>
      <c r="F25" s="151">
        <f>F15+F17</f>
        <v>5771971.0810000002</v>
      </c>
      <c r="G25" s="149"/>
      <c r="H25" s="150" t="s">
        <v>344</v>
      </c>
      <c r="I25" s="152">
        <f>I15+I17</f>
        <v>6375233.4400000004</v>
      </c>
      <c r="J25" s="152" t="e">
        <f>J15+J17+1</f>
        <v>#REF!</v>
      </c>
      <c r="K25" s="152">
        <f>K15+K17</f>
        <v>6470049</v>
      </c>
      <c r="L25" s="152">
        <f>L15+L17</f>
        <v>5771970.8443149608</v>
      </c>
    </row>
    <row r="26" spans="1:12" ht="17.5" customHeight="1" x14ac:dyDescent="0.25">
      <c r="A26" s="115"/>
      <c r="B26" s="116"/>
      <c r="C26" s="117"/>
      <c r="D26" s="117"/>
      <c r="E26" s="117"/>
      <c r="F26" s="117"/>
      <c r="G26" s="115"/>
      <c r="H26" s="118"/>
      <c r="I26" s="119"/>
      <c r="J26" s="110"/>
      <c r="K26" s="395"/>
      <c r="L26" s="395"/>
    </row>
    <row r="27" spans="1:12" ht="17.5" customHeight="1" x14ac:dyDescent="0.25">
      <c r="A27" s="33"/>
      <c r="B27" s="34"/>
      <c r="C27" s="35"/>
      <c r="D27" s="35"/>
      <c r="E27" s="35"/>
      <c r="F27" s="35"/>
      <c r="G27" s="36"/>
      <c r="H27" s="92"/>
      <c r="I27" s="104"/>
      <c r="J27" s="111"/>
      <c r="K27" s="111"/>
      <c r="L27" s="111"/>
    </row>
    <row r="28" spans="1:12" ht="17.5" customHeight="1" x14ac:dyDescent="0.25">
      <c r="A28" s="36"/>
      <c r="B28" s="37"/>
      <c r="C28" s="45"/>
      <c r="D28" s="45"/>
      <c r="E28" s="45"/>
      <c r="F28" s="45"/>
      <c r="G28" s="36"/>
      <c r="H28" s="103"/>
      <c r="I28" s="46"/>
      <c r="J28" s="110"/>
      <c r="K28" s="110"/>
      <c r="L28" s="110"/>
    </row>
    <row r="29" spans="1:12" ht="17.5" customHeight="1" x14ac:dyDescent="0.25">
      <c r="A29" s="36"/>
      <c r="B29" s="37"/>
      <c r="C29" s="45"/>
      <c r="D29" s="45"/>
      <c r="E29" s="45"/>
      <c r="F29" s="45"/>
      <c r="G29" s="36"/>
      <c r="H29" s="103"/>
      <c r="I29" s="46"/>
      <c r="J29" s="110"/>
      <c r="K29" s="110"/>
      <c r="L29" s="110"/>
    </row>
    <row r="30" spans="1:12" ht="17.5" customHeight="1" x14ac:dyDescent="0.25">
      <c r="A30" s="36"/>
      <c r="B30" s="37"/>
      <c r="C30" s="45"/>
      <c r="D30" s="45"/>
      <c r="E30" s="45"/>
      <c r="F30" s="45"/>
      <c r="G30" s="36"/>
      <c r="H30" s="103"/>
      <c r="I30" s="46"/>
      <c r="J30" s="110"/>
      <c r="K30" s="110"/>
      <c r="L30" s="110"/>
    </row>
    <row r="31" spans="1:12" ht="17.5" customHeight="1" x14ac:dyDescent="0.25">
      <c r="A31" s="36"/>
      <c r="B31" s="37"/>
      <c r="C31" s="45"/>
      <c r="D31" s="45"/>
      <c r="E31" s="45"/>
      <c r="F31" s="45"/>
      <c r="G31" s="36"/>
      <c r="H31" s="105"/>
      <c r="I31" s="46"/>
      <c r="J31" s="110"/>
      <c r="K31" s="110"/>
      <c r="L31" s="110"/>
    </row>
    <row r="32" spans="1:12" ht="17.5" customHeight="1" x14ac:dyDescent="0.25">
      <c r="A32" s="36"/>
      <c r="B32" s="37"/>
      <c r="C32" s="45"/>
      <c r="D32" s="45"/>
      <c r="E32" s="45"/>
      <c r="F32" s="45"/>
      <c r="G32" s="36"/>
      <c r="H32" s="105"/>
      <c r="I32" s="46"/>
      <c r="J32" s="110"/>
      <c r="K32" s="110"/>
      <c r="L32" s="110"/>
    </row>
    <row r="33" spans="1:12" ht="17.5" customHeight="1" x14ac:dyDescent="0.25">
      <c r="A33" s="36"/>
      <c r="B33" s="37"/>
      <c r="C33" s="45"/>
      <c r="D33" s="45"/>
      <c r="E33" s="45"/>
      <c r="F33" s="45"/>
      <c r="G33" s="36"/>
      <c r="H33" s="105"/>
      <c r="I33" s="46"/>
      <c r="J33" s="110"/>
      <c r="K33" s="110"/>
      <c r="L33" s="110"/>
    </row>
    <row r="34" spans="1:12" ht="17.5" customHeight="1" x14ac:dyDescent="0.25">
      <c r="A34" s="36"/>
      <c r="B34" s="37"/>
      <c r="C34" s="45"/>
      <c r="D34" s="45"/>
      <c r="E34" s="45"/>
      <c r="F34" s="45"/>
      <c r="G34" s="36"/>
      <c r="H34" s="103"/>
      <c r="I34" s="46"/>
      <c r="J34" s="110"/>
      <c r="K34" s="110"/>
      <c r="L34" s="110"/>
    </row>
    <row r="35" spans="1:12" ht="17.5" customHeight="1" x14ac:dyDescent="0.25">
      <c r="A35" s="36"/>
      <c r="B35" s="37"/>
      <c r="C35" s="45"/>
      <c r="D35" s="45"/>
      <c r="E35" s="45"/>
      <c r="F35" s="45"/>
      <c r="G35" s="36"/>
      <c r="H35" s="103"/>
      <c r="I35" s="46"/>
      <c r="J35" s="110"/>
      <c r="K35" s="110"/>
      <c r="L35" s="110"/>
    </row>
    <row r="36" spans="1:12" ht="17.5" customHeight="1" x14ac:dyDescent="0.25">
      <c r="A36" s="33"/>
      <c r="B36" s="34"/>
      <c r="C36" s="35"/>
      <c r="D36" s="35"/>
      <c r="E36" s="35"/>
      <c r="F36" s="35"/>
      <c r="G36" s="36"/>
      <c r="H36" s="103"/>
      <c r="I36" s="46"/>
      <c r="J36" s="110"/>
      <c r="K36" s="110"/>
      <c r="L36" s="110"/>
    </row>
    <row r="37" spans="1:12" ht="17.5" customHeight="1" x14ac:dyDescent="0.25">
      <c r="A37" s="36"/>
      <c r="B37" s="37"/>
      <c r="C37" s="45"/>
      <c r="D37" s="45"/>
      <c r="E37" s="45"/>
      <c r="F37" s="45"/>
      <c r="G37" s="36"/>
      <c r="H37" s="103"/>
      <c r="I37" s="46"/>
      <c r="J37" s="110"/>
      <c r="K37" s="110"/>
      <c r="L37" s="110"/>
    </row>
    <row r="38" spans="1:12" ht="17.5" customHeight="1" x14ac:dyDescent="0.25">
      <c r="A38" s="36"/>
      <c r="B38" s="37"/>
      <c r="C38" s="45"/>
      <c r="D38" s="45"/>
      <c r="E38" s="45"/>
      <c r="F38" s="45"/>
      <c r="G38" s="36"/>
      <c r="H38" s="103"/>
      <c r="I38" s="46"/>
      <c r="J38" s="110"/>
      <c r="K38" s="110"/>
      <c r="L38" s="110"/>
    </row>
    <row r="39" spans="1:12" ht="17.5" customHeight="1" x14ac:dyDescent="0.25">
      <c r="G39" s="36"/>
      <c r="H39" s="103"/>
      <c r="I39" s="46"/>
      <c r="J39" s="110"/>
      <c r="K39" s="110"/>
      <c r="L39" s="110"/>
    </row>
    <row r="40" spans="1:12" ht="17.5" customHeight="1" x14ac:dyDescent="0.25">
      <c r="G40" s="36"/>
      <c r="H40" s="103"/>
      <c r="I40" s="46"/>
      <c r="J40" s="110"/>
      <c r="K40" s="110"/>
      <c r="L40" s="110"/>
    </row>
    <row r="41" spans="1:12" ht="17.5" customHeight="1" x14ac:dyDescent="0.25">
      <c r="A41" s="36"/>
      <c r="B41" s="39"/>
      <c r="C41" s="38"/>
      <c r="D41" s="38"/>
      <c r="E41" s="38"/>
      <c r="F41" s="38"/>
      <c r="G41" s="36"/>
      <c r="H41" s="103"/>
      <c r="I41" s="46"/>
      <c r="J41" s="110"/>
      <c r="K41" s="110"/>
      <c r="L41" s="110"/>
    </row>
    <row r="42" spans="1:12" ht="17.5" customHeight="1" x14ac:dyDescent="0.25">
      <c r="A42" s="36"/>
      <c r="B42" s="39"/>
      <c r="C42" s="38"/>
      <c r="D42" s="38"/>
      <c r="E42" s="38"/>
      <c r="F42" s="38"/>
      <c r="G42" s="36"/>
      <c r="H42" s="103"/>
      <c r="I42" s="46"/>
      <c r="J42" s="110"/>
      <c r="K42" s="110"/>
      <c r="L42" s="110"/>
    </row>
    <row r="43" spans="1:12" ht="17.5" customHeight="1" x14ac:dyDescent="0.25">
      <c r="A43" s="36"/>
      <c r="B43" s="39"/>
      <c r="C43" s="38"/>
      <c r="D43" s="38"/>
      <c r="E43" s="38"/>
      <c r="F43" s="38"/>
      <c r="G43" s="36"/>
      <c r="H43" s="92"/>
      <c r="I43" s="93"/>
      <c r="J43" s="112"/>
      <c r="K43" s="112"/>
      <c r="L43" s="112"/>
    </row>
    <row r="44" spans="1:12" ht="17.5" customHeight="1" x14ac:dyDescent="0.25">
      <c r="G44" s="36"/>
      <c r="H44" s="103"/>
      <c r="I44" s="46"/>
      <c r="J44" s="110"/>
      <c r="K44" s="110"/>
      <c r="L44" s="110"/>
    </row>
    <row r="45" spans="1:12" ht="17.5" customHeight="1" x14ac:dyDescent="0.25">
      <c r="A45" s="36"/>
      <c r="B45" s="39"/>
      <c r="C45" s="38"/>
      <c r="D45" s="38"/>
      <c r="E45" s="38"/>
      <c r="F45" s="38"/>
      <c r="G45" s="36"/>
      <c r="H45" s="103"/>
      <c r="I45" s="46"/>
      <c r="J45" s="110"/>
      <c r="K45" s="110"/>
      <c r="L45" s="110"/>
    </row>
    <row r="46" spans="1:12" ht="17.5" customHeight="1" x14ac:dyDescent="0.25">
      <c r="A46" s="36"/>
      <c r="B46" s="39"/>
      <c r="C46" s="38"/>
      <c r="D46" s="109"/>
      <c r="E46" s="109"/>
      <c r="F46" s="109"/>
    </row>
    <row r="47" spans="1:12" ht="17.5" customHeight="1" x14ac:dyDescent="0.25">
      <c r="A47" s="36"/>
      <c r="B47" s="39"/>
      <c r="C47" s="38"/>
      <c r="D47" s="109"/>
      <c r="E47" s="109"/>
      <c r="F47" s="109"/>
    </row>
    <row r="48" spans="1:12" ht="17.5" customHeight="1" x14ac:dyDescent="0.25">
      <c r="A48" s="36"/>
      <c r="B48" s="39"/>
      <c r="C48" s="38"/>
      <c r="D48" s="109"/>
      <c r="E48" s="109"/>
      <c r="F48" s="109"/>
    </row>
    <row r="49" spans="1:12" ht="17.5" customHeight="1" x14ac:dyDescent="0.25"/>
    <row r="50" spans="1:12" ht="17.5" customHeight="1" x14ac:dyDescent="0.25">
      <c r="A50" s="36"/>
      <c r="B50" s="39"/>
      <c r="C50" s="38"/>
      <c r="D50" s="38"/>
      <c r="E50" s="38"/>
      <c r="F50" s="38"/>
      <c r="G50" s="36"/>
      <c r="H50" s="92"/>
      <c r="I50" s="93"/>
      <c r="J50" s="112"/>
      <c r="K50" s="112"/>
      <c r="L50" s="112"/>
    </row>
    <row r="51" spans="1:12" ht="17.5" customHeight="1" x14ac:dyDescent="0.25">
      <c r="A51" s="36"/>
      <c r="B51" s="39"/>
      <c r="C51" s="38"/>
      <c r="D51" s="38"/>
      <c r="E51" s="38"/>
      <c r="F51" s="38"/>
      <c r="G51" s="36"/>
      <c r="H51" s="92"/>
      <c r="I51" s="93"/>
      <c r="J51" s="112"/>
      <c r="K51" s="112"/>
      <c r="L51" s="112"/>
    </row>
    <row r="52" spans="1:12" ht="17.5" customHeight="1" x14ac:dyDescent="0.25">
      <c r="G52" s="36"/>
      <c r="H52" s="92"/>
      <c r="I52" s="93"/>
      <c r="J52" s="112"/>
      <c r="K52" s="112"/>
      <c r="L52" s="112"/>
    </row>
    <row r="53" spans="1:12" ht="17.5" customHeight="1" x14ac:dyDescent="0.25">
      <c r="G53" s="36"/>
      <c r="H53" s="92"/>
      <c r="I53" s="93"/>
      <c r="J53" s="112"/>
      <c r="K53" s="112"/>
      <c r="L53" s="112"/>
    </row>
    <row r="54" spans="1:12" ht="17.5" customHeight="1" x14ac:dyDescent="0.25">
      <c r="G54" s="36"/>
      <c r="H54" s="103"/>
      <c r="I54" s="46"/>
      <c r="J54" s="110"/>
      <c r="K54" s="110"/>
      <c r="L54" s="110"/>
    </row>
    <row r="55" spans="1:12" ht="17.5" customHeight="1" x14ac:dyDescent="0.25">
      <c r="A55" s="36"/>
      <c r="B55" s="39"/>
      <c r="C55" s="38"/>
      <c r="D55" s="38"/>
      <c r="E55" s="38"/>
      <c r="F55" s="38"/>
      <c r="G55" s="36"/>
      <c r="H55" s="103"/>
      <c r="I55" s="46"/>
      <c r="J55" s="110"/>
      <c r="K55" s="110"/>
      <c r="L55" s="110"/>
    </row>
    <row r="56" spans="1:12" ht="17.5" customHeight="1" x14ac:dyDescent="0.25">
      <c r="A56" s="36"/>
      <c r="B56" s="95"/>
      <c r="C56" s="38"/>
      <c r="D56" s="38"/>
      <c r="E56" s="38"/>
      <c r="F56" s="38"/>
      <c r="G56" s="36"/>
      <c r="H56" s="92"/>
      <c r="I56" s="93"/>
      <c r="J56" s="112"/>
      <c r="K56" s="112"/>
      <c r="L56" s="112"/>
    </row>
    <row r="57" spans="1:12" ht="17.5" customHeight="1" x14ac:dyDescent="0.25">
      <c r="A57" s="36"/>
      <c r="B57" s="95"/>
      <c r="C57" s="38"/>
      <c r="D57" s="38"/>
      <c r="E57" s="38"/>
      <c r="F57" s="38"/>
      <c r="G57" s="36"/>
      <c r="H57" s="103"/>
      <c r="I57" s="46"/>
      <c r="J57" s="110"/>
      <c r="K57" s="110"/>
      <c r="L57" s="110"/>
    </row>
    <row r="58" spans="1:12" ht="17.5" customHeight="1" x14ac:dyDescent="0.25">
      <c r="A58" s="36"/>
      <c r="B58" s="39"/>
      <c r="C58" s="38"/>
      <c r="D58" s="38"/>
      <c r="E58" s="38"/>
      <c r="F58" s="38"/>
      <c r="G58" s="36"/>
      <c r="H58" s="103"/>
      <c r="I58" s="46"/>
      <c r="J58" s="110"/>
      <c r="K58" s="110"/>
      <c r="L58" s="110"/>
    </row>
    <row r="59" spans="1:12" ht="17.5" customHeight="1" x14ac:dyDescent="0.25">
      <c r="A59" s="36"/>
      <c r="B59" s="39"/>
      <c r="C59" s="38"/>
      <c r="D59" s="38"/>
      <c r="E59" s="38"/>
      <c r="F59" s="38"/>
      <c r="G59" s="36"/>
      <c r="H59" s="92"/>
      <c r="I59" s="93"/>
      <c r="J59" s="112"/>
      <c r="K59" s="112"/>
      <c r="L59" s="112"/>
    </row>
    <row r="60" spans="1:12" ht="17.5" customHeight="1" x14ac:dyDescent="0.25">
      <c r="A60" s="36"/>
      <c r="B60" s="39"/>
      <c r="C60" s="38"/>
      <c r="D60" s="109"/>
      <c r="E60" s="109"/>
      <c r="F60" s="109"/>
    </row>
    <row r="61" spans="1:12" ht="17.5" customHeight="1" x14ac:dyDescent="0.25">
      <c r="A61" s="36"/>
      <c r="B61" s="39"/>
      <c r="C61" s="38"/>
      <c r="D61" s="109"/>
      <c r="E61" s="109"/>
      <c r="F61" s="109"/>
    </row>
    <row r="62" spans="1:12" ht="17.5" customHeight="1" x14ac:dyDescent="0.25"/>
    <row r="63" spans="1:12" ht="17.5" customHeight="1" x14ac:dyDescent="0.25">
      <c r="A63" s="36"/>
      <c r="B63" s="39"/>
      <c r="C63" s="38"/>
      <c r="D63" s="38"/>
      <c r="E63" s="38"/>
      <c r="F63" s="38"/>
      <c r="G63" s="36"/>
      <c r="H63" s="106"/>
      <c r="I63" s="107"/>
      <c r="J63" s="113"/>
      <c r="K63" s="113"/>
      <c r="L63" s="113"/>
    </row>
    <row r="64" spans="1:12" ht="17.5" customHeight="1" x14ac:dyDescent="0.25">
      <c r="A64" s="36"/>
      <c r="B64" s="39"/>
      <c r="C64" s="38"/>
      <c r="D64" s="38"/>
      <c r="E64" s="38"/>
      <c r="F64" s="38"/>
      <c r="G64" s="36"/>
      <c r="H64" s="103"/>
      <c r="I64" s="108"/>
      <c r="J64" s="114"/>
      <c r="K64" s="114"/>
      <c r="L64" s="114"/>
    </row>
    <row r="65" spans="7:12" ht="17.5" customHeight="1" x14ac:dyDescent="0.25">
      <c r="G65" s="36"/>
      <c r="H65" s="103"/>
      <c r="I65" s="108"/>
      <c r="J65" s="114"/>
      <c r="K65" s="114"/>
      <c r="L65" s="114"/>
    </row>
    <row r="66" spans="7:12" ht="17.5" customHeight="1" x14ac:dyDescent="0.25">
      <c r="G66" s="36"/>
      <c r="H66" s="106"/>
      <c r="I66" s="107"/>
      <c r="J66" s="113"/>
      <c r="K66" s="113"/>
      <c r="L66" s="113"/>
    </row>
    <row r="67" spans="7:12" ht="17.5" customHeight="1" x14ac:dyDescent="0.25">
      <c r="G67" s="36"/>
      <c r="H67" s="106"/>
      <c r="I67" s="107"/>
      <c r="J67" s="113"/>
      <c r="K67" s="113"/>
      <c r="L67" s="113"/>
    </row>
    <row r="68" spans="7:12" ht="17.5" customHeight="1" x14ac:dyDescent="0.25">
      <c r="G68" s="36"/>
      <c r="H68" s="106"/>
      <c r="I68" s="107"/>
      <c r="J68" s="113"/>
      <c r="K68" s="113"/>
      <c r="L68" s="113"/>
    </row>
    <row r="69" spans="7:12" ht="17.5" customHeight="1" x14ac:dyDescent="0.25">
      <c r="G69" s="36"/>
      <c r="H69" s="106"/>
      <c r="I69" s="107"/>
      <c r="J69" s="113"/>
      <c r="K69" s="113"/>
      <c r="L69" s="113"/>
    </row>
    <row r="70" spans="7:12" ht="17.5" customHeight="1" x14ac:dyDescent="0.25">
      <c r="G70" s="36"/>
      <c r="H70" s="106"/>
      <c r="I70" s="107"/>
      <c r="J70" s="113"/>
      <c r="K70" s="113"/>
      <c r="L70" s="113"/>
    </row>
    <row r="71" spans="7:12" ht="17.5" customHeight="1" x14ac:dyDescent="0.25"/>
    <row r="72" spans="7:12" ht="17.5" customHeight="1" x14ac:dyDescent="0.25">
      <c r="G72" s="36"/>
      <c r="H72" s="106"/>
      <c r="I72" s="107"/>
      <c r="J72" s="113"/>
      <c r="K72" s="113"/>
      <c r="L72" s="113"/>
    </row>
    <row r="73" spans="7:12" ht="17.5" customHeight="1" x14ac:dyDescent="0.25">
      <c r="G73" s="36"/>
      <c r="H73" s="106"/>
      <c r="I73" s="107"/>
      <c r="J73" s="113"/>
      <c r="K73" s="113"/>
      <c r="L73" s="113"/>
    </row>
    <row r="74" spans="7:12" ht="17.5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70" orientation="landscape" r:id="rId1"/>
  <headerFooter>
    <oddHeader>&amp;C&amp;"-,Félkövér"&amp;16Törökbálint Város Önkormányzat költségvetési mérlege 2019.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46"/>
  <sheetViews>
    <sheetView view="pageBreakPreview" zoomScale="75" zoomScaleNormal="100" zoomScaleSheetLayoutView="75" workbookViewId="0">
      <selection activeCell="R34" sqref="R34"/>
    </sheetView>
  </sheetViews>
  <sheetFormatPr defaultRowHeight="14.3" x14ac:dyDescent="0.25"/>
  <cols>
    <col min="1" max="1" width="7.125" style="31" customWidth="1"/>
    <col min="2" max="2" width="53.875" customWidth="1"/>
    <col min="3" max="3" width="10.375" hidden="1" customWidth="1"/>
    <col min="4" max="4" width="9" hidden="1" customWidth="1"/>
    <col min="5" max="5" width="9.375" hidden="1" customWidth="1"/>
    <col min="6" max="7" width="9" hidden="1" customWidth="1"/>
    <col min="8" max="8" width="9.625" hidden="1" customWidth="1"/>
    <col min="9" max="9" width="10.375" hidden="1" customWidth="1"/>
    <col min="10" max="11" width="9" hidden="1" customWidth="1"/>
    <col min="12" max="12" width="10.375" hidden="1" customWidth="1"/>
    <col min="13" max="14" width="9" hidden="1" customWidth="1"/>
    <col min="15" max="15" width="10.375" customWidth="1"/>
  </cols>
  <sheetData>
    <row r="1" spans="1:20" ht="14.95" x14ac:dyDescent="0.25">
      <c r="E1" s="32"/>
      <c r="K1" s="32" t="s">
        <v>302</v>
      </c>
      <c r="N1" s="32"/>
      <c r="Q1" s="32"/>
      <c r="T1" s="32" t="s">
        <v>302</v>
      </c>
    </row>
    <row r="2" spans="1:20" ht="20.399999999999999" customHeight="1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</row>
    <row r="3" spans="1:20" ht="19.2" customHeight="1" x14ac:dyDescent="0.25">
      <c r="A3" s="346" t="s">
        <v>304</v>
      </c>
      <c r="B3" s="346" t="s">
        <v>1504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</row>
    <row r="4" spans="1:20" ht="48.1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2.8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349">
        <v>24</v>
      </c>
      <c r="D6" s="349"/>
      <c r="E6" s="349">
        <f t="shared" ref="E6:E46" si="0">SUM(C6:D6)</f>
        <v>24</v>
      </c>
      <c r="F6" s="349">
        <v>24</v>
      </c>
      <c r="G6" s="349"/>
      <c r="H6" s="349">
        <f t="shared" ref="H6:H46" si="1">SUM(F6:G6)</f>
        <v>24</v>
      </c>
      <c r="I6" s="349">
        <v>24</v>
      </c>
      <c r="J6" s="349"/>
      <c r="K6" s="349">
        <f t="shared" ref="K6:K46" si="2">SUM(I6:J6)</f>
        <v>24</v>
      </c>
      <c r="L6" s="349">
        <v>24</v>
      </c>
      <c r="M6" s="349"/>
      <c r="N6" s="349">
        <f t="shared" ref="N6:N46" si="3">SUM(L6:M6)</f>
        <v>24</v>
      </c>
      <c r="O6" s="349">
        <v>24</v>
      </c>
      <c r="P6" s="349"/>
      <c r="Q6" s="349">
        <f t="shared" ref="Q6:Q46" si="4">SUM(O6:P6)</f>
        <v>24</v>
      </c>
      <c r="R6" s="349">
        <v>24</v>
      </c>
      <c r="S6" s="349"/>
      <c r="T6" s="349">
        <f t="shared" ref="T6:T46" si="5">SUM(R6:S6)</f>
        <v>24</v>
      </c>
    </row>
    <row r="7" spans="1:20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349"/>
      <c r="P7" s="349"/>
      <c r="Q7" s="349">
        <f t="shared" si="4"/>
        <v>0</v>
      </c>
      <c r="R7" s="349"/>
      <c r="S7" s="349"/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4786</v>
      </c>
      <c r="D8" s="352">
        <f t="shared" si="6"/>
        <v>0</v>
      </c>
      <c r="E8" s="352">
        <f t="shared" si="0"/>
        <v>4786</v>
      </c>
      <c r="F8" s="352">
        <f t="shared" ref="F8:G8" si="7">F9+F11+F20</f>
        <v>4786</v>
      </c>
      <c r="G8" s="352">
        <f t="shared" si="7"/>
        <v>0</v>
      </c>
      <c r="H8" s="352">
        <f t="shared" si="1"/>
        <v>4786</v>
      </c>
      <c r="I8" s="352">
        <f t="shared" ref="I8:J8" si="8">I9+I11+I20</f>
        <v>4786</v>
      </c>
      <c r="J8" s="352">
        <f t="shared" si="8"/>
        <v>0</v>
      </c>
      <c r="K8" s="352">
        <f t="shared" si="2"/>
        <v>4786</v>
      </c>
      <c r="L8" s="352">
        <f t="shared" ref="L8:M8" si="9">L9+L11+L20</f>
        <v>7076</v>
      </c>
      <c r="M8" s="352">
        <f t="shared" si="9"/>
        <v>0</v>
      </c>
      <c r="N8" s="352">
        <f t="shared" si="3"/>
        <v>7076</v>
      </c>
      <c r="O8" s="352">
        <f t="shared" ref="O8:P8" si="10">O9+O11+O20</f>
        <v>7010</v>
      </c>
      <c r="P8" s="352">
        <f t="shared" si="10"/>
        <v>0</v>
      </c>
      <c r="Q8" s="352">
        <f t="shared" si="4"/>
        <v>7010</v>
      </c>
      <c r="R8" s="352">
        <f t="shared" ref="R8:S8" si="11">R9+R11+R20</f>
        <v>7010</v>
      </c>
      <c r="S8" s="352">
        <f t="shared" si="11"/>
        <v>0</v>
      </c>
      <c r="T8" s="352">
        <f t="shared" si="5"/>
        <v>7010</v>
      </c>
    </row>
    <row r="9" spans="1:20" x14ac:dyDescent="0.25">
      <c r="A9" s="353" t="s">
        <v>311</v>
      </c>
      <c r="B9" s="354" t="s">
        <v>312</v>
      </c>
      <c r="C9" s="355">
        <f t="shared" ref="C9:S9" si="12">C10</f>
        <v>0</v>
      </c>
      <c r="D9" s="355">
        <f t="shared" si="12"/>
        <v>0</v>
      </c>
      <c r="E9" s="355">
        <f t="shared" si="0"/>
        <v>0</v>
      </c>
      <c r="F9" s="355">
        <f t="shared" si="12"/>
        <v>0</v>
      </c>
      <c r="G9" s="355">
        <f t="shared" si="12"/>
        <v>0</v>
      </c>
      <c r="H9" s="355">
        <f t="shared" si="1"/>
        <v>0</v>
      </c>
      <c r="I9" s="355">
        <f t="shared" si="12"/>
        <v>0</v>
      </c>
      <c r="J9" s="35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si="12"/>
        <v>0</v>
      </c>
      <c r="S9" s="355">
        <f t="shared" si="12"/>
        <v>0</v>
      </c>
      <c r="T9" s="355">
        <f t="shared" si="5"/>
        <v>0</v>
      </c>
    </row>
    <row r="10" spans="1:20" ht="30.25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3">C12+C13+C14+C15+C16+C17+C18+C19</f>
        <v>4786</v>
      </c>
      <c r="D11" s="355">
        <f t="shared" si="13"/>
        <v>0</v>
      </c>
      <c r="E11" s="355">
        <f t="shared" si="0"/>
        <v>4786</v>
      </c>
      <c r="F11" s="355">
        <f t="shared" ref="F11:G11" si="14">F12+F13+F14+F15+F16+F17+F18+F19</f>
        <v>4786</v>
      </c>
      <c r="G11" s="355">
        <f t="shared" si="14"/>
        <v>0</v>
      </c>
      <c r="H11" s="355">
        <f t="shared" si="1"/>
        <v>4786</v>
      </c>
      <c r="I11" s="355">
        <f t="shared" ref="I11:J11" si="15">I12+I13+I14+I15+I16+I17+I18+I19</f>
        <v>4786</v>
      </c>
      <c r="J11" s="355">
        <f t="shared" si="15"/>
        <v>0</v>
      </c>
      <c r="K11" s="355">
        <f t="shared" si="2"/>
        <v>4786</v>
      </c>
      <c r="L11" s="355">
        <f t="shared" ref="L11:M11" si="16">L12+L13+L14+L15+L16+L17+L18+L19</f>
        <v>7076</v>
      </c>
      <c r="M11" s="355">
        <f t="shared" si="16"/>
        <v>0</v>
      </c>
      <c r="N11" s="355">
        <f t="shared" si="3"/>
        <v>7076</v>
      </c>
      <c r="O11" s="355">
        <f t="shared" ref="O11:P11" si="17">O12+O13+O14+O15+O16+O17+O18+O19</f>
        <v>7010</v>
      </c>
      <c r="P11" s="355">
        <f t="shared" si="17"/>
        <v>0</v>
      </c>
      <c r="Q11" s="355">
        <f t="shared" si="4"/>
        <v>7010</v>
      </c>
      <c r="R11" s="355">
        <f t="shared" ref="R11:S11" si="18">R12+R13+R14+R15+R16+R17+R18+R19</f>
        <v>7010</v>
      </c>
      <c r="S11" s="355">
        <f t="shared" si="18"/>
        <v>0</v>
      </c>
      <c r="T11" s="355">
        <f t="shared" si="5"/>
        <v>7010</v>
      </c>
    </row>
    <row r="12" spans="1:20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273">
        <v>0</v>
      </c>
      <c r="P13" s="273">
        <v>0</v>
      </c>
      <c r="Q13" s="273">
        <f t="shared" si="4"/>
        <v>0</v>
      </c>
      <c r="R13" s="273">
        <v>0</v>
      </c>
      <c r="S13" s="273">
        <v>0</v>
      </c>
      <c r="T13" s="273">
        <f t="shared" si="5"/>
        <v>0</v>
      </c>
    </row>
    <row r="14" spans="1:20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</row>
    <row r="15" spans="1:20" x14ac:dyDescent="0.25">
      <c r="A15" s="392"/>
      <c r="B15" s="356" t="s">
        <v>664</v>
      </c>
      <c r="C15" s="273">
        <v>4300</v>
      </c>
      <c r="D15" s="273">
        <v>0</v>
      </c>
      <c r="E15" s="273">
        <f t="shared" si="0"/>
        <v>4300</v>
      </c>
      <c r="F15" s="273">
        <v>4300</v>
      </c>
      <c r="G15" s="273">
        <v>0</v>
      </c>
      <c r="H15" s="273">
        <f t="shared" si="1"/>
        <v>4300</v>
      </c>
      <c r="I15" s="273">
        <v>4300</v>
      </c>
      <c r="J15" s="273">
        <v>0</v>
      </c>
      <c r="K15" s="273">
        <f t="shared" si="2"/>
        <v>4300</v>
      </c>
      <c r="L15" s="273">
        <v>6275</v>
      </c>
      <c r="M15" s="273">
        <v>0</v>
      </c>
      <c r="N15" s="273">
        <f t="shared" si="3"/>
        <v>6275</v>
      </c>
      <c r="O15" s="273">
        <v>6300</v>
      </c>
      <c r="P15" s="273">
        <v>0</v>
      </c>
      <c r="Q15" s="273">
        <f t="shared" si="4"/>
        <v>6300</v>
      </c>
      <c r="R15" s="273">
        <v>6300</v>
      </c>
      <c r="S15" s="273">
        <v>0</v>
      </c>
      <c r="T15" s="273">
        <f t="shared" si="5"/>
        <v>6300</v>
      </c>
    </row>
    <row r="16" spans="1:20" x14ac:dyDescent="0.25">
      <c r="A16" s="392"/>
      <c r="B16" s="356" t="s">
        <v>665</v>
      </c>
      <c r="C16" s="273">
        <v>486</v>
      </c>
      <c r="D16" s="273">
        <v>0</v>
      </c>
      <c r="E16" s="273">
        <f t="shared" si="0"/>
        <v>486</v>
      </c>
      <c r="F16" s="273">
        <v>486</v>
      </c>
      <c r="G16" s="273">
        <v>0</v>
      </c>
      <c r="H16" s="273">
        <f t="shared" si="1"/>
        <v>486</v>
      </c>
      <c r="I16" s="273">
        <v>486</v>
      </c>
      <c r="J16" s="273">
        <v>0</v>
      </c>
      <c r="K16" s="273">
        <f t="shared" si="2"/>
        <v>486</v>
      </c>
      <c r="L16" s="273">
        <v>708</v>
      </c>
      <c r="M16" s="273">
        <v>0</v>
      </c>
      <c r="N16" s="273">
        <f t="shared" si="3"/>
        <v>708</v>
      </c>
      <c r="O16" s="273">
        <v>710</v>
      </c>
      <c r="P16" s="273">
        <v>0</v>
      </c>
      <c r="Q16" s="273">
        <f t="shared" si="4"/>
        <v>710</v>
      </c>
      <c r="R16" s="273">
        <v>710</v>
      </c>
      <c r="S16" s="273">
        <v>0</v>
      </c>
      <c r="T16" s="273">
        <f t="shared" si="5"/>
        <v>710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93</v>
      </c>
      <c r="M19" s="273">
        <v>0</v>
      </c>
      <c r="N19" s="273">
        <f t="shared" si="3"/>
        <v>93</v>
      </c>
      <c r="O19" s="273">
        <v>0</v>
      </c>
      <c r="P19" s="273">
        <v>0</v>
      </c>
      <c r="Q19" s="273">
        <f t="shared" si="4"/>
        <v>0</v>
      </c>
      <c r="R19" s="273">
        <v>0</v>
      </c>
      <c r="S19" s="273">
        <v>0</v>
      </c>
      <c r="T19" s="273">
        <f t="shared" si="5"/>
        <v>0</v>
      </c>
    </row>
    <row r="20" spans="1:20" x14ac:dyDescent="0.25">
      <c r="A20" s="353" t="s">
        <v>315</v>
      </c>
      <c r="B20" s="354" t="s">
        <v>316</v>
      </c>
      <c r="C20" s="355">
        <f t="shared" ref="C20:S20" si="19">SUM(C21:C21)</f>
        <v>0</v>
      </c>
      <c r="D20" s="355">
        <f t="shared" si="19"/>
        <v>0</v>
      </c>
      <c r="E20" s="355">
        <f t="shared" si="0"/>
        <v>0</v>
      </c>
      <c r="F20" s="355">
        <f t="shared" si="19"/>
        <v>0</v>
      </c>
      <c r="G20" s="355">
        <f t="shared" si="19"/>
        <v>0</v>
      </c>
      <c r="H20" s="355">
        <f t="shared" si="1"/>
        <v>0</v>
      </c>
      <c r="I20" s="355">
        <f t="shared" si="19"/>
        <v>0</v>
      </c>
      <c r="J20" s="355">
        <f t="shared" si="19"/>
        <v>0</v>
      </c>
      <c r="K20" s="355">
        <f t="shared" si="2"/>
        <v>0</v>
      </c>
      <c r="L20" s="355">
        <f t="shared" si="19"/>
        <v>0</v>
      </c>
      <c r="M20" s="355">
        <f t="shared" si="19"/>
        <v>0</v>
      </c>
      <c r="N20" s="355">
        <f t="shared" si="3"/>
        <v>0</v>
      </c>
      <c r="O20" s="355">
        <f t="shared" si="19"/>
        <v>0</v>
      </c>
      <c r="P20" s="355">
        <f t="shared" si="19"/>
        <v>0</v>
      </c>
      <c r="Q20" s="355">
        <f t="shared" si="4"/>
        <v>0</v>
      </c>
      <c r="R20" s="355">
        <f t="shared" si="19"/>
        <v>0</v>
      </c>
      <c r="S20" s="355">
        <f t="shared" si="19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0">C23+C25+C28</f>
        <v>0</v>
      </c>
      <c r="D22" s="352">
        <f t="shared" si="20"/>
        <v>0</v>
      </c>
      <c r="E22" s="352">
        <f t="shared" si="0"/>
        <v>0</v>
      </c>
      <c r="F22" s="352">
        <f t="shared" ref="F22:G22" si="21">F23+F25+F28</f>
        <v>0</v>
      </c>
      <c r="G22" s="352">
        <f t="shared" si="21"/>
        <v>0</v>
      </c>
      <c r="H22" s="352">
        <f t="shared" si="1"/>
        <v>0</v>
      </c>
      <c r="I22" s="352">
        <f t="shared" ref="I22:J22" si="22">I23+I25+I28</f>
        <v>0</v>
      </c>
      <c r="J22" s="352">
        <f t="shared" si="22"/>
        <v>0</v>
      </c>
      <c r="K22" s="352">
        <f t="shared" si="2"/>
        <v>0</v>
      </c>
      <c r="L22" s="352">
        <f t="shared" ref="L22:M22" si="23">L23+L25+L28</f>
        <v>0</v>
      </c>
      <c r="M22" s="352">
        <f t="shared" si="23"/>
        <v>0</v>
      </c>
      <c r="N22" s="352">
        <f t="shared" si="3"/>
        <v>0</v>
      </c>
      <c r="O22" s="352">
        <f t="shared" ref="O22:P22" si="24">O23+O25+O28</f>
        <v>0</v>
      </c>
      <c r="P22" s="352">
        <f t="shared" si="24"/>
        <v>0</v>
      </c>
      <c r="Q22" s="352">
        <f t="shared" si="4"/>
        <v>0</v>
      </c>
      <c r="R22" s="352">
        <f t="shared" ref="R22:S22" si="25">R23+R25+R28</f>
        <v>0</v>
      </c>
      <c r="S22" s="352">
        <f t="shared" si="25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S23" si="26">SUM(C24:C24)</f>
        <v>0</v>
      </c>
      <c r="D23" s="355">
        <f t="shared" si="26"/>
        <v>0</v>
      </c>
      <c r="E23" s="355">
        <f t="shared" si="0"/>
        <v>0</v>
      </c>
      <c r="F23" s="355">
        <f t="shared" si="26"/>
        <v>0</v>
      </c>
      <c r="G23" s="355">
        <f t="shared" si="26"/>
        <v>0</v>
      </c>
      <c r="H23" s="355">
        <f t="shared" si="1"/>
        <v>0</v>
      </c>
      <c r="I23" s="355">
        <f t="shared" si="26"/>
        <v>0</v>
      </c>
      <c r="J23" s="355">
        <f t="shared" si="26"/>
        <v>0</v>
      </c>
      <c r="K23" s="355">
        <f t="shared" si="2"/>
        <v>0</v>
      </c>
      <c r="L23" s="355">
        <f t="shared" si="26"/>
        <v>0</v>
      </c>
      <c r="M23" s="355">
        <f t="shared" si="26"/>
        <v>0</v>
      </c>
      <c r="N23" s="355">
        <f t="shared" si="3"/>
        <v>0</v>
      </c>
      <c r="O23" s="355">
        <f t="shared" si="26"/>
        <v>0</v>
      </c>
      <c r="P23" s="355">
        <f t="shared" si="26"/>
        <v>0</v>
      </c>
      <c r="Q23" s="355">
        <f t="shared" si="4"/>
        <v>0</v>
      </c>
      <c r="R23" s="355">
        <f t="shared" si="26"/>
        <v>0</v>
      </c>
      <c r="S23" s="355">
        <f t="shared" si="26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27">SUM(C26:C27)</f>
        <v>0</v>
      </c>
      <c r="D25" s="355">
        <f t="shared" si="27"/>
        <v>0</v>
      </c>
      <c r="E25" s="355">
        <f t="shared" si="0"/>
        <v>0</v>
      </c>
      <c r="F25" s="355">
        <f t="shared" ref="F25:G25" si="28">SUM(F26:F27)</f>
        <v>0</v>
      </c>
      <c r="G25" s="355">
        <f t="shared" si="28"/>
        <v>0</v>
      </c>
      <c r="H25" s="355">
        <f t="shared" si="1"/>
        <v>0</v>
      </c>
      <c r="I25" s="355">
        <f t="shared" ref="I25:J25" si="29">SUM(I26:I27)</f>
        <v>0</v>
      </c>
      <c r="J25" s="355">
        <f t="shared" si="29"/>
        <v>0</v>
      </c>
      <c r="K25" s="355">
        <f t="shared" si="2"/>
        <v>0</v>
      </c>
      <c r="L25" s="355">
        <f t="shared" ref="L25:M25" si="30">SUM(L26:L27)</f>
        <v>0</v>
      </c>
      <c r="M25" s="355">
        <f t="shared" si="30"/>
        <v>0</v>
      </c>
      <c r="N25" s="355">
        <f t="shared" si="3"/>
        <v>0</v>
      </c>
      <c r="O25" s="355">
        <f t="shared" ref="O25:P25" si="31">SUM(O26:O27)</f>
        <v>0</v>
      </c>
      <c r="P25" s="355">
        <f t="shared" si="31"/>
        <v>0</v>
      </c>
      <c r="Q25" s="355">
        <f t="shared" si="4"/>
        <v>0</v>
      </c>
      <c r="R25" s="355">
        <f t="shared" ref="R25:S25" si="32">SUM(R26:R27)</f>
        <v>0</v>
      </c>
      <c r="S25" s="355">
        <f t="shared" si="32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S28" si="33">SUM(C29:C29)</f>
        <v>0</v>
      </c>
      <c r="D28" s="355">
        <f t="shared" si="33"/>
        <v>0</v>
      </c>
      <c r="E28" s="355">
        <f t="shared" si="0"/>
        <v>0</v>
      </c>
      <c r="F28" s="355">
        <f t="shared" si="33"/>
        <v>0</v>
      </c>
      <c r="G28" s="355">
        <f t="shared" si="33"/>
        <v>0</v>
      </c>
      <c r="H28" s="355">
        <f t="shared" si="1"/>
        <v>0</v>
      </c>
      <c r="I28" s="355">
        <f t="shared" si="33"/>
        <v>0</v>
      </c>
      <c r="J28" s="355">
        <f t="shared" si="33"/>
        <v>0</v>
      </c>
      <c r="K28" s="355">
        <f t="shared" si="2"/>
        <v>0</v>
      </c>
      <c r="L28" s="355">
        <f t="shared" si="33"/>
        <v>0</v>
      </c>
      <c r="M28" s="355">
        <f t="shared" si="33"/>
        <v>0</v>
      </c>
      <c r="N28" s="355">
        <f t="shared" si="3"/>
        <v>0</v>
      </c>
      <c r="O28" s="355">
        <f t="shared" si="33"/>
        <v>0</v>
      </c>
      <c r="P28" s="355">
        <f t="shared" si="33"/>
        <v>0</v>
      </c>
      <c r="Q28" s="355">
        <f t="shared" si="4"/>
        <v>0</v>
      </c>
      <c r="R28" s="355">
        <f t="shared" si="33"/>
        <v>0</v>
      </c>
      <c r="S28" s="355">
        <f t="shared" si="33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4">C22+C8</f>
        <v>4786</v>
      </c>
      <c r="D30" s="360">
        <f t="shared" si="34"/>
        <v>0</v>
      </c>
      <c r="E30" s="360">
        <f t="shared" si="0"/>
        <v>4786</v>
      </c>
      <c r="F30" s="360">
        <f t="shared" ref="F30:G30" si="35">F22+F8</f>
        <v>4786</v>
      </c>
      <c r="G30" s="360">
        <f t="shared" si="35"/>
        <v>0</v>
      </c>
      <c r="H30" s="360">
        <f t="shared" si="1"/>
        <v>4786</v>
      </c>
      <c r="I30" s="360">
        <f t="shared" ref="I30:J30" si="36">I22+I8</f>
        <v>4786</v>
      </c>
      <c r="J30" s="360">
        <f t="shared" si="36"/>
        <v>0</v>
      </c>
      <c r="K30" s="360">
        <f t="shared" si="2"/>
        <v>4786</v>
      </c>
      <c r="L30" s="360">
        <f t="shared" ref="L30:M30" si="37">L22+L8</f>
        <v>7076</v>
      </c>
      <c r="M30" s="360">
        <f t="shared" si="37"/>
        <v>0</v>
      </c>
      <c r="N30" s="360">
        <f t="shared" si="3"/>
        <v>7076</v>
      </c>
      <c r="O30" s="360">
        <f t="shared" ref="O30:P30" si="38">O22+O8</f>
        <v>7010</v>
      </c>
      <c r="P30" s="360">
        <f t="shared" si="38"/>
        <v>0</v>
      </c>
      <c r="Q30" s="360">
        <f t="shared" si="4"/>
        <v>7010</v>
      </c>
      <c r="R30" s="360">
        <f t="shared" ref="R30:S30" si="39">R22+R8</f>
        <v>7010</v>
      </c>
      <c r="S30" s="360">
        <f t="shared" si="39"/>
        <v>0</v>
      </c>
      <c r="T30" s="360">
        <f t="shared" si="5"/>
        <v>7010</v>
      </c>
    </row>
    <row r="31" spans="1:20" x14ac:dyDescent="0.25">
      <c r="A31" s="350" t="s">
        <v>328</v>
      </c>
      <c r="B31" s="351" t="s">
        <v>329</v>
      </c>
      <c r="C31" s="352">
        <f t="shared" ref="C31:S31" si="40">C32</f>
        <v>119838</v>
      </c>
      <c r="D31" s="352">
        <f t="shared" si="40"/>
        <v>0</v>
      </c>
      <c r="E31" s="352">
        <f t="shared" si="0"/>
        <v>119838</v>
      </c>
      <c r="F31" s="352">
        <f t="shared" si="40"/>
        <v>121138</v>
      </c>
      <c r="G31" s="352">
        <f t="shared" si="40"/>
        <v>0</v>
      </c>
      <c r="H31" s="352">
        <f t="shared" si="1"/>
        <v>121138</v>
      </c>
      <c r="I31" s="352">
        <f t="shared" si="40"/>
        <v>121138</v>
      </c>
      <c r="J31" s="352">
        <f t="shared" si="40"/>
        <v>0</v>
      </c>
      <c r="K31" s="352">
        <f t="shared" si="2"/>
        <v>121138</v>
      </c>
      <c r="L31" s="352">
        <f t="shared" si="40"/>
        <v>116168</v>
      </c>
      <c r="M31" s="352">
        <f t="shared" si="40"/>
        <v>0</v>
      </c>
      <c r="N31" s="352">
        <f t="shared" si="3"/>
        <v>116168</v>
      </c>
      <c r="O31" s="352">
        <f t="shared" si="40"/>
        <v>127842</v>
      </c>
      <c r="P31" s="352">
        <f t="shared" si="40"/>
        <v>0</v>
      </c>
      <c r="Q31" s="352">
        <f t="shared" si="4"/>
        <v>127842</v>
      </c>
      <c r="R31" s="352">
        <f t="shared" si="40"/>
        <v>129274</v>
      </c>
      <c r="S31" s="352">
        <f t="shared" si="40"/>
        <v>0</v>
      </c>
      <c r="T31" s="352">
        <f t="shared" si="5"/>
        <v>129274</v>
      </c>
    </row>
    <row r="32" spans="1:20" x14ac:dyDescent="0.25">
      <c r="A32" s="353" t="s">
        <v>311</v>
      </c>
      <c r="B32" s="354" t="s">
        <v>330</v>
      </c>
      <c r="C32" s="355">
        <f t="shared" ref="C32:D32" si="41">SUM(C33:C34)</f>
        <v>119838</v>
      </c>
      <c r="D32" s="355">
        <f t="shared" si="41"/>
        <v>0</v>
      </c>
      <c r="E32" s="355">
        <f t="shared" si="0"/>
        <v>119838</v>
      </c>
      <c r="F32" s="355">
        <f t="shared" ref="F32:G32" si="42">SUM(F33:F34)</f>
        <v>121138</v>
      </c>
      <c r="G32" s="355">
        <f t="shared" si="42"/>
        <v>0</v>
      </c>
      <c r="H32" s="355">
        <f t="shared" si="1"/>
        <v>121138</v>
      </c>
      <c r="I32" s="355">
        <f t="shared" ref="I32:J32" si="43">SUM(I33:I34)</f>
        <v>121138</v>
      </c>
      <c r="J32" s="355">
        <f t="shared" si="43"/>
        <v>0</v>
      </c>
      <c r="K32" s="355">
        <f t="shared" si="2"/>
        <v>121138</v>
      </c>
      <c r="L32" s="355">
        <f t="shared" ref="L32:M32" si="44">SUM(L33:L34)</f>
        <v>116168</v>
      </c>
      <c r="M32" s="355">
        <f t="shared" si="44"/>
        <v>0</v>
      </c>
      <c r="N32" s="355">
        <f t="shared" si="3"/>
        <v>116168</v>
      </c>
      <c r="O32" s="355">
        <f t="shared" ref="O32:P32" si="45">SUM(O33:O34)</f>
        <v>127842</v>
      </c>
      <c r="P32" s="355">
        <f t="shared" si="45"/>
        <v>0</v>
      </c>
      <c r="Q32" s="355">
        <f t="shared" si="4"/>
        <v>127842</v>
      </c>
      <c r="R32" s="355">
        <f t="shared" ref="R32:S32" si="46">SUM(R33:R34)</f>
        <v>129274</v>
      </c>
      <c r="S32" s="355">
        <f t="shared" si="46"/>
        <v>0</v>
      </c>
      <c r="T32" s="355">
        <f t="shared" si="5"/>
        <v>129274</v>
      </c>
    </row>
    <row r="33" spans="1:20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1300</v>
      </c>
      <c r="G33" s="273">
        <v>0</v>
      </c>
      <c r="H33" s="273">
        <f t="shared" si="1"/>
        <v>1300</v>
      </c>
      <c r="I33" s="273">
        <v>638</v>
      </c>
      <c r="J33" s="273">
        <v>0</v>
      </c>
      <c r="K33" s="273">
        <f t="shared" si="2"/>
        <v>638</v>
      </c>
      <c r="L33" s="273">
        <v>1300</v>
      </c>
      <c r="M33" s="273">
        <v>0</v>
      </c>
      <c r="N33" s="273">
        <f t="shared" si="3"/>
        <v>1300</v>
      </c>
      <c r="O33" s="273">
        <v>0</v>
      </c>
      <c r="P33" s="273">
        <v>0</v>
      </c>
      <c r="Q33" s="273">
        <f t="shared" si="4"/>
        <v>0</v>
      </c>
      <c r="R33" s="273">
        <v>1432</v>
      </c>
      <c r="S33" s="273">
        <v>0</v>
      </c>
      <c r="T33" s="273">
        <f t="shared" si="5"/>
        <v>1432</v>
      </c>
    </row>
    <row r="34" spans="1:20" x14ac:dyDescent="0.25">
      <c r="A34" s="392"/>
      <c r="B34" s="358" t="s">
        <v>332</v>
      </c>
      <c r="C34" s="273">
        <f t="shared" ref="C34:D34" si="47">C36+C42-C30-C33</f>
        <v>119838</v>
      </c>
      <c r="D34" s="273">
        <f t="shared" si="47"/>
        <v>0</v>
      </c>
      <c r="E34" s="273">
        <f t="shared" si="0"/>
        <v>119838</v>
      </c>
      <c r="F34" s="273">
        <f t="shared" ref="F34:G34" si="48">F36+F42-F30-F33</f>
        <v>119838</v>
      </c>
      <c r="G34" s="273">
        <f t="shared" si="48"/>
        <v>0</v>
      </c>
      <c r="H34" s="273">
        <f t="shared" si="1"/>
        <v>119838</v>
      </c>
      <c r="I34" s="273">
        <f t="shared" ref="I34:J34" si="49">I36+I42-I30-I33</f>
        <v>120500</v>
      </c>
      <c r="J34" s="273">
        <f t="shared" si="49"/>
        <v>0</v>
      </c>
      <c r="K34" s="273">
        <f t="shared" si="2"/>
        <v>120500</v>
      </c>
      <c r="L34" s="273">
        <v>114868</v>
      </c>
      <c r="M34" s="273">
        <f t="shared" ref="M34" si="50">M36+M42-M30-M33</f>
        <v>0</v>
      </c>
      <c r="N34" s="273">
        <f t="shared" si="3"/>
        <v>114868</v>
      </c>
      <c r="O34" s="273">
        <f t="shared" ref="O34:P34" si="51">O36+O42-O30-O33</f>
        <v>127842</v>
      </c>
      <c r="P34" s="273">
        <f t="shared" si="51"/>
        <v>0</v>
      </c>
      <c r="Q34" s="273">
        <f t="shared" si="4"/>
        <v>127842</v>
      </c>
      <c r="R34" s="273">
        <f t="shared" ref="R34:S34" si="52">R36+R42-R30-R33</f>
        <v>127842</v>
      </c>
      <c r="S34" s="273">
        <f t="shared" si="52"/>
        <v>0</v>
      </c>
      <c r="T34" s="273">
        <f t="shared" si="5"/>
        <v>127842</v>
      </c>
    </row>
    <row r="35" spans="1:20" x14ac:dyDescent="0.25">
      <c r="A35" s="361"/>
      <c r="B35" s="362" t="s">
        <v>333</v>
      </c>
      <c r="C35" s="333">
        <f t="shared" ref="C35:D35" si="53">C31+C22+C8</f>
        <v>124624</v>
      </c>
      <c r="D35" s="333">
        <f t="shared" si="53"/>
        <v>0</v>
      </c>
      <c r="E35" s="333">
        <f t="shared" si="0"/>
        <v>124624</v>
      </c>
      <c r="F35" s="333">
        <f t="shared" ref="F35:G35" si="54">F31+F22+F8</f>
        <v>125924</v>
      </c>
      <c r="G35" s="333">
        <f t="shared" si="54"/>
        <v>0</v>
      </c>
      <c r="H35" s="333">
        <f t="shared" si="1"/>
        <v>125924</v>
      </c>
      <c r="I35" s="333">
        <f t="shared" ref="I35:J35" si="55">I31+I22+I8</f>
        <v>125924</v>
      </c>
      <c r="J35" s="333">
        <f t="shared" si="55"/>
        <v>0</v>
      </c>
      <c r="K35" s="333">
        <f t="shared" si="2"/>
        <v>125924</v>
      </c>
      <c r="L35" s="333">
        <f t="shared" ref="L35:M35" si="56">L31+L22+L8</f>
        <v>123244</v>
      </c>
      <c r="M35" s="333">
        <f t="shared" si="56"/>
        <v>0</v>
      </c>
      <c r="N35" s="333">
        <f t="shared" si="3"/>
        <v>123244</v>
      </c>
      <c r="O35" s="333">
        <f t="shared" ref="O35:P35" si="57">O31+O22+O8</f>
        <v>134852</v>
      </c>
      <c r="P35" s="333">
        <f t="shared" si="57"/>
        <v>0</v>
      </c>
      <c r="Q35" s="333">
        <f t="shared" si="4"/>
        <v>134852</v>
      </c>
      <c r="R35" s="333">
        <f t="shared" ref="R35:S35" si="58">R31+R22+R8</f>
        <v>136284</v>
      </c>
      <c r="S35" s="333">
        <f t="shared" si="58"/>
        <v>0</v>
      </c>
      <c r="T35" s="333">
        <f t="shared" si="5"/>
        <v>136284</v>
      </c>
    </row>
    <row r="36" spans="1:20" x14ac:dyDescent="0.25">
      <c r="A36" s="350" t="s">
        <v>309</v>
      </c>
      <c r="B36" s="351" t="s">
        <v>334</v>
      </c>
      <c r="C36" s="352">
        <f t="shared" ref="C36:D36" si="59">SUM(C37:C41)</f>
        <v>123012</v>
      </c>
      <c r="D36" s="352">
        <f t="shared" si="59"/>
        <v>0</v>
      </c>
      <c r="E36" s="352">
        <f t="shared" si="0"/>
        <v>123012</v>
      </c>
      <c r="F36" s="352">
        <f t="shared" ref="F36:G36" si="60">SUM(F37:F41)</f>
        <v>124144</v>
      </c>
      <c r="G36" s="352">
        <f t="shared" si="60"/>
        <v>0</v>
      </c>
      <c r="H36" s="352">
        <f t="shared" si="1"/>
        <v>124144</v>
      </c>
      <c r="I36" s="352">
        <f t="shared" ref="I36:J36" si="61">SUM(I37:I41)</f>
        <v>124144</v>
      </c>
      <c r="J36" s="352">
        <f t="shared" si="61"/>
        <v>0</v>
      </c>
      <c r="K36" s="352">
        <f t="shared" si="2"/>
        <v>124144</v>
      </c>
      <c r="L36" s="352">
        <f t="shared" ref="L36:M36" si="62">SUM(L37:L41)</f>
        <v>118937</v>
      </c>
      <c r="M36" s="352">
        <f t="shared" si="62"/>
        <v>0</v>
      </c>
      <c r="N36" s="352">
        <f t="shared" si="3"/>
        <v>118937</v>
      </c>
      <c r="O36" s="352">
        <f t="shared" ref="O36:P36" si="63">SUM(O37:O41)</f>
        <v>131867</v>
      </c>
      <c r="P36" s="352">
        <f t="shared" si="63"/>
        <v>0</v>
      </c>
      <c r="Q36" s="352">
        <f t="shared" si="4"/>
        <v>131867</v>
      </c>
      <c r="R36" s="352">
        <f t="shared" ref="R36:S36" si="64">SUM(R37:R41)</f>
        <v>133299</v>
      </c>
      <c r="S36" s="352">
        <f t="shared" si="64"/>
        <v>0</v>
      </c>
      <c r="T36" s="352">
        <f t="shared" si="5"/>
        <v>133299</v>
      </c>
    </row>
    <row r="37" spans="1:20" x14ac:dyDescent="0.25">
      <c r="A37" s="353" t="s">
        <v>311</v>
      </c>
      <c r="B37" s="354" t="s">
        <v>286</v>
      </c>
      <c r="C37" s="355">
        <f>'5 GSZNR fel'!E119+'5 GSZNR fel'!E125</f>
        <v>81237</v>
      </c>
      <c r="D37" s="355">
        <f>'5 GSZNR fel'!D119+'5 GSZNR fel'!D125</f>
        <v>0</v>
      </c>
      <c r="E37" s="355">
        <f t="shared" si="0"/>
        <v>81237</v>
      </c>
      <c r="F37" s="355">
        <f>'5 GSZNR fel'!H119+'5 GSZNR fel'!H125</f>
        <v>81237</v>
      </c>
      <c r="G37" s="355">
        <f>'5 GSZNR fel'!I119+'5 GSZNR fel'!I125</f>
        <v>0</v>
      </c>
      <c r="H37" s="355">
        <f t="shared" si="1"/>
        <v>81237</v>
      </c>
      <c r="I37" s="355">
        <f>'5 GSZNR fel'!K119+'5 GSZNR fel'!K125</f>
        <v>81237</v>
      </c>
      <c r="J37" s="355">
        <f>'5 GSZNR fel'!M119+'5 GSZNR fel'!M125</f>
        <v>0</v>
      </c>
      <c r="K37" s="355">
        <f t="shared" si="2"/>
        <v>81237</v>
      </c>
      <c r="L37" s="355">
        <f>'5 GSZNR fel'!N119+'5 GSZNR fel'!N125</f>
        <v>80375</v>
      </c>
      <c r="M37" s="355">
        <f>'5 GSZNR fel'!L119+'5 GSZNR fel'!L125</f>
        <v>0</v>
      </c>
      <c r="N37" s="355">
        <f t="shared" si="3"/>
        <v>80375</v>
      </c>
      <c r="O37" s="355">
        <f>'5 GSZNR fel'!Q119+'5 GSZNR fel'!Q125</f>
        <v>89678</v>
      </c>
      <c r="P37" s="355">
        <f>'5 GSZNR fel'!P119+'5 GSZNR fel'!P125</f>
        <v>0</v>
      </c>
      <c r="Q37" s="355">
        <f t="shared" si="4"/>
        <v>89678</v>
      </c>
      <c r="R37" s="355">
        <f>'5 GSZNR fel'!T119+'5 GSZNR fel'!T125</f>
        <v>89678</v>
      </c>
      <c r="S37" s="355">
        <f>'5 GSZNR fel'!S119+'5 GSZNR fel'!S125</f>
        <v>0</v>
      </c>
      <c r="T37" s="355">
        <f t="shared" si="5"/>
        <v>89678</v>
      </c>
    </row>
    <row r="38" spans="1:20" x14ac:dyDescent="0.25">
      <c r="A38" s="353" t="s">
        <v>322</v>
      </c>
      <c r="B38" s="354" t="s">
        <v>335</v>
      </c>
      <c r="C38" s="355">
        <f>'5 GSZNR fel'!E120+'5 GSZNR fel'!E126</f>
        <v>15948</v>
      </c>
      <c r="D38" s="355">
        <f>'5 GSZNR fel'!D120+'5 GSZNR fel'!D126</f>
        <v>0</v>
      </c>
      <c r="E38" s="355">
        <f t="shared" si="0"/>
        <v>15948</v>
      </c>
      <c r="F38" s="355">
        <f>'5 GSZNR fel'!H120+'5 GSZNR fel'!H126</f>
        <v>15948</v>
      </c>
      <c r="G38" s="355">
        <f>'5 GSZNR fel'!I120+'5 GSZNR fel'!I126</f>
        <v>0</v>
      </c>
      <c r="H38" s="355">
        <f t="shared" si="1"/>
        <v>15948</v>
      </c>
      <c r="I38" s="355">
        <f>'5 GSZNR fel'!K120+'5 GSZNR fel'!K126</f>
        <v>15948</v>
      </c>
      <c r="J38" s="355">
        <f>'5 GSZNR fel'!M120+'5 GSZNR fel'!M126</f>
        <v>0</v>
      </c>
      <c r="K38" s="355">
        <f t="shared" si="2"/>
        <v>15948</v>
      </c>
      <c r="L38" s="355">
        <f>'5 GSZNR fel'!N120+'5 GSZNR fel'!N126</f>
        <v>16146</v>
      </c>
      <c r="M38" s="355">
        <f>'5 GSZNR fel'!L120+'5 GSZNR fel'!L126</f>
        <v>0</v>
      </c>
      <c r="N38" s="355">
        <f t="shared" si="3"/>
        <v>16146</v>
      </c>
      <c r="O38" s="355">
        <f>'5 GSZNR fel'!Q120+'5 GSZNR fel'!Q126</f>
        <v>17039</v>
      </c>
      <c r="P38" s="355">
        <f>'5 GSZNR fel'!P120+'5 GSZNR fel'!P126</f>
        <v>0</v>
      </c>
      <c r="Q38" s="355">
        <f t="shared" si="4"/>
        <v>17039</v>
      </c>
      <c r="R38" s="355">
        <f>'5 GSZNR fel'!T120+'5 GSZNR fel'!T126</f>
        <v>17039</v>
      </c>
      <c r="S38" s="355">
        <f>'5 GSZNR fel'!S120+'5 GSZNR fel'!S126</f>
        <v>0</v>
      </c>
      <c r="T38" s="355">
        <f t="shared" si="5"/>
        <v>17039</v>
      </c>
    </row>
    <row r="39" spans="1:20" x14ac:dyDescent="0.25">
      <c r="A39" s="353" t="s">
        <v>315</v>
      </c>
      <c r="B39" s="354" t="s">
        <v>292</v>
      </c>
      <c r="C39" s="355">
        <f>'5 GSZNR fel'!E121+'5 GSZNR fel'!E127</f>
        <v>25827</v>
      </c>
      <c r="D39" s="355">
        <f>'5 GSZNR fel'!D121+'5 GSZNR fel'!D127</f>
        <v>0</v>
      </c>
      <c r="E39" s="355">
        <f t="shared" si="0"/>
        <v>25827</v>
      </c>
      <c r="F39" s="355">
        <f>'5 GSZNR fel'!H121+'5 GSZNR fel'!H127</f>
        <v>25734</v>
      </c>
      <c r="G39" s="355">
        <f>'5 GSZNR fel'!I121+'5 GSZNR fel'!I127</f>
        <v>0</v>
      </c>
      <c r="H39" s="355">
        <f t="shared" si="1"/>
        <v>25734</v>
      </c>
      <c r="I39" s="355">
        <f>'5 GSZNR fel'!K121+'5 GSZNR fel'!K127</f>
        <v>25734</v>
      </c>
      <c r="J39" s="355">
        <f>'5 GSZNR fel'!M121+'5 GSZNR fel'!M127</f>
        <v>0</v>
      </c>
      <c r="K39" s="355">
        <f t="shared" si="2"/>
        <v>25734</v>
      </c>
      <c r="L39" s="355">
        <f>'5 GSZNR fel'!N121+'5 GSZNR fel'!N127</f>
        <v>21191</v>
      </c>
      <c r="M39" s="355">
        <f>'5 GSZNR fel'!L121+'5 GSZNR fel'!L127</f>
        <v>0</v>
      </c>
      <c r="N39" s="355">
        <f t="shared" si="3"/>
        <v>21191</v>
      </c>
      <c r="O39" s="355">
        <f>'5 GSZNR fel'!Q121+'5 GSZNR fel'!Q127</f>
        <v>25150</v>
      </c>
      <c r="P39" s="355">
        <f>'5 GSZNR fel'!P121+'5 GSZNR fel'!P127</f>
        <v>0</v>
      </c>
      <c r="Q39" s="355">
        <f t="shared" si="4"/>
        <v>25150</v>
      </c>
      <c r="R39" s="355">
        <f>'5 GSZNR fel'!T121+'5 GSZNR fel'!T127</f>
        <v>26582</v>
      </c>
      <c r="S39" s="355">
        <f>'5 GSZNR fel'!S121+'5 GSZNR fel'!S127</f>
        <v>0</v>
      </c>
      <c r="T39" s="355">
        <f t="shared" si="5"/>
        <v>26582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fel'!H122</f>
        <v>1225</v>
      </c>
      <c r="G41" s="355">
        <v>0</v>
      </c>
      <c r="H41" s="355">
        <f t="shared" si="1"/>
        <v>1225</v>
      </c>
      <c r="I41" s="355">
        <f>+'5 GSZNR fel'!K122</f>
        <v>1225</v>
      </c>
      <c r="J41" s="355">
        <v>0</v>
      </c>
      <c r="K41" s="355">
        <f t="shared" si="2"/>
        <v>1225</v>
      </c>
      <c r="L41" s="355">
        <f>+'5 GSZNR fel'!N122</f>
        <v>1225</v>
      </c>
      <c r="M41" s="355">
        <v>0</v>
      </c>
      <c r="N41" s="355">
        <f t="shared" si="3"/>
        <v>1225</v>
      </c>
      <c r="O41" s="355">
        <f>+'5 GSZNR fel'!Q122</f>
        <v>0</v>
      </c>
      <c r="P41" s="355">
        <v>0</v>
      </c>
      <c r="Q41" s="355">
        <f t="shared" si="4"/>
        <v>0</v>
      </c>
      <c r="R41" s="355">
        <f>+'5 GSZNR fel'!T122</f>
        <v>0</v>
      </c>
      <c r="S41" s="355"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" si="65">SUM(C43:C45)</f>
        <v>1612</v>
      </c>
      <c r="D42" s="352">
        <f t="shared" ref="D42" si="66">SUM(D43:D45)</f>
        <v>0</v>
      </c>
      <c r="E42" s="352">
        <f t="shared" si="0"/>
        <v>1612</v>
      </c>
      <c r="F42" s="352">
        <f t="shared" ref="F42:G42" si="67">SUM(F43:F45)</f>
        <v>1780</v>
      </c>
      <c r="G42" s="352">
        <f t="shared" si="67"/>
        <v>0</v>
      </c>
      <c r="H42" s="352">
        <f t="shared" si="1"/>
        <v>1780</v>
      </c>
      <c r="I42" s="352">
        <f t="shared" ref="I42:J42" si="68">SUM(I43:I45)</f>
        <v>1780</v>
      </c>
      <c r="J42" s="352">
        <f t="shared" si="68"/>
        <v>0</v>
      </c>
      <c r="K42" s="352">
        <f t="shared" si="2"/>
        <v>1780</v>
      </c>
      <c r="L42" s="352">
        <f t="shared" ref="L42:M42" si="69">SUM(L43:L45)</f>
        <v>2610</v>
      </c>
      <c r="M42" s="352">
        <f t="shared" si="69"/>
        <v>0</v>
      </c>
      <c r="N42" s="352">
        <f t="shared" si="3"/>
        <v>2610</v>
      </c>
      <c r="O42" s="352">
        <f t="shared" ref="O42:P42" si="70">SUM(O43:O45)</f>
        <v>2985</v>
      </c>
      <c r="P42" s="352">
        <f t="shared" si="70"/>
        <v>0</v>
      </c>
      <c r="Q42" s="352">
        <f t="shared" si="4"/>
        <v>2985</v>
      </c>
      <c r="R42" s="352">
        <f t="shared" ref="R42:S42" si="71">SUM(R43:R45)</f>
        <v>2985</v>
      </c>
      <c r="S42" s="352">
        <f t="shared" si="71"/>
        <v>0</v>
      </c>
      <c r="T42" s="352">
        <f t="shared" si="5"/>
        <v>2985</v>
      </c>
    </row>
    <row r="43" spans="1:20" x14ac:dyDescent="0.25">
      <c r="A43" s="353" t="s">
        <v>311</v>
      </c>
      <c r="B43" s="354" t="s">
        <v>341</v>
      </c>
      <c r="C43" s="355">
        <f>'5 GSZNR fel'!E123+'5 GSZNR fel'!E128</f>
        <v>1612</v>
      </c>
      <c r="D43" s="355">
        <f>'5 GSZNR fel'!D123+'5 GSZNR fel'!D128</f>
        <v>0</v>
      </c>
      <c r="E43" s="355">
        <f t="shared" si="0"/>
        <v>1612</v>
      </c>
      <c r="F43" s="355">
        <f>'5 GSZNR fel'!H123+'5 GSZNR fel'!H128</f>
        <v>1780</v>
      </c>
      <c r="G43" s="355">
        <f>'5 GSZNR fel'!I123+'5 GSZNR fel'!I128</f>
        <v>0</v>
      </c>
      <c r="H43" s="355">
        <f t="shared" si="1"/>
        <v>1780</v>
      </c>
      <c r="I43" s="355">
        <f>'5 GSZNR fel'!K123+'5 GSZNR fel'!K128</f>
        <v>1780</v>
      </c>
      <c r="J43" s="355">
        <f>'5 GSZNR fel'!M123+'5 GSZNR fel'!M128</f>
        <v>0</v>
      </c>
      <c r="K43" s="355">
        <f t="shared" si="2"/>
        <v>1780</v>
      </c>
      <c r="L43" s="355">
        <f>'5 GSZNR fel'!N123+'5 GSZNR fel'!N128</f>
        <v>2610</v>
      </c>
      <c r="M43" s="355">
        <f>'5 GSZNR fel'!L123+'5 GSZNR fel'!L128</f>
        <v>0</v>
      </c>
      <c r="N43" s="355">
        <f t="shared" si="3"/>
        <v>2610</v>
      </c>
      <c r="O43" s="355">
        <f>'5 GSZNR fel'!Q123+'5 GSZNR fel'!Q128</f>
        <v>2985</v>
      </c>
      <c r="P43" s="355">
        <f>'5 GSZNR fel'!P123+'5 GSZNR fel'!P128</f>
        <v>0</v>
      </c>
      <c r="Q43" s="355">
        <f t="shared" si="4"/>
        <v>2985</v>
      </c>
      <c r="R43" s="355">
        <f>'5 GSZNR fel'!T123+'5 GSZNR fel'!T128</f>
        <v>2985</v>
      </c>
      <c r="S43" s="355">
        <f>'5 GSZNR fel'!S123+'5 GSZNR fel'!S128</f>
        <v>0</v>
      </c>
      <c r="T43" s="355">
        <f t="shared" si="5"/>
        <v>2985</v>
      </c>
    </row>
    <row r="44" spans="1:20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355">
        <v>0</v>
      </c>
      <c r="P44" s="355">
        <v>0</v>
      </c>
      <c r="Q44" s="355">
        <f t="shared" si="4"/>
        <v>0</v>
      </c>
      <c r="R44" s="355">
        <v>0</v>
      </c>
      <c r="S44" s="355">
        <v>0</v>
      </c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f>'5 GSZNR fel'!I128+'5 GSZNR fel'!I133</f>
        <v>0</v>
      </c>
      <c r="G45" s="355">
        <v>0</v>
      </c>
      <c r="H45" s="355">
        <f t="shared" si="1"/>
        <v>0</v>
      </c>
      <c r="I45" s="355">
        <f>'5 GSZNR fel'!L128+'5 GSZNR fel'!L133</f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f>'5 GSZNR fel'!O128+'5 GSZNR fel'!O133</f>
        <v>0</v>
      </c>
      <c r="P45" s="355">
        <v>0</v>
      </c>
      <c r="Q45" s="355">
        <f t="shared" si="4"/>
        <v>0</v>
      </c>
      <c r="R45" s="355">
        <f>'5 GSZNR fel'!R128+'5 GSZNR fel'!R133</f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2">C36+C42</f>
        <v>124624</v>
      </c>
      <c r="D46" s="333">
        <f t="shared" si="72"/>
        <v>0</v>
      </c>
      <c r="E46" s="333">
        <f t="shared" si="0"/>
        <v>124624</v>
      </c>
      <c r="F46" s="333">
        <f t="shared" ref="F46:G46" si="73">F36+F42</f>
        <v>125924</v>
      </c>
      <c r="G46" s="333">
        <f t="shared" si="73"/>
        <v>0</v>
      </c>
      <c r="H46" s="333">
        <f t="shared" si="1"/>
        <v>125924</v>
      </c>
      <c r="I46" s="333">
        <f t="shared" ref="I46:J46" si="74">I36+I42</f>
        <v>125924</v>
      </c>
      <c r="J46" s="333">
        <f t="shared" si="74"/>
        <v>0</v>
      </c>
      <c r="K46" s="333">
        <f t="shared" si="2"/>
        <v>125924</v>
      </c>
      <c r="L46" s="333">
        <f t="shared" ref="L46:M46" si="75">L36+L42</f>
        <v>121547</v>
      </c>
      <c r="M46" s="333">
        <f t="shared" si="75"/>
        <v>0</v>
      </c>
      <c r="N46" s="333">
        <f t="shared" si="3"/>
        <v>121547</v>
      </c>
      <c r="O46" s="333">
        <f t="shared" ref="O46:P46" si="76">O36+O42</f>
        <v>134852</v>
      </c>
      <c r="P46" s="333">
        <f t="shared" si="76"/>
        <v>0</v>
      </c>
      <c r="Q46" s="333">
        <f t="shared" si="4"/>
        <v>134852</v>
      </c>
      <c r="R46" s="333">
        <f t="shared" ref="R46:S46" si="77">R36+R42</f>
        <v>136284</v>
      </c>
      <c r="S46" s="333">
        <f t="shared" si="77"/>
        <v>0</v>
      </c>
      <c r="T46" s="333">
        <f t="shared" si="5"/>
        <v>136284</v>
      </c>
    </row>
  </sheetData>
  <mergeCells count="8"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6" fitToWidth="0" fitToHeight="0" orientation="portrait" copies="2" r:id="rId1"/>
  <headerFooter>
    <oddHeader>&amp;L4/G.  melléklet a ...../2019. (.......) önkormányzati rendelethez&amp;C&amp;"-,Félkövér"&amp;16
A Szérűskert Bölcsőde 2019. évi bevételei és kiadásai jogcímenként és feladatonként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0.7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9" width="12" style="6" customWidth="1"/>
    <col min="10" max="16384" width="11.625" style="5"/>
  </cols>
  <sheetData>
    <row r="1" spans="1:9" s="1" customFormat="1" ht="12.75" customHeight="1" x14ac:dyDescent="0.25">
      <c r="A1" s="913" t="s">
        <v>258</v>
      </c>
      <c r="B1" s="913"/>
      <c r="C1" s="913"/>
      <c r="D1" s="913"/>
      <c r="E1" s="913"/>
      <c r="F1" s="913"/>
      <c r="G1" s="913"/>
      <c r="H1" s="913"/>
      <c r="I1" s="913"/>
    </row>
    <row r="2" spans="1:9" s="1" customFormat="1" ht="14.1" customHeight="1" x14ac:dyDescent="0.25">
      <c r="A2" s="913" t="s">
        <v>0</v>
      </c>
      <c r="B2" s="914" t="s">
        <v>1</v>
      </c>
      <c r="C2" s="913" t="s">
        <v>2</v>
      </c>
      <c r="D2" s="915" t="s">
        <v>260</v>
      </c>
      <c r="E2" s="905" t="s">
        <v>259</v>
      </c>
      <c r="F2" s="907" t="s">
        <v>261</v>
      </c>
      <c r="G2" s="908"/>
      <c r="H2" s="907" t="s">
        <v>262</v>
      </c>
      <c r="I2" s="908"/>
    </row>
    <row r="3" spans="1:9" s="3" customFormat="1" ht="25.5" customHeight="1" x14ac:dyDescent="0.25">
      <c r="A3" s="913"/>
      <c r="B3" s="914"/>
      <c r="C3" s="913"/>
      <c r="D3" s="915"/>
      <c r="E3" s="906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" customHeight="1" x14ac:dyDescent="0.25"/>
    <row r="5" spans="1:9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 t="shared" ref="I22" si="1">SUM(I23:I24)</f>
        <v>0</v>
      </c>
    </row>
    <row r="23" spans="1:9" s="15" customFormat="1" ht="11.4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895</v>
      </c>
      <c r="E26" s="9">
        <f t="shared" si="2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1200</v>
      </c>
      <c r="E27" s="9">
        <f t="shared" si="2"/>
        <v>1200</v>
      </c>
      <c r="F27" s="10">
        <v>1200</v>
      </c>
      <c r="G27" s="10">
        <f>G28</f>
        <v>1200</v>
      </c>
      <c r="H27" s="10">
        <v>0</v>
      </c>
      <c r="I27" s="10">
        <f t="shared" ref="I27" si="3">I28</f>
        <v>0</v>
      </c>
    </row>
    <row r="28" spans="1:9" s="15" customFormat="1" ht="11.4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250</v>
      </c>
      <c r="E30" s="9">
        <f t="shared" si="4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1275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 t="shared" ref="G35:I35" si="5">G36</f>
        <v>143</v>
      </c>
      <c r="H35" s="10">
        <f t="shared" si="5"/>
        <v>0</v>
      </c>
      <c r="I35" s="10">
        <f t="shared" si="5"/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" customHeight="1" x14ac:dyDescent="0.25">
      <c r="A39" s="11"/>
      <c r="B39" s="11"/>
      <c r="C39" s="12" t="s">
        <v>1276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>D6+D20+D21+D22+D25+D26+D27+D29+D30+D31+D34+D35+D37</f>
        <v>38351</v>
      </c>
      <c r="E40" s="18">
        <f t="shared" ref="E40:I40" si="6">E6+E20+E21+E22+E25+E26+E27+E29+E30+E31+E34+E35+E37</f>
        <v>39806</v>
      </c>
      <c r="F40" s="18">
        <f t="shared" si="6"/>
        <v>38351</v>
      </c>
      <c r="G40" s="18">
        <f>G6+G20+G21+G22+G25+G26+G27+G29+G30+G31+G34+G35+G37</f>
        <v>39806</v>
      </c>
      <c r="H40" s="18">
        <f t="shared" si="6"/>
        <v>0</v>
      </c>
      <c r="I40" s="18">
        <f t="shared" si="6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 t="shared" ref="G42:I42" si="7">G43</f>
        <v>300</v>
      </c>
      <c r="H42" s="10">
        <f t="shared" si="7"/>
        <v>0</v>
      </c>
      <c r="I42" s="10">
        <f t="shared" si="7"/>
        <v>0</v>
      </c>
    </row>
    <row r="43" spans="1:9" s="15" customFormat="1" ht="11.4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 t="shared" ref="G44:I44" si="8">G45</f>
        <v>50</v>
      </c>
      <c r="H44" s="10">
        <f t="shared" si="8"/>
        <v>0</v>
      </c>
      <c r="I44" s="10">
        <f t="shared" si="8"/>
        <v>0</v>
      </c>
    </row>
    <row r="45" spans="1:9" s="15" customFormat="1" ht="11.4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>D41+D42+D44</f>
        <v>400</v>
      </c>
      <c r="E46" s="18">
        <f t="shared" ref="E46:I46" si="9">E41+E42+E44</f>
        <v>350</v>
      </c>
      <c r="F46" s="18">
        <f t="shared" si="9"/>
        <v>400</v>
      </c>
      <c r="G46" s="18">
        <f t="shared" si="9"/>
        <v>350</v>
      </c>
      <c r="H46" s="18">
        <f t="shared" si="9"/>
        <v>0</v>
      </c>
      <c r="I46" s="18">
        <f t="shared" si="9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>D40+D46</f>
        <v>38751</v>
      </c>
      <c r="E47" s="22">
        <f t="shared" ref="E47:I47" si="10">E40+E46</f>
        <v>40156</v>
      </c>
      <c r="F47" s="22">
        <f t="shared" si="10"/>
        <v>38751</v>
      </c>
      <c r="G47" s="22">
        <f t="shared" si="10"/>
        <v>40156</v>
      </c>
      <c r="H47" s="22">
        <f t="shared" si="10"/>
        <v>0</v>
      </c>
      <c r="I47" s="22">
        <f t="shared" si="10"/>
        <v>0</v>
      </c>
    </row>
    <row r="48" spans="1:9" s="15" customFormat="1" ht="11.4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 t="shared" ref="H48:I48" si="11">ROUND((H6+H20+H21+H22+H25+H26+H42)*0.27,0)</f>
        <v>0</v>
      </c>
      <c r="I48" s="13">
        <f t="shared" si="11"/>
        <v>0</v>
      </c>
    </row>
    <row r="49" spans="1:9" s="15" customFormat="1" ht="11.4" customHeight="1" x14ac:dyDescent="0.25">
      <c r="A49" s="11"/>
      <c r="B49" s="11"/>
      <c r="C49" s="12" t="s">
        <v>61</v>
      </c>
      <c r="D49" s="13">
        <f t="shared" ref="D49:E51" si="12">H49+F49</f>
        <v>232</v>
      </c>
      <c r="E49" s="13">
        <f t="shared" si="12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" customHeight="1" x14ac:dyDescent="0.25">
      <c r="A50" s="11"/>
      <c r="B50" s="11"/>
      <c r="C50" s="12" t="s">
        <v>62</v>
      </c>
      <c r="D50" s="13">
        <f t="shared" si="12"/>
        <v>0</v>
      </c>
      <c r="E50" s="13">
        <f t="shared" si="12"/>
        <v>0</v>
      </c>
      <c r="F50" s="14">
        <v>0</v>
      </c>
      <c r="G50" s="14"/>
      <c r="H50" s="14"/>
      <c r="I50" s="14"/>
    </row>
    <row r="51" spans="1:9" s="15" customFormat="1" ht="11.4" customHeight="1" x14ac:dyDescent="0.25">
      <c r="A51" s="11"/>
      <c r="B51" s="11"/>
      <c r="C51" s="12" t="s">
        <v>63</v>
      </c>
      <c r="D51" s="13">
        <f t="shared" si="12"/>
        <v>248</v>
      </c>
      <c r="E51" s="13">
        <f t="shared" si="12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>D48+D49+D50+D51</f>
        <v>10505</v>
      </c>
      <c r="E52" s="22">
        <f t="shared" ref="E52:I52" si="13">E48+E49+E50+E51</f>
        <v>10950</v>
      </c>
      <c r="F52" s="22">
        <f t="shared" si="13"/>
        <v>10505</v>
      </c>
      <c r="G52" s="22">
        <f t="shared" si="13"/>
        <v>10950</v>
      </c>
      <c r="H52" s="22">
        <f t="shared" si="13"/>
        <v>0</v>
      </c>
      <c r="I52" s="22">
        <f t="shared" si="13"/>
        <v>0</v>
      </c>
    </row>
    <row r="53" spans="1:9" s="3" customFormat="1" ht="14.1" customHeight="1" x14ac:dyDescent="0.25">
      <c r="A53" s="909" t="s">
        <v>66</v>
      </c>
      <c r="B53" s="910"/>
      <c r="C53" s="911"/>
      <c r="D53" s="30">
        <f>D47+D52</f>
        <v>49256</v>
      </c>
      <c r="E53" s="30">
        <f t="shared" ref="E53:I53" si="14">E47+E52</f>
        <v>51106</v>
      </c>
      <c r="F53" s="30">
        <f t="shared" si="14"/>
        <v>49256</v>
      </c>
      <c r="G53" s="30">
        <f t="shared" si="14"/>
        <v>51106</v>
      </c>
      <c r="H53" s="30">
        <f t="shared" si="14"/>
        <v>0</v>
      </c>
      <c r="I53" s="30">
        <f t="shared" si="14"/>
        <v>0</v>
      </c>
    </row>
    <row r="54" spans="1:9" s="1" customFormat="1" ht="12.75" customHeight="1" x14ac:dyDescent="0.25">
      <c r="A54" s="913" t="s">
        <v>264</v>
      </c>
      <c r="B54" s="913"/>
      <c r="C54" s="913"/>
      <c r="D54" s="913"/>
      <c r="E54" s="913"/>
      <c r="F54" s="913"/>
      <c r="G54" s="913"/>
      <c r="H54" s="913"/>
      <c r="I54" s="913"/>
    </row>
    <row r="55" spans="1:9" s="1" customFormat="1" ht="14.1" customHeight="1" x14ac:dyDescent="0.25">
      <c r="A55" s="913" t="s">
        <v>0</v>
      </c>
      <c r="B55" s="914" t="s">
        <v>1</v>
      </c>
      <c r="C55" s="913" t="s">
        <v>2</v>
      </c>
      <c r="D55" s="915" t="s">
        <v>260</v>
      </c>
      <c r="E55" s="905" t="s">
        <v>259</v>
      </c>
      <c r="F55" s="907" t="s">
        <v>261</v>
      </c>
      <c r="G55" s="908"/>
      <c r="H55" s="907" t="s">
        <v>262</v>
      </c>
      <c r="I55" s="908"/>
    </row>
    <row r="56" spans="1:9" s="3" customFormat="1" ht="32.950000000000003" customHeight="1" x14ac:dyDescent="0.25">
      <c r="A56" s="913"/>
      <c r="B56" s="914"/>
      <c r="C56" s="913"/>
      <c r="D56" s="915"/>
      <c r="E56" s="906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" customHeight="1" x14ac:dyDescent="0.25"/>
    <row r="58" spans="1:9" ht="14.1" customHeight="1" x14ac:dyDescent="0.25">
      <c r="A58" s="912" t="s">
        <v>288</v>
      </c>
      <c r="B58" s="912"/>
      <c r="C58" s="912"/>
      <c r="D58" s="912"/>
      <c r="E58" s="912"/>
      <c r="F58" s="912"/>
      <c r="G58" s="912"/>
      <c r="H58" s="912"/>
      <c r="I58" s="912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 t="shared" ref="G59:I59" si="15">SUM(G60:G65)</f>
        <v>205</v>
      </c>
      <c r="H59" s="10">
        <f t="shared" si="15"/>
        <v>0</v>
      </c>
      <c r="I59" s="10">
        <f t="shared" si="15"/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 t="shared" ref="G73:I73" si="16">SUM(G74:G75)</f>
        <v>0</v>
      </c>
      <c r="H73" s="10">
        <f t="shared" si="16"/>
        <v>0</v>
      </c>
      <c r="I73" s="10">
        <f t="shared" si="16"/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>D59+D66</f>
        <v>1351</v>
      </c>
      <c r="E76" s="19">
        <f t="shared" ref="E76:I76" si="17">E59+E66</f>
        <v>1410</v>
      </c>
      <c r="F76" s="19">
        <f t="shared" si="17"/>
        <v>1351</v>
      </c>
      <c r="G76" s="19">
        <f t="shared" si="17"/>
        <v>1410</v>
      </c>
      <c r="H76" s="19">
        <f t="shared" si="17"/>
        <v>0</v>
      </c>
      <c r="I76" s="19">
        <f t="shared" si="17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 t="shared" ref="H77:I77" si="18">SUM(H78:H83)</f>
        <v>0</v>
      </c>
      <c r="I77" s="10">
        <f t="shared" si="18"/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 t="shared" ref="G84:I84" si="19">SUM(G85:G86)</f>
        <v>135</v>
      </c>
      <c r="H84" s="10">
        <f t="shared" si="19"/>
        <v>0</v>
      </c>
      <c r="I84" s="10">
        <f t="shared" si="19"/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>D77+D84</f>
        <v>190</v>
      </c>
      <c r="E87" s="19">
        <f t="shared" ref="E87:I87" si="20">E77+E84</f>
        <v>155</v>
      </c>
      <c r="F87" s="19">
        <f t="shared" si="20"/>
        <v>190</v>
      </c>
      <c r="G87" s="19">
        <f t="shared" si="20"/>
        <v>155</v>
      </c>
      <c r="H87" s="19">
        <f t="shared" si="20"/>
        <v>0</v>
      </c>
      <c r="I87" s="19">
        <f t="shared" si="2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 t="shared" ref="G88:I88" si="21">SUM(G89:G91)</f>
        <v>1500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 t="shared" ref="G94:I94" si="22">SUM(G95:G96)</f>
        <v>0</v>
      </c>
      <c r="H94" s="10">
        <f t="shared" si="22"/>
        <v>0</v>
      </c>
      <c r="I94" s="10">
        <f t="shared" si="22"/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 t="shared" ref="G101:I101" si="23">SUM(G102:G104)</f>
        <v>20</v>
      </c>
      <c r="H101" s="10">
        <f t="shared" si="23"/>
        <v>0</v>
      </c>
      <c r="I101" s="10">
        <f t="shared" si="23"/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 t="shared" ref="G105:I105" si="24">SUM(G106:G109)</f>
        <v>965</v>
      </c>
      <c r="H105" s="10">
        <f t="shared" si="24"/>
        <v>0</v>
      </c>
      <c r="I105" s="10">
        <f t="shared" si="24"/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>D88+D92+D94+D97+D98+D101+D105</f>
        <v>9276</v>
      </c>
      <c r="E110" s="19">
        <f t="shared" ref="E110:I110" si="25">E88+E92+E94+E97+E98+E101+E105</f>
        <v>7385</v>
      </c>
      <c r="F110" s="19">
        <f t="shared" si="25"/>
        <v>3695</v>
      </c>
      <c r="G110" s="19">
        <f t="shared" si="25"/>
        <v>3685</v>
      </c>
      <c r="H110" s="19">
        <f t="shared" si="25"/>
        <v>5581</v>
      </c>
      <c r="I110" s="19">
        <f t="shared" si="25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 t="shared" ref="G111:I111" si="26">SUM(G112:G113)</f>
        <v>60</v>
      </c>
      <c r="H111" s="10">
        <f t="shared" si="26"/>
        <v>0</v>
      </c>
      <c r="I111" s="10">
        <f t="shared" si="26"/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>D111+D114</f>
        <v>100</v>
      </c>
      <c r="E115" s="19">
        <f t="shared" ref="E115:I115" si="27">E111+E114</f>
        <v>60</v>
      </c>
      <c r="F115" s="19">
        <f t="shared" si="27"/>
        <v>100</v>
      </c>
      <c r="G115" s="19">
        <f t="shared" si="27"/>
        <v>60</v>
      </c>
      <c r="H115" s="19">
        <f t="shared" si="27"/>
        <v>0</v>
      </c>
      <c r="I115" s="19">
        <f t="shared" si="27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 t="shared" ref="G116:I116" si="28">SUM(G117:G118)</f>
        <v>1418</v>
      </c>
      <c r="H116" s="10">
        <f t="shared" si="28"/>
        <v>1507</v>
      </c>
      <c r="I116" s="10">
        <f t="shared" si="28"/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 t="shared" ref="G119:I119" si="29">SUM(G120:G122)</f>
        <v>0</v>
      </c>
      <c r="H119" s="10">
        <f t="shared" si="29"/>
        <v>0</v>
      </c>
      <c r="I119" s="10">
        <f t="shared" si="29"/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 t="shared" ref="G123:I123" si="30">SUM(G124:G127)</f>
        <v>0</v>
      </c>
      <c r="H123" s="10">
        <f t="shared" si="30"/>
        <v>0</v>
      </c>
      <c r="I123" s="10">
        <f t="shared" si="30"/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 t="shared" ref="G128:I128" si="31">SUM(G129:G130)</f>
        <v>0</v>
      </c>
      <c r="H128" s="10">
        <f t="shared" si="31"/>
        <v>0</v>
      </c>
      <c r="I128" s="10">
        <f t="shared" si="31"/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 t="shared" ref="G131:I131" si="32">SUM(G132:G135)</f>
        <v>300</v>
      </c>
      <c r="H131" s="10">
        <f t="shared" si="32"/>
        <v>0</v>
      </c>
      <c r="I131" s="10">
        <f t="shared" si="32"/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>D116+D119+D123+D128+D131</f>
        <v>2941</v>
      </c>
      <c r="E136" s="19">
        <f t="shared" ref="E136:I136" si="33">E116+E119+E123+E128+E131</f>
        <v>2717</v>
      </c>
      <c r="F136" s="19">
        <f t="shared" si="33"/>
        <v>1434</v>
      </c>
      <c r="G136" s="19">
        <f t="shared" si="33"/>
        <v>1718</v>
      </c>
      <c r="H136" s="19">
        <f t="shared" si="33"/>
        <v>1507</v>
      </c>
      <c r="I136" s="19">
        <f t="shared" si="3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>D76+D87+D110+D115+D136</f>
        <v>13858</v>
      </c>
      <c r="E137" s="23">
        <f t="shared" ref="E137:I137" si="34">E76+E87+E110+E115+E136</f>
        <v>11727</v>
      </c>
      <c r="F137" s="23">
        <f t="shared" si="34"/>
        <v>6770</v>
      </c>
      <c r="G137" s="23">
        <f t="shared" si="34"/>
        <v>7028</v>
      </c>
      <c r="H137" s="23">
        <f t="shared" si="34"/>
        <v>7088</v>
      </c>
      <c r="I137" s="23">
        <f t="shared" si="34"/>
        <v>4699</v>
      </c>
    </row>
    <row r="138" spans="1:252" ht="14.1" customHeight="1" x14ac:dyDescent="0.2">
      <c r="A138" s="916" t="s">
        <v>291</v>
      </c>
      <c r="B138" s="917"/>
      <c r="C138" s="918"/>
      <c r="D138" s="28">
        <f>D53+D137</f>
        <v>63114</v>
      </c>
      <c r="E138" s="28">
        <f t="shared" ref="E138:I138" si="35">E53+E137</f>
        <v>62833</v>
      </c>
      <c r="F138" s="28">
        <f t="shared" si="35"/>
        <v>56026</v>
      </c>
      <c r="G138" s="28">
        <f t="shared" si="35"/>
        <v>58134</v>
      </c>
      <c r="H138" s="28">
        <f t="shared" si="35"/>
        <v>7088</v>
      </c>
      <c r="I138" s="28">
        <f t="shared" si="3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913" t="s">
        <v>290</v>
      </c>
      <c r="B142" s="913"/>
      <c r="C142" s="913"/>
      <c r="D142" s="913"/>
      <c r="E142" s="913"/>
      <c r="F142" s="913"/>
      <c r="G142" s="913"/>
      <c r="H142" s="913"/>
      <c r="I142" s="913"/>
    </row>
    <row r="143" spans="1:252" s="1" customFormat="1" ht="14.1" customHeight="1" x14ac:dyDescent="0.25">
      <c r="A143" s="913" t="s">
        <v>0</v>
      </c>
      <c r="B143" s="914" t="s">
        <v>1</v>
      </c>
      <c r="C143" s="913" t="s">
        <v>2</v>
      </c>
      <c r="D143" s="915" t="s">
        <v>260</v>
      </c>
      <c r="E143" s="905" t="s">
        <v>259</v>
      </c>
      <c r="F143" s="907" t="s">
        <v>261</v>
      </c>
      <c r="G143" s="908"/>
      <c r="H143" s="907" t="s">
        <v>262</v>
      </c>
      <c r="I143" s="908"/>
    </row>
    <row r="144" spans="1:252" s="3" customFormat="1" ht="27" customHeight="1" x14ac:dyDescent="0.25">
      <c r="A144" s="913"/>
      <c r="B144" s="914"/>
      <c r="C144" s="913"/>
      <c r="D144" s="915"/>
      <c r="E144" s="906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" customHeight="1" x14ac:dyDescent="0.25"/>
    <row r="146" spans="1:9" ht="14.1" customHeight="1" x14ac:dyDescent="0.25">
      <c r="A146" s="912" t="s">
        <v>194</v>
      </c>
      <c r="B146" s="912"/>
      <c r="C146" s="912"/>
      <c r="D146" s="912"/>
      <c r="E146" s="912"/>
      <c r="F146" s="912"/>
      <c r="G146" s="912"/>
      <c r="H146" s="912"/>
      <c r="I146" s="912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36">F148+H148</f>
        <v>0</v>
      </c>
      <c r="E148" s="26">
        <f t="shared" si="3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36"/>
        <v>0</v>
      </c>
      <c r="E149" s="26">
        <f t="shared" si="3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36"/>
        <v>234</v>
      </c>
      <c r="E150" s="26">
        <f t="shared" si="3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36"/>
        <v>0</v>
      </c>
      <c r="E151" s="26">
        <f t="shared" si="3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36"/>
        <v>0</v>
      </c>
      <c r="E152" s="26">
        <f t="shared" si="3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36"/>
        <v>0</v>
      </c>
      <c r="E153" s="26">
        <f t="shared" si="3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36"/>
        <v>63</v>
      </c>
      <c r="E154" s="26">
        <f t="shared" si="3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>SUM(D147:D154)</f>
        <v>297</v>
      </c>
      <c r="E155" s="23">
        <f t="shared" ref="E155:I155" si="37">SUM(E147:E154)</f>
        <v>222</v>
      </c>
      <c r="F155" s="23">
        <f t="shared" si="37"/>
        <v>297</v>
      </c>
      <c r="G155" s="23">
        <f t="shared" si="37"/>
        <v>222</v>
      </c>
      <c r="H155" s="23">
        <f t="shared" si="37"/>
        <v>0</v>
      </c>
      <c r="I155" s="23">
        <f t="shared" si="3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>F156+H156</f>
        <v>0</v>
      </c>
      <c r="E156" s="26">
        <f t="shared" ref="E156:E160" si="38">G156+I156</f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ref="D157:D160" si="39">F157+H157</f>
        <v>0</v>
      </c>
      <c r="E157" s="26">
        <f t="shared" si="3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39"/>
        <v>0</v>
      </c>
      <c r="E158" s="26">
        <f>G158+I158</f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39"/>
        <v>0</v>
      </c>
      <c r="E159" s="26">
        <f t="shared" si="3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39"/>
        <v>0</v>
      </c>
      <c r="E160" s="26">
        <f t="shared" si="3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>SUM(D156:D160)</f>
        <v>0</v>
      </c>
      <c r="E161" s="23">
        <f t="shared" ref="E161:I161" si="40">SUM(E156:E160)</f>
        <v>0</v>
      </c>
      <c r="F161" s="23">
        <f t="shared" si="40"/>
        <v>0</v>
      </c>
      <c r="G161" s="23">
        <f t="shared" si="40"/>
        <v>0</v>
      </c>
      <c r="H161" s="23">
        <f t="shared" si="40"/>
        <v>0</v>
      </c>
      <c r="I161" s="23">
        <f t="shared" si="40"/>
        <v>0</v>
      </c>
    </row>
    <row r="162" spans="1:9" s="3" customFormat="1" ht="14.1" customHeight="1" x14ac:dyDescent="0.25">
      <c r="A162" s="916" t="s">
        <v>293</v>
      </c>
      <c r="B162" s="917"/>
      <c r="C162" s="918" t="s">
        <v>238</v>
      </c>
      <c r="D162" s="28">
        <f>D155+D161</f>
        <v>297</v>
      </c>
      <c r="E162" s="28">
        <f t="shared" ref="E162:I162" si="41">E155+E161</f>
        <v>222</v>
      </c>
      <c r="F162" s="28">
        <f t="shared" si="41"/>
        <v>297</v>
      </c>
      <c r="G162" s="28">
        <f t="shared" si="41"/>
        <v>222</v>
      </c>
      <c r="H162" s="28">
        <f t="shared" si="41"/>
        <v>0</v>
      </c>
      <c r="I162" s="28">
        <f t="shared" si="41"/>
        <v>0</v>
      </c>
    </row>
    <row r="163" spans="1:9" ht="6.8" customHeight="1" x14ac:dyDescent="0.25"/>
    <row r="164" spans="1:9" ht="14.1" customHeight="1" x14ac:dyDescent="0.25">
      <c r="A164" s="909" t="s">
        <v>294</v>
      </c>
      <c r="B164" s="910"/>
      <c r="C164" s="911"/>
      <c r="D164" s="30">
        <f>D162+D138</f>
        <v>63411</v>
      </c>
      <c r="E164" s="30">
        <f t="shared" ref="E164:I164" si="42">E162+E138</f>
        <v>63055</v>
      </c>
      <c r="F164" s="30">
        <f t="shared" si="42"/>
        <v>56323</v>
      </c>
      <c r="G164" s="30">
        <f t="shared" si="42"/>
        <v>58356</v>
      </c>
      <c r="H164" s="30">
        <f t="shared" si="42"/>
        <v>7088</v>
      </c>
      <c r="I164" s="30">
        <f t="shared" si="42"/>
        <v>4699</v>
      </c>
    </row>
    <row r="169" spans="1:9" s="1" customFormat="1" ht="12.75" customHeight="1" x14ac:dyDescent="0.25">
      <c r="A169" s="913" t="s">
        <v>264</v>
      </c>
      <c r="B169" s="913"/>
      <c r="C169" s="913"/>
      <c r="D169" s="913"/>
      <c r="E169" s="913"/>
      <c r="F169" s="913"/>
      <c r="G169" s="913"/>
      <c r="H169" s="913"/>
      <c r="I169" s="913"/>
    </row>
    <row r="170" spans="1:9" s="1" customFormat="1" ht="14.1" customHeight="1" x14ac:dyDescent="0.25">
      <c r="A170" s="913" t="s">
        <v>0</v>
      </c>
      <c r="B170" s="914" t="s">
        <v>1</v>
      </c>
      <c r="C170" s="913" t="s">
        <v>2</v>
      </c>
      <c r="D170" s="915" t="s">
        <v>260</v>
      </c>
      <c r="E170" s="905" t="s">
        <v>259</v>
      </c>
      <c r="F170" s="907" t="s">
        <v>261</v>
      </c>
      <c r="G170" s="908"/>
      <c r="H170" s="907" t="s">
        <v>262</v>
      </c>
      <c r="I170" s="908"/>
    </row>
    <row r="171" spans="1:9" s="3" customFormat="1" ht="23.3" customHeight="1" x14ac:dyDescent="0.25">
      <c r="A171" s="913"/>
      <c r="B171" s="914"/>
      <c r="C171" s="913"/>
      <c r="D171" s="915"/>
      <c r="E171" s="906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" customHeight="1" x14ac:dyDescent="0.25"/>
    <row r="173" spans="1:9" ht="14.1" customHeight="1" x14ac:dyDescent="0.25">
      <c r="A173" s="912" t="s">
        <v>239</v>
      </c>
      <c r="B173" s="912"/>
      <c r="C173" s="912"/>
      <c r="D173" s="912"/>
      <c r="E173" s="912"/>
      <c r="F173" s="912"/>
      <c r="G173" s="912"/>
      <c r="H173" s="912"/>
      <c r="I173" s="912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>SUM(D175:D184)</f>
        <v>4094</v>
      </c>
      <c r="E174" s="23">
        <f t="shared" ref="E174:I174" si="43">SUM(E175:E184)</f>
        <v>673</v>
      </c>
      <c r="F174" s="23">
        <f t="shared" si="43"/>
        <v>0</v>
      </c>
      <c r="G174" s="23">
        <f t="shared" si="43"/>
        <v>0</v>
      </c>
      <c r="H174" s="23">
        <f t="shared" si="43"/>
        <v>4094</v>
      </c>
      <c r="I174" s="23">
        <f t="shared" si="43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44">F176+H176</f>
        <v>0</v>
      </c>
      <c r="E176" s="26">
        <f t="shared" si="44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44"/>
        <v>0</v>
      </c>
      <c r="E177" s="26">
        <f t="shared" si="44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44"/>
        <v>0</v>
      </c>
      <c r="E178" s="26">
        <f t="shared" si="44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 t="shared" ref="D179" si="45">F179+H179</f>
        <v>3113</v>
      </c>
      <c r="E179" s="26">
        <f t="shared" ref="E179" si="46"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44"/>
        <v>841</v>
      </c>
      <c r="E180" s="26">
        <f t="shared" si="44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 t="shared" ref="D181" si="47">F181+H181</f>
        <v>140</v>
      </c>
      <c r="E181" s="26">
        <f t="shared" ref="E181" si="48"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44"/>
        <v>0</v>
      </c>
      <c r="E182" s="26">
        <f t="shared" si="44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 t="shared" ref="D183" si="49">F183+H183</f>
        <v>0</v>
      </c>
      <c r="E183" s="26">
        <f t="shared" ref="E183" si="50"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44"/>
        <v>0</v>
      </c>
      <c r="E184" s="26">
        <f t="shared" si="44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909" t="s">
        <v>295</v>
      </c>
      <c r="B186" s="910"/>
      <c r="C186" s="911"/>
      <c r="D186" s="30">
        <f>D174+D185</f>
        <v>4094</v>
      </c>
      <c r="E186" s="30">
        <f t="shared" ref="E186:I186" si="51">E174+E185</f>
        <v>673</v>
      </c>
      <c r="F186" s="30">
        <f t="shared" si="51"/>
        <v>0</v>
      </c>
      <c r="G186" s="30">
        <f t="shared" si="51"/>
        <v>0</v>
      </c>
      <c r="H186" s="30">
        <f t="shared" si="51"/>
        <v>4094</v>
      </c>
      <c r="I186" s="30">
        <f t="shared" si="51"/>
        <v>673</v>
      </c>
    </row>
  </sheetData>
  <sheetProtection selectLockedCells="1" selectUnlockedCells="1"/>
  <mergeCells count="41">
    <mergeCell ref="E55:E56"/>
    <mergeCell ref="F55:G55"/>
    <mergeCell ref="H55:I55"/>
    <mergeCell ref="A146:I146"/>
    <mergeCell ref="A169:I169"/>
    <mergeCell ref="A58:I58"/>
    <mergeCell ref="A142:I142"/>
    <mergeCell ref="A164:C164"/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138:C138"/>
    <mergeCell ref="A162:C162"/>
    <mergeCell ref="E143:E144"/>
    <mergeCell ref="F143:G143"/>
    <mergeCell ref="H143:I143"/>
    <mergeCell ref="A143:A144"/>
    <mergeCell ref="B143:B144"/>
    <mergeCell ref="C143:C144"/>
    <mergeCell ref="D143:D144"/>
    <mergeCell ref="A53:C53"/>
    <mergeCell ref="A54:I54"/>
    <mergeCell ref="A55:A56"/>
    <mergeCell ref="B55:B56"/>
    <mergeCell ref="C55:C56"/>
    <mergeCell ref="D55:D56"/>
    <mergeCell ref="E170:E171"/>
    <mergeCell ref="F170:G170"/>
    <mergeCell ref="H170:I170"/>
    <mergeCell ref="A186:C186"/>
    <mergeCell ref="A173:I173"/>
    <mergeCell ref="A170:A171"/>
    <mergeCell ref="B170:B171"/>
    <mergeCell ref="C170:C171"/>
    <mergeCell ref="D170:D17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7"/>
  <sheetViews>
    <sheetView view="pageBreakPreview" topLeftCell="A8" zoomScaleNormal="100" zoomScaleSheetLayoutView="100" workbookViewId="0">
      <selection activeCell="R34" sqref="R34"/>
    </sheetView>
  </sheetViews>
  <sheetFormatPr defaultRowHeight="14.3" x14ac:dyDescent="0.25"/>
  <cols>
    <col min="1" max="1" width="8.625" style="31" customWidth="1"/>
    <col min="2" max="2" width="54" customWidth="1"/>
    <col min="3" max="3" width="13" hidden="1" customWidth="1"/>
    <col min="4" max="4" width="9" hidden="1" customWidth="1"/>
    <col min="5" max="5" width="11" hidden="1" customWidth="1"/>
    <col min="6" max="6" width="13" hidden="1" customWidth="1"/>
    <col min="7" max="7" width="9" hidden="1" customWidth="1"/>
    <col min="8" max="8" width="10.75" hidden="1" customWidth="1"/>
    <col min="9" max="9" width="10.25" hidden="1" customWidth="1"/>
    <col min="10" max="10" width="9" hidden="1" customWidth="1"/>
    <col min="11" max="11" width="11.25" hidden="1" customWidth="1"/>
    <col min="12" max="12" width="10.25" hidden="1" customWidth="1"/>
    <col min="13" max="13" width="9" hidden="1" customWidth="1"/>
    <col min="14" max="14" width="10.125" hidden="1" customWidth="1"/>
    <col min="15" max="15" width="10.25" customWidth="1"/>
    <col min="17" max="17" width="10.125" customWidth="1"/>
    <col min="18" max="18" width="9.625" customWidth="1"/>
    <col min="19" max="19" width="9.125" customWidth="1"/>
    <col min="20" max="20" width="8.875" customWidth="1"/>
  </cols>
  <sheetData>
    <row r="1" spans="1:20" ht="14.95" x14ac:dyDescent="0.25">
      <c r="Q1" s="774"/>
      <c r="T1" s="774" t="s">
        <v>302</v>
      </c>
    </row>
    <row r="2" spans="1:20" ht="19.7" customHeight="1" x14ac:dyDescent="0.25">
      <c r="A2" s="346" t="s">
        <v>303</v>
      </c>
      <c r="B2" s="346" t="s">
        <v>1448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</row>
    <row r="3" spans="1:20" x14ac:dyDescent="0.25">
      <c r="A3" s="346" t="s">
        <v>304</v>
      </c>
      <c r="B3" s="346" t="s">
        <v>1511</v>
      </c>
      <c r="C3" s="399"/>
      <c r="D3" s="399"/>
      <c r="E3" s="399"/>
      <c r="F3" s="494"/>
      <c r="G3" s="494"/>
      <c r="H3" s="494"/>
      <c r="I3" s="523"/>
      <c r="J3" s="523"/>
      <c r="K3" s="523"/>
      <c r="L3" s="642"/>
      <c r="M3" s="642"/>
      <c r="N3" s="642"/>
      <c r="O3" s="642"/>
      <c r="P3" s="642"/>
      <c r="Q3" s="642"/>
      <c r="R3" s="642"/>
      <c r="S3" s="642"/>
      <c r="T3" s="642"/>
    </row>
    <row r="4" spans="1:20" ht="62.5" customHeight="1" x14ac:dyDescent="0.25">
      <c r="A4" s="879" t="s">
        <v>305</v>
      </c>
      <c r="B4" s="904" t="s">
        <v>306</v>
      </c>
      <c r="C4" s="880" t="s">
        <v>1505</v>
      </c>
      <c r="D4" s="881"/>
      <c r="E4" s="882"/>
      <c r="F4" s="880" t="s">
        <v>1506</v>
      </c>
      <c r="G4" s="881"/>
      <c r="H4" s="882"/>
      <c r="I4" s="880" t="s">
        <v>1507</v>
      </c>
      <c r="J4" s="881"/>
      <c r="K4" s="882"/>
      <c r="L4" s="880" t="s">
        <v>1498</v>
      </c>
      <c r="M4" s="881"/>
      <c r="N4" s="882"/>
      <c r="O4" s="880" t="s">
        <v>1501</v>
      </c>
      <c r="P4" s="881"/>
      <c r="Q4" s="882"/>
      <c r="R4" s="895" t="s">
        <v>1722</v>
      </c>
      <c r="S4" s="896"/>
      <c r="T4" s="897"/>
    </row>
    <row r="5" spans="1:20" ht="45" customHeight="1" x14ac:dyDescent="0.25">
      <c r="A5" s="879"/>
      <c r="B5" s="904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8" t="s">
        <v>1313</v>
      </c>
      <c r="S5" s="858" t="s">
        <v>1314</v>
      </c>
      <c r="T5" s="858" t="s">
        <v>553</v>
      </c>
    </row>
    <row r="6" spans="1:20" x14ac:dyDescent="0.25">
      <c r="A6" s="347"/>
      <c r="B6" s="348" t="s">
        <v>307</v>
      </c>
      <c r="C6" s="468">
        <f>97-4-1-20-2.5</f>
        <v>69.5</v>
      </c>
      <c r="D6" s="468">
        <v>0</v>
      </c>
      <c r="E6" s="468">
        <f t="shared" ref="E6:E46" si="0">SUM(C6:D6)</f>
        <v>69.5</v>
      </c>
      <c r="F6" s="468">
        <v>97</v>
      </c>
      <c r="G6" s="468">
        <v>0</v>
      </c>
      <c r="H6" s="468">
        <f t="shared" ref="H6:H46" si="1">SUM(F6:G6)</f>
        <v>97</v>
      </c>
      <c r="I6" s="468">
        <f>97-4-1-20</f>
        <v>72</v>
      </c>
      <c r="J6" s="468">
        <v>0</v>
      </c>
      <c r="K6" s="468">
        <f t="shared" ref="K6:K46" si="2">SUM(I6:J6)</f>
        <v>72</v>
      </c>
      <c r="L6" s="468">
        <f>97-4-1-20</f>
        <v>72</v>
      </c>
      <c r="M6" s="468">
        <v>0</v>
      </c>
      <c r="N6" s="468">
        <f t="shared" ref="N6:N46" si="3">SUM(L6:M6)</f>
        <v>72</v>
      </c>
      <c r="O6" s="468">
        <f>97-4-1-20-2.5</f>
        <v>69.5</v>
      </c>
      <c r="P6" s="468">
        <v>0</v>
      </c>
      <c r="Q6" s="468">
        <f t="shared" ref="Q6:Q46" si="4">SUM(O6:P6)</f>
        <v>69.5</v>
      </c>
      <c r="R6" s="468">
        <f>97-4-1-20-2.5</f>
        <v>69.5</v>
      </c>
      <c r="S6" s="468">
        <v>0</v>
      </c>
      <c r="T6" s="468">
        <f t="shared" ref="T6:T46" si="5">SUM(R6:S6)</f>
        <v>69.5</v>
      </c>
    </row>
    <row r="7" spans="1:20" x14ac:dyDescent="0.25">
      <c r="A7" s="347"/>
      <c r="B7" s="348" t="s">
        <v>308</v>
      </c>
      <c r="C7" s="349">
        <v>0</v>
      </c>
      <c r="D7" s="349">
        <v>0</v>
      </c>
      <c r="E7" s="349">
        <f t="shared" si="0"/>
        <v>0</v>
      </c>
      <c r="F7" s="349">
        <v>0</v>
      </c>
      <c r="G7" s="349">
        <v>0</v>
      </c>
      <c r="H7" s="349">
        <f t="shared" si="1"/>
        <v>0</v>
      </c>
      <c r="I7" s="349">
        <v>0</v>
      </c>
      <c r="J7" s="349">
        <v>0</v>
      </c>
      <c r="K7" s="349">
        <f t="shared" si="2"/>
        <v>0</v>
      </c>
      <c r="L7" s="349">
        <v>0</v>
      </c>
      <c r="M7" s="349">
        <v>0</v>
      </c>
      <c r="N7" s="349">
        <f t="shared" si="3"/>
        <v>0</v>
      </c>
      <c r="O7" s="349">
        <v>0</v>
      </c>
      <c r="P7" s="349">
        <v>0</v>
      </c>
      <c r="Q7" s="349">
        <f t="shared" si="4"/>
        <v>0</v>
      </c>
      <c r="R7" s="349">
        <v>0</v>
      </c>
      <c r="S7" s="349">
        <v>0</v>
      </c>
      <c r="T7" s="349">
        <f t="shared" si="5"/>
        <v>0</v>
      </c>
    </row>
    <row r="8" spans="1:20" x14ac:dyDescent="0.25">
      <c r="A8" s="350" t="s">
        <v>309</v>
      </c>
      <c r="B8" s="351" t="s">
        <v>310</v>
      </c>
      <c r="C8" s="352">
        <f t="shared" ref="C8:D8" si="6">C9+C11+C20</f>
        <v>93541</v>
      </c>
      <c r="D8" s="352">
        <f t="shared" si="6"/>
        <v>0</v>
      </c>
      <c r="E8" s="352">
        <f t="shared" si="0"/>
        <v>93541</v>
      </c>
      <c r="F8" s="352">
        <f t="shared" ref="F8:G8" si="7">F9+F11+F20</f>
        <v>117312</v>
      </c>
      <c r="G8" s="352">
        <f t="shared" si="7"/>
        <v>0</v>
      </c>
      <c r="H8" s="352">
        <f t="shared" si="1"/>
        <v>117312</v>
      </c>
      <c r="I8" s="352">
        <f t="shared" ref="I8:J8" si="8">I9+I11+I20</f>
        <v>117312</v>
      </c>
      <c r="J8" s="352">
        <f t="shared" si="8"/>
        <v>0</v>
      </c>
      <c r="K8" s="352">
        <f t="shared" si="2"/>
        <v>117312</v>
      </c>
      <c r="L8" s="352">
        <f t="shared" ref="L8:M8" si="9">L9+L11+L20</f>
        <v>133402</v>
      </c>
      <c r="M8" s="352">
        <f t="shared" si="9"/>
        <v>0</v>
      </c>
      <c r="N8" s="352">
        <f t="shared" si="3"/>
        <v>133402</v>
      </c>
      <c r="O8" s="352">
        <f t="shared" ref="O8:P8" si="10">O9+O11+O20</f>
        <v>98050</v>
      </c>
      <c r="P8" s="352">
        <f t="shared" si="10"/>
        <v>0</v>
      </c>
      <c r="Q8" s="352">
        <f t="shared" si="4"/>
        <v>98050</v>
      </c>
      <c r="R8" s="352">
        <f t="shared" ref="R8:S8" si="11">R9+R11+R20</f>
        <v>98050</v>
      </c>
      <c r="S8" s="352">
        <f t="shared" si="11"/>
        <v>0</v>
      </c>
      <c r="T8" s="352">
        <f t="shared" si="5"/>
        <v>98050</v>
      </c>
    </row>
    <row r="9" spans="1:20" x14ac:dyDescent="0.25">
      <c r="A9" s="353" t="s">
        <v>311</v>
      </c>
      <c r="B9" s="354" t="s">
        <v>312</v>
      </c>
      <c r="C9" s="355">
        <f t="shared" ref="C9:P9" si="12">C10</f>
        <v>0</v>
      </c>
      <c r="D9" s="355">
        <f t="shared" si="12"/>
        <v>0</v>
      </c>
      <c r="E9" s="355">
        <f t="shared" si="0"/>
        <v>0</v>
      </c>
      <c r="F9" s="775">
        <f t="shared" si="12"/>
        <v>0</v>
      </c>
      <c r="G9" s="775">
        <f t="shared" si="12"/>
        <v>0</v>
      </c>
      <c r="H9" s="355">
        <f t="shared" si="1"/>
        <v>0</v>
      </c>
      <c r="I9" s="775">
        <f t="shared" si="12"/>
        <v>0</v>
      </c>
      <c r="J9" s="775">
        <f t="shared" si="12"/>
        <v>0</v>
      </c>
      <c r="K9" s="355">
        <f t="shared" si="2"/>
        <v>0</v>
      </c>
      <c r="L9" s="355">
        <f t="shared" si="12"/>
        <v>0</v>
      </c>
      <c r="M9" s="355">
        <f t="shared" si="12"/>
        <v>0</v>
      </c>
      <c r="N9" s="355">
        <f t="shared" si="3"/>
        <v>0</v>
      </c>
      <c r="O9" s="355">
        <f t="shared" si="12"/>
        <v>0</v>
      </c>
      <c r="P9" s="355">
        <f t="shared" si="12"/>
        <v>0</v>
      </c>
      <c r="Q9" s="355">
        <f t="shared" si="4"/>
        <v>0</v>
      </c>
      <c r="R9" s="355">
        <f t="shared" ref="R9:S9" si="13">R10</f>
        <v>0</v>
      </c>
      <c r="S9" s="355">
        <f t="shared" si="13"/>
        <v>0</v>
      </c>
      <c r="T9" s="355">
        <f t="shared" si="5"/>
        <v>0</v>
      </c>
    </row>
    <row r="10" spans="1:20" ht="30.1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436">
        <v>0</v>
      </c>
      <c r="G10" s="436">
        <v>0</v>
      </c>
      <c r="H10" s="273">
        <f t="shared" si="1"/>
        <v>0</v>
      </c>
      <c r="I10" s="436">
        <v>0</v>
      </c>
      <c r="J10" s="436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</row>
    <row r="11" spans="1:20" x14ac:dyDescent="0.25">
      <c r="A11" s="353" t="s">
        <v>322</v>
      </c>
      <c r="B11" s="354" t="s">
        <v>314</v>
      </c>
      <c r="C11" s="355">
        <f t="shared" ref="C11:D11" si="14">C12+C13+C14+C15+C16+C17+C18+C19</f>
        <v>93541</v>
      </c>
      <c r="D11" s="355">
        <f t="shared" si="14"/>
        <v>0</v>
      </c>
      <c r="E11" s="355">
        <f t="shared" si="0"/>
        <v>93541</v>
      </c>
      <c r="F11" s="775">
        <f t="shared" ref="F11:G11" si="15">F12+F13+F14+F15+F16+F17+F18+F19</f>
        <v>117312</v>
      </c>
      <c r="G11" s="775">
        <f t="shared" si="15"/>
        <v>0</v>
      </c>
      <c r="H11" s="355">
        <f t="shared" si="1"/>
        <v>117312</v>
      </c>
      <c r="I11" s="775">
        <f t="shared" ref="I11:J11" si="16">I12+I13+I14+I15+I16+I17+I18+I19</f>
        <v>117312</v>
      </c>
      <c r="J11" s="775">
        <f t="shared" si="16"/>
        <v>0</v>
      </c>
      <c r="K11" s="355">
        <f t="shared" si="2"/>
        <v>117312</v>
      </c>
      <c r="L11" s="355">
        <f t="shared" ref="L11:M11" si="17">L12+L13+L14+L15+L16+L17+L18+L19</f>
        <v>133402</v>
      </c>
      <c r="M11" s="355">
        <f t="shared" si="17"/>
        <v>0</v>
      </c>
      <c r="N11" s="355">
        <f t="shared" si="3"/>
        <v>133402</v>
      </c>
      <c r="O11" s="355">
        <f t="shared" ref="O11:P11" si="18">O12+O13+O14+O15+O16+O17+O18+O19</f>
        <v>98050</v>
      </c>
      <c r="P11" s="355">
        <f t="shared" si="18"/>
        <v>0</v>
      </c>
      <c r="Q11" s="355">
        <f t="shared" si="4"/>
        <v>98050</v>
      </c>
      <c r="R11" s="355">
        <f t="shared" ref="R11:S11" si="19">R12+R13+R14+R15+R16+R17+R18+R19</f>
        <v>98050</v>
      </c>
      <c r="S11" s="355">
        <f t="shared" si="19"/>
        <v>0</v>
      </c>
      <c r="T11" s="355">
        <f t="shared" si="5"/>
        <v>98050</v>
      </c>
    </row>
    <row r="12" spans="1:20" x14ac:dyDescent="0.25">
      <c r="A12" s="392"/>
      <c r="B12" s="356" t="s">
        <v>654</v>
      </c>
      <c r="C12" s="273">
        <v>4000</v>
      </c>
      <c r="D12" s="273">
        <v>0</v>
      </c>
      <c r="E12" s="273">
        <f t="shared" si="0"/>
        <v>4000</v>
      </c>
      <c r="F12" s="436">
        <v>4000</v>
      </c>
      <c r="G12" s="436">
        <v>0</v>
      </c>
      <c r="H12" s="273">
        <f t="shared" si="1"/>
        <v>4000</v>
      </c>
      <c r="I12" s="436">
        <v>4000</v>
      </c>
      <c r="J12" s="436">
        <v>0</v>
      </c>
      <c r="K12" s="273">
        <f t="shared" si="2"/>
        <v>4000</v>
      </c>
      <c r="L12" s="273">
        <v>5994</v>
      </c>
      <c r="M12" s="273">
        <v>0</v>
      </c>
      <c r="N12" s="273">
        <f t="shared" si="3"/>
        <v>5994</v>
      </c>
      <c r="O12" s="273">
        <v>0</v>
      </c>
      <c r="P12" s="273">
        <v>0</v>
      </c>
      <c r="Q12" s="273">
        <f t="shared" si="4"/>
        <v>0</v>
      </c>
      <c r="R12" s="273">
        <v>0</v>
      </c>
      <c r="S12" s="273">
        <v>0</v>
      </c>
      <c r="T12" s="273">
        <f t="shared" si="5"/>
        <v>0</v>
      </c>
    </row>
    <row r="13" spans="1:20" x14ac:dyDescent="0.25">
      <c r="A13" s="392"/>
      <c r="B13" s="356" t="s">
        <v>655</v>
      </c>
      <c r="C13" s="357">
        <v>17560</v>
      </c>
      <c r="D13" s="357">
        <v>0</v>
      </c>
      <c r="E13" s="357">
        <f t="shared" si="0"/>
        <v>17560</v>
      </c>
      <c r="F13" s="491">
        <v>17560</v>
      </c>
      <c r="G13" s="491">
        <v>0</v>
      </c>
      <c r="H13" s="357">
        <f t="shared" si="1"/>
        <v>17560</v>
      </c>
      <c r="I13" s="491">
        <v>17560</v>
      </c>
      <c r="J13" s="491">
        <v>0</v>
      </c>
      <c r="K13" s="357">
        <f t="shared" si="2"/>
        <v>17560</v>
      </c>
      <c r="L13" s="357">
        <v>21452</v>
      </c>
      <c r="M13" s="357">
        <v>0</v>
      </c>
      <c r="N13" s="357">
        <f t="shared" si="3"/>
        <v>21452</v>
      </c>
      <c r="O13" s="357">
        <v>20000</v>
      </c>
      <c r="P13" s="357">
        <v>0</v>
      </c>
      <c r="Q13" s="357">
        <f t="shared" si="4"/>
        <v>20000</v>
      </c>
      <c r="R13" s="357">
        <v>20000</v>
      </c>
      <c r="S13" s="357">
        <v>0</v>
      </c>
      <c r="T13" s="357">
        <f t="shared" si="5"/>
        <v>20000</v>
      </c>
    </row>
    <row r="14" spans="1:20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436">
        <v>0</v>
      </c>
      <c r="G14" s="436">
        <v>0</v>
      </c>
      <c r="H14" s="273">
        <f t="shared" si="1"/>
        <v>0</v>
      </c>
      <c r="I14" s="436">
        <v>0</v>
      </c>
      <c r="J14" s="436">
        <v>0</v>
      </c>
      <c r="K14" s="273">
        <f t="shared" si="2"/>
        <v>0</v>
      </c>
      <c r="L14" s="273">
        <v>1189</v>
      </c>
      <c r="M14" s="273">
        <v>0</v>
      </c>
      <c r="N14" s="273">
        <f t="shared" si="3"/>
        <v>1189</v>
      </c>
      <c r="O14" s="273">
        <v>0</v>
      </c>
      <c r="P14" s="273">
        <v>0</v>
      </c>
      <c r="Q14" s="273">
        <f t="shared" si="4"/>
        <v>0</v>
      </c>
      <c r="R14" s="273">
        <v>0</v>
      </c>
      <c r="S14" s="273">
        <v>0</v>
      </c>
      <c r="T14" s="273">
        <f t="shared" si="5"/>
        <v>0</v>
      </c>
    </row>
    <row r="15" spans="1:20" x14ac:dyDescent="0.25">
      <c r="A15" s="392"/>
      <c r="B15" s="356" t="s">
        <v>664</v>
      </c>
      <c r="C15" s="273">
        <v>54000</v>
      </c>
      <c r="D15" s="273">
        <v>0</v>
      </c>
      <c r="E15" s="273">
        <f t="shared" si="0"/>
        <v>54000</v>
      </c>
      <c r="F15" s="436">
        <v>54000</v>
      </c>
      <c r="G15" s="436">
        <v>0</v>
      </c>
      <c r="H15" s="273">
        <f t="shared" si="1"/>
        <v>54000</v>
      </c>
      <c r="I15" s="436">
        <v>54000</v>
      </c>
      <c r="J15" s="436">
        <v>0</v>
      </c>
      <c r="K15" s="273">
        <f t="shared" si="2"/>
        <v>54000</v>
      </c>
      <c r="L15" s="273">
        <v>60632</v>
      </c>
      <c r="M15" s="273">
        <v>0</v>
      </c>
      <c r="N15" s="273">
        <f t="shared" si="3"/>
        <v>60632</v>
      </c>
      <c r="O15" s="273">
        <v>60000</v>
      </c>
      <c r="P15" s="273">
        <v>0</v>
      </c>
      <c r="Q15" s="273">
        <f t="shared" si="4"/>
        <v>60000</v>
      </c>
      <c r="R15" s="273">
        <v>60000</v>
      </c>
      <c r="S15" s="273">
        <v>0</v>
      </c>
      <c r="T15" s="273">
        <f t="shared" si="5"/>
        <v>60000</v>
      </c>
    </row>
    <row r="16" spans="1:20" x14ac:dyDescent="0.25">
      <c r="A16" s="392"/>
      <c r="B16" s="356" t="s">
        <v>665</v>
      </c>
      <c r="C16" s="273">
        <v>17931</v>
      </c>
      <c r="D16" s="273">
        <v>0</v>
      </c>
      <c r="E16" s="273">
        <f t="shared" si="0"/>
        <v>17931</v>
      </c>
      <c r="F16" s="436">
        <v>17931</v>
      </c>
      <c r="G16" s="436">
        <v>0</v>
      </c>
      <c r="H16" s="273">
        <f t="shared" si="1"/>
        <v>17931</v>
      </c>
      <c r="I16" s="436">
        <v>17931</v>
      </c>
      <c r="J16" s="436">
        <v>0</v>
      </c>
      <c r="K16" s="273">
        <f t="shared" si="2"/>
        <v>17931</v>
      </c>
      <c r="L16" s="273">
        <v>20307</v>
      </c>
      <c r="M16" s="273">
        <v>0</v>
      </c>
      <c r="N16" s="273">
        <f t="shared" si="3"/>
        <v>20307</v>
      </c>
      <c r="O16" s="273">
        <v>18000</v>
      </c>
      <c r="P16" s="273">
        <v>0</v>
      </c>
      <c r="Q16" s="273">
        <f t="shared" si="4"/>
        <v>18000</v>
      </c>
      <c r="R16" s="273">
        <v>18000</v>
      </c>
      <c r="S16" s="273">
        <v>0</v>
      </c>
      <c r="T16" s="273">
        <f t="shared" si="5"/>
        <v>18000</v>
      </c>
    </row>
    <row r="17" spans="1:20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436">
        <v>23771</v>
      </c>
      <c r="G17" s="436">
        <v>0</v>
      </c>
      <c r="H17" s="273">
        <f t="shared" si="1"/>
        <v>23771</v>
      </c>
      <c r="I17" s="436">
        <v>23771</v>
      </c>
      <c r="J17" s="436">
        <v>0</v>
      </c>
      <c r="K17" s="273">
        <f t="shared" si="2"/>
        <v>23771</v>
      </c>
      <c r="L17" s="273">
        <v>23771</v>
      </c>
      <c r="M17" s="273">
        <v>0</v>
      </c>
      <c r="N17" s="273">
        <f t="shared" si="3"/>
        <v>23771</v>
      </c>
      <c r="O17" s="273">
        <v>0</v>
      </c>
      <c r="P17" s="273">
        <v>0</v>
      </c>
      <c r="Q17" s="273">
        <f t="shared" si="4"/>
        <v>0</v>
      </c>
      <c r="R17" s="273">
        <v>0</v>
      </c>
      <c r="S17" s="273">
        <v>0</v>
      </c>
      <c r="T17" s="273">
        <f t="shared" si="5"/>
        <v>0</v>
      </c>
    </row>
    <row r="18" spans="1:20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436">
        <v>0</v>
      </c>
      <c r="G18" s="436">
        <v>0</v>
      </c>
      <c r="H18" s="273">
        <f t="shared" si="1"/>
        <v>0</v>
      </c>
      <c r="I18" s="436">
        <v>0</v>
      </c>
      <c r="J18" s="436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273">
        <v>0</v>
      </c>
      <c r="P18" s="273">
        <v>0</v>
      </c>
      <c r="Q18" s="273">
        <f t="shared" si="4"/>
        <v>0</v>
      </c>
      <c r="R18" s="273">
        <v>0</v>
      </c>
      <c r="S18" s="273">
        <v>0</v>
      </c>
      <c r="T18" s="273">
        <f t="shared" si="5"/>
        <v>0</v>
      </c>
    </row>
    <row r="19" spans="1:20" x14ac:dyDescent="0.25">
      <c r="A19" s="392"/>
      <c r="B19" s="356" t="s">
        <v>668</v>
      </c>
      <c r="C19" s="273">
        <v>50</v>
      </c>
      <c r="D19" s="273">
        <v>0</v>
      </c>
      <c r="E19" s="273">
        <f t="shared" si="0"/>
        <v>50</v>
      </c>
      <c r="F19" s="436">
        <v>50</v>
      </c>
      <c r="G19" s="436">
        <v>0</v>
      </c>
      <c r="H19" s="273">
        <f t="shared" si="1"/>
        <v>50</v>
      </c>
      <c r="I19" s="436">
        <v>50</v>
      </c>
      <c r="J19" s="436">
        <v>0</v>
      </c>
      <c r="K19" s="273">
        <f t="shared" si="2"/>
        <v>50</v>
      </c>
      <c r="L19" s="273">
        <v>57</v>
      </c>
      <c r="M19" s="273">
        <v>0</v>
      </c>
      <c r="N19" s="273">
        <f t="shared" si="3"/>
        <v>57</v>
      </c>
      <c r="O19" s="273">
        <v>50</v>
      </c>
      <c r="P19" s="273">
        <v>0</v>
      </c>
      <c r="Q19" s="273">
        <f t="shared" si="4"/>
        <v>50</v>
      </c>
      <c r="R19" s="273">
        <v>50</v>
      </c>
      <c r="S19" s="273">
        <v>0</v>
      </c>
      <c r="T19" s="273">
        <f t="shared" si="5"/>
        <v>50</v>
      </c>
    </row>
    <row r="20" spans="1:20" x14ac:dyDescent="0.25">
      <c r="A20" s="353" t="s">
        <v>315</v>
      </c>
      <c r="B20" s="354" t="s">
        <v>316</v>
      </c>
      <c r="C20" s="355">
        <f t="shared" ref="C20:P20" si="20">SUM(C21:C21)</f>
        <v>0</v>
      </c>
      <c r="D20" s="355">
        <f t="shared" si="20"/>
        <v>0</v>
      </c>
      <c r="E20" s="355">
        <f t="shared" si="0"/>
        <v>0</v>
      </c>
      <c r="F20" s="775">
        <f t="shared" si="20"/>
        <v>0</v>
      </c>
      <c r="G20" s="775">
        <f t="shared" si="20"/>
        <v>0</v>
      </c>
      <c r="H20" s="355">
        <f t="shared" si="1"/>
        <v>0</v>
      </c>
      <c r="I20" s="775">
        <f t="shared" si="20"/>
        <v>0</v>
      </c>
      <c r="J20" s="775">
        <f t="shared" si="20"/>
        <v>0</v>
      </c>
      <c r="K20" s="355">
        <f t="shared" si="2"/>
        <v>0</v>
      </c>
      <c r="L20" s="355">
        <f t="shared" si="20"/>
        <v>0</v>
      </c>
      <c r="M20" s="355">
        <f t="shared" si="20"/>
        <v>0</v>
      </c>
      <c r="N20" s="355">
        <f t="shared" si="3"/>
        <v>0</v>
      </c>
      <c r="O20" s="355">
        <f t="shared" si="20"/>
        <v>0</v>
      </c>
      <c r="P20" s="355">
        <f t="shared" si="20"/>
        <v>0</v>
      </c>
      <c r="Q20" s="355">
        <f t="shared" si="4"/>
        <v>0</v>
      </c>
      <c r="R20" s="355">
        <f t="shared" ref="R20:S20" si="21">SUM(R21:R21)</f>
        <v>0</v>
      </c>
      <c r="S20" s="355">
        <f t="shared" si="21"/>
        <v>0</v>
      </c>
      <c r="T20" s="355">
        <f t="shared" si="5"/>
        <v>0</v>
      </c>
    </row>
    <row r="21" spans="1:20" ht="14.95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436">
        <v>0</v>
      </c>
      <c r="G21" s="436">
        <v>0</v>
      </c>
      <c r="H21" s="273">
        <f t="shared" si="1"/>
        <v>0</v>
      </c>
      <c r="I21" s="436">
        <v>0</v>
      </c>
      <c r="J21" s="436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</row>
    <row r="22" spans="1:20" x14ac:dyDescent="0.25">
      <c r="A22" s="350" t="s">
        <v>318</v>
      </c>
      <c r="B22" s="351" t="s">
        <v>319</v>
      </c>
      <c r="C22" s="352">
        <f t="shared" ref="C22:D22" si="22">C23+C25+C28</f>
        <v>0</v>
      </c>
      <c r="D22" s="352">
        <f t="shared" si="22"/>
        <v>0</v>
      </c>
      <c r="E22" s="352">
        <f t="shared" si="0"/>
        <v>0</v>
      </c>
      <c r="F22" s="352">
        <f t="shared" ref="F22:G22" si="23">F23+F25+F28</f>
        <v>0</v>
      </c>
      <c r="G22" s="352">
        <f t="shared" si="23"/>
        <v>0</v>
      </c>
      <c r="H22" s="352">
        <f t="shared" si="1"/>
        <v>0</v>
      </c>
      <c r="I22" s="352">
        <f t="shared" ref="I22:J22" si="24">I23+I25+I28</f>
        <v>0</v>
      </c>
      <c r="J22" s="352">
        <f t="shared" si="24"/>
        <v>0</v>
      </c>
      <c r="K22" s="352">
        <f t="shared" si="2"/>
        <v>0</v>
      </c>
      <c r="L22" s="352">
        <f t="shared" ref="L22:M22" si="25">L23+L25+L28</f>
        <v>0</v>
      </c>
      <c r="M22" s="352">
        <f t="shared" si="25"/>
        <v>0</v>
      </c>
      <c r="N22" s="352">
        <f t="shared" si="3"/>
        <v>0</v>
      </c>
      <c r="O22" s="352">
        <f t="shared" ref="O22:P22" si="26">O23+O25+O28</f>
        <v>0</v>
      </c>
      <c r="P22" s="352">
        <f t="shared" si="26"/>
        <v>0</v>
      </c>
      <c r="Q22" s="352">
        <f t="shared" si="4"/>
        <v>0</v>
      </c>
      <c r="R22" s="352">
        <f t="shared" ref="R22:S22" si="27">R23+R25+R28</f>
        <v>0</v>
      </c>
      <c r="S22" s="352">
        <f t="shared" si="27"/>
        <v>0</v>
      </c>
      <c r="T22" s="352">
        <f t="shared" si="5"/>
        <v>0</v>
      </c>
    </row>
    <row r="23" spans="1:20" ht="14.95" hidden="1" x14ac:dyDescent="0.25">
      <c r="A23" s="353" t="s">
        <v>311</v>
      </c>
      <c r="B23" s="354" t="s">
        <v>320</v>
      </c>
      <c r="C23" s="355">
        <f t="shared" ref="C23:P23" si="28">SUM(C24:C24)</f>
        <v>0</v>
      </c>
      <c r="D23" s="355">
        <f t="shared" si="28"/>
        <v>0</v>
      </c>
      <c r="E23" s="355">
        <f t="shared" si="0"/>
        <v>0</v>
      </c>
      <c r="F23" s="355">
        <f t="shared" si="28"/>
        <v>0</v>
      </c>
      <c r="G23" s="355">
        <f t="shared" si="28"/>
        <v>0</v>
      </c>
      <c r="H23" s="355">
        <f t="shared" si="1"/>
        <v>0</v>
      </c>
      <c r="I23" s="355">
        <f t="shared" si="28"/>
        <v>0</v>
      </c>
      <c r="J23" s="355">
        <f t="shared" si="28"/>
        <v>0</v>
      </c>
      <c r="K23" s="355">
        <f t="shared" si="2"/>
        <v>0</v>
      </c>
      <c r="L23" s="355">
        <f t="shared" si="28"/>
        <v>0</v>
      </c>
      <c r="M23" s="355">
        <f t="shared" si="28"/>
        <v>0</v>
      </c>
      <c r="N23" s="355">
        <f t="shared" si="3"/>
        <v>0</v>
      </c>
      <c r="O23" s="355">
        <f t="shared" si="28"/>
        <v>0</v>
      </c>
      <c r="P23" s="355">
        <f t="shared" si="28"/>
        <v>0</v>
      </c>
      <c r="Q23" s="355">
        <f t="shared" si="4"/>
        <v>0</v>
      </c>
      <c r="R23" s="355">
        <f t="shared" ref="R23:S23" si="29">SUM(R24:R24)</f>
        <v>0</v>
      </c>
      <c r="S23" s="355">
        <f t="shared" si="29"/>
        <v>0</v>
      </c>
      <c r="T23" s="355">
        <f t="shared" si="5"/>
        <v>0</v>
      </c>
    </row>
    <row r="24" spans="1:20" ht="30.1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</row>
    <row r="25" spans="1:20" ht="14.95" hidden="1" x14ac:dyDescent="0.25">
      <c r="A25" s="353" t="s">
        <v>322</v>
      </c>
      <c r="B25" s="354" t="s">
        <v>257</v>
      </c>
      <c r="C25" s="355">
        <f t="shared" ref="C25:D25" si="30">SUM(C26:C27)</f>
        <v>0</v>
      </c>
      <c r="D25" s="355">
        <f t="shared" si="30"/>
        <v>0</v>
      </c>
      <c r="E25" s="355">
        <f t="shared" si="0"/>
        <v>0</v>
      </c>
      <c r="F25" s="355">
        <f t="shared" ref="F25:G25" si="31">SUM(F26:F27)</f>
        <v>0</v>
      </c>
      <c r="G25" s="355">
        <f t="shared" si="31"/>
        <v>0</v>
      </c>
      <c r="H25" s="355">
        <f t="shared" si="1"/>
        <v>0</v>
      </c>
      <c r="I25" s="355">
        <f t="shared" ref="I25:J25" si="32">SUM(I26:I27)</f>
        <v>0</v>
      </c>
      <c r="J25" s="355">
        <f t="shared" si="32"/>
        <v>0</v>
      </c>
      <c r="K25" s="355">
        <f t="shared" si="2"/>
        <v>0</v>
      </c>
      <c r="L25" s="355">
        <f t="shared" ref="L25:M25" si="33">SUM(L26:L27)</f>
        <v>0</v>
      </c>
      <c r="M25" s="355">
        <f t="shared" si="33"/>
        <v>0</v>
      </c>
      <c r="N25" s="355">
        <f t="shared" si="3"/>
        <v>0</v>
      </c>
      <c r="O25" s="355">
        <f t="shared" ref="O25:P25" si="34">SUM(O26:O27)</f>
        <v>0</v>
      </c>
      <c r="P25" s="355">
        <f t="shared" si="34"/>
        <v>0</v>
      </c>
      <c r="Q25" s="355">
        <f t="shared" si="4"/>
        <v>0</v>
      </c>
      <c r="R25" s="355">
        <f t="shared" ref="R25:S25" si="35">SUM(R26:R27)</f>
        <v>0</v>
      </c>
      <c r="S25" s="355">
        <f t="shared" si="35"/>
        <v>0</v>
      </c>
      <c r="T25" s="355">
        <f t="shared" si="5"/>
        <v>0</v>
      </c>
    </row>
    <row r="26" spans="1:20" ht="14.95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</row>
    <row r="27" spans="1:20" ht="14.95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</row>
    <row r="28" spans="1:20" ht="14.95" hidden="1" x14ac:dyDescent="0.25">
      <c r="A28" s="353" t="s">
        <v>315</v>
      </c>
      <c r="B28" s="354" t="s">
        <v>325</v>
      </c>
      <c r="C28" s="355">
        <f t="shared" ref="C28:P28" si="36">SUM(C29:C29)</f>
        <v>0</v>
      </c>
      <c r="D28" s="355">
        <f t="shared" si="36"/>
        <v>0</v>
      </c>
      <c r="E28" s="355">
        <f t="shared" si="0"/>
        <v>0</v>
      </c>
      <c r="F28" s="355">
        <f t="shared" si="36"/>
        <v>0</v>
      </c>
      <c r="G28" s="355">
        <f t="shared" si="36"/>
        <v>0</v>
      </c>
      <c r="H28" s="355">
        <f t="shared" si="1"/>
        <v>0</v>
      </c>
      <c r="I28" s="355">
        <f t="shared" si="36"/>
        <v>0</v>
      </c>
      <c r="J28" s="355">
        <f t="shared" si="36"/>
        <v>0</v>
      </c>
      <c r="K28" s="355">
        <f t="shared" si="2"/>
        <v>0</v>
      </c>
      <c r="L28" s="355">
        <f t="shared" si="36"/>
        <v>0</v>
      </c>
      <c r="M28" s="355">
        <f t="shared" si="36"/>
        <v>0</v>
      </c>
      <c r="N28" s="355">
        <f t="shared" si="3"/>
        <v>0</v>
      </c>
      <c r="O28" s="355">
        <f t="shared" si="36"/>
        <v>0</v>
      </c>
      <c r="P28" s="355">
        <f t="shared" si="36"/>
        <v>0</v>
      </c>
      <c r="Q28" s="355">
        <f t="shared" si="4"/>
        <v>0</v>
      </c>
      <c r="R28" s="355">
        <f t="shared" ref="R28:S28" si="37">SUM(R29:R29)</f>
        <v>0</v>
      </c>
      <c r="S28" s="355">
        <f t="shared" si="37"/>
        <v>0</v>
      </c>
      <c r="T28" s="355">
        <f t="shared" si="5"/>
        <v>0</v>
      </c>
    </row>
    <row r="29" spans="1:20" ht="14.95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</row>
    <row r="30" spans="1:20" x14ac:dyDescent="0.25">
      <c r="A30" s="390"/>
      <c r="B30" s="359" t="s">
        <v>327</v>
      </c>
      <c r="C30" s="360">
        <f t="shared" ref="C30:D30" si="38">C22+C8</f>
        <v>93541</v>
      </c>
      <c r="D30" s="360">
        <f t="shared" si="38"/>
        <v>0</v>
      </c>
      <c r="E30" s="360">
        <f t="shared" si="0"/>
        <v>93541</v>
      </c>
      <c r="F30" s="360">
        <f t="shared" ref="F30:G30" si="39">F22+F8</f>
        <v>117312</v>
      </c>
      <c r="G30" s="360">
        <f t="shared" si="39"/>
        <v>0</v>
      </c>
      <c r="H30" s="360">
        <f t="shared" si="1"/>
        <v>117312</v>
      </c>
      <c r="I30" s="360">
        <f t="shared" ref="I30:J30" si="40">I22+I8</f>
        <v>117312</v>
      </c>
      <c r="J30" s="360">
        <f t="shared" si="40"/>
        <v>0</v>
      </c>
      <c r="K30" s="360">
        <f t="shared" si="2"/>
        <v>117312</v>
      </c>
      <c r="L30" s="360">
        <f t="shared" ref="L30:M30" si="41">L22+L8</f>
        <v>133402</v>
      </c>
      <c r="M30" s="360">
        <f t="shared" si="41"/>
        <v>0</v>
      </c>
      <c r="N30" s="360">
        <f t="shared" si="3"/>
        <v>133402</v>
      </c>
      <c r="O30" s="360">
        <f t="shared" ref="O30:P30" si="42">O22+O8</f>
        <v>98050</v>
      </c>
      <c r="P30" s="360">
        <f t="shared" si="42"/>
        <v>0</v>
      </c>
      <c r="Q30" s="360">
        <f t="shared" si="4"/>
        <v>98050</v>
      </c>
      <c r="R30" s="360">
        <f t="shared" ref="R30:S30" si="43">R22+R8</f>
        <v>98050</v>
      </c>
      <c r="S30" s="360">
        <f t="shared" si="43"/>
        <v>0</v>
      </c>
      <c r="T30" s="360">
        <f t="shared" si="5"/>
        <v>98050</v>
      </c>
    </row>
    <row r="31" spans="1:20" x14ac:dyDescent="0.25">
      <c r="A31" s="350" t="s">
        <v>328</v>
      </c>
      <c r="B31" s="351" t="s">
        <v>329</v>
      </c>
      <c r="C31" s="352">
        <f t="shared" ref="C31:P31" si="44">C32</f>
        <v>653769.19999999995</v>
      </c>
      <c r="D31" s="352">
        <f t="shared" si="44"/>
        <v>0</v>
      </c>
      <c r="E31" s="352">
        <f t="shared" si="0"/>
        <v>653769.19999999995</v>
      </c>
      <c r="F31" s="352">
        <f t="shared" si="44"/>
        <v>663190</v>
      </c>
      <c r="G31" s="352">
        <f t="shared" si="44"/>
        <v>0</v>
      </c>
      <c r="H31" s="352">
        <f t="shared" si="1"/>
        <v>663190</v>
      </c>
      <c r="I31" s="352" t="e">
        <f t="shared" si="44"/>
        <v>#REF!</v>
      </c>
      <c r="J31" s="352" t="e">
        <f t="shared" si="44"/>
        <v>#REF!</v>
      </c>
      <c r="K31" s="352" t="e">
        <f t="shared" si="2"/>
        <v>#REF!</v>
      </c>
      <c r="L31" s="352">
        <f t="shared" si="44"/>
        <v>576275</v>
      </c>
      <c r="M31" s="352">
        <f t="shared" si="44"/>
        <v>0</v>
      </c>
      <c r="N31" s="352">
        <f t="shared" si="3"/>
        <v>576275</v>
      </c>
      <c r="O31" s="352">
        <f t="shared" si="44"/>
        <v>656039.23935433081</v>
      </c>
      <c r="P31" s="352">
        <f t="shared" si="44"/>
        <v>0</v>
      </c>
      <c r="Q31" s="352">
        <f t="shared" si="4"/>
        <v>656039.23935433081</v>
      </c>
      <c r="R31" s="352">
        <f t="shared" ref="R31:S31" si="45">R32</f>
        <v>662661</v>
      </c>
      <c r="S31" s="352">
        <f t="shared" si="45"/>
        <v>0</v>
      </c>
      <c r="T31" s="352">
        <f t="shared" si="5"/>
        <v>662661</v>
      </c>
    </row>
    <row r="32" spans="1:20" x14ac:dyDescent="0.25">
      <c r="A32" s="353" t="s">
        <v>311</v>
      </c>
      <c r="B32" s="354" t="s">
        <v>330</v>
      </c>
      <c r="C32" s="355">
        <f t="shared" ref="C32:D32" si="46">SUM(C33:C34)</f>
        <v>653769.19999999995</v>
      </c>
      <c r="D32" s="355">
        <f t="shared" si="46"/>
        <v>0</v>
      </c>
      <c r="E32" s="355">
        <f t="shared" si="0"/>
        <v>653769.19999999995</v>
      </c>
      <c r="F32" s="775">
        <f t="shared" ref="F32:G32" si="47">SUM(F33:F34)</f>
        <v>663190</v>
      </c>
      <c r="G32" s="775">
        <f t="shared" si="47"/>
        <v>0</v>
      </c>
      <c r="H32" s="355">
        <f t="shared" si="1"/>
        <v>663190</v>
      </c>
      <c r="I32" s="355" t="e">
        <f t="shared" ref="I32:J32" si="48">SUM(I33:I34)</f>
        <v>#REF!</v>
      </c>
      <c r="J32" s="355" t="e">
        <f t="shared" si="48"/>
        <v>#REF!</v>
      </c>
      <c r="K32" s="355" t="e">
        <f t="shared" si="2"/>
        <v>#REF!</v>
      </c>
      <c r="L32" s="355">
        <f t="shared" ref="L32:M32" si="49">SUM(L33:L34)</f>
        <v>576275</v>
      </c>
      <c r="M32" s="355">
        <f t="shared" si="49"/>
        <v>0</v>
      </c>
      <c r="N32" s="355">
        <f t="shared" si="3"/>
        <v>576275</v>
      </c>
      <c r="O32" s="355">
        <f t="shared" ref="O32:P32" si="50">SUM(O33:O34)</f>
        <v>656039.23935433081</v>
      </c>
      <c r="P32" s="355">
        <f t="shared" si="50"/>
        <v>0</v>
      </c>
      <c r="Q32" s="355">
        <f t="shared" si="4"/>
        <v>656039.23935433081</v>
      </c>
      <c r="R32" s="355">
        <f t="shared" ref="R32:S32" si="51">SUM(R33:R34)</f>
        <v>662661</v>
      </c>
      <c r="S32" s="355">
        <f t="shared" si="51"/>
        <v>0</v>
      </c>
      <c r="T32" s="355">
        <f t="shared" si="5"/>
        <v>662661</v>
      </c>
    </row>
    <row r="33" spans="1:20" x14ac:dyDescent="0.25">
      <c r="A33" s="392"/>
      <c r="B33" s="358" t="s">
        <v>331</v>
      </c>
      <c r="C33" s="273"/>
      <c r="D33" s="273">
        <v>0</v>
      </c>
      <c r="E33" s="273">
        <f t="shared" si="0"/>
        <v>0</v>
      </c>
      <c r="F33" s="436">
        <v>15467</v>
      </c>
      <c r="G33" s="436">
        <v>0</v>
      </c>
      <c r="H33" s="273">
        <f t="shared" si="1"/>
        <v>15467</v>
      </c>
      <c r="I33" s="273">
        <v>32778</v>
      </c>
      <c r="J33" s="273">
        <v>0</v>
      </c>
      <c r="K33" s="273">
        <f t="shared" si="2"/>
        <v>32778</v>
      </c>
      <c r="L33" s="273">
        <v>15467</v>
      </c>
      <c r="M33" s="273">
        <v>0</v>
      </c>
      <c r="N33" s="273">
        <f t="shared" si="3"/>
        <v>15467</v>
      </c>
      <c r="O33" s="273"/>
      <c r="P33" s="273">
        <v>0</v>
      </c>
      <c r="Q33" s="273">
        <f t="shared" si="4"/>
        <v>0</v>
      </c>
      <c r="R33" s="273">
        <v>6622</v>
      </c>
      <c r="S33" s="273">
        <v>0</v>
      </c>
      <c r="T33" s="273">
        <f t="shared" si="5"/>
        <v>6622</v>
      </c>
    </row>
    <row r="34" spans="1:20" x14ac:dyDescent="0.25">
      <c r="A34" s="392"/>
      <c r="B34" s="358" t="s">
        <v>332</v>
      </c>
      <c r="C34" s="273">
        <f>C46-C30-C33</f>
        <v>653769.19999999995</v>
      </c>
      <c r="D34" s="273">
        <f t="shared" ref="D34" si="52">D46-D30</f>
        <v>0</v>
      </c>
      <c r="E34" s="273">
        <f t="shared" si="0"/>
        <v>653769.19999999995</v>
      </c>
      <c r="F34" s="436">
        <f>F46-F30-F33</f>
        <v>647723</v>
      </c>
      <c r="G34" s="436">
        <f t="shared" ref="G34" si="53">G46-G30</f>
        <v>0</v>
      </c>
      <c r="H34" s="273">
        <f t="shared" si="1"/>
        <v>647723</v>
      </c>
      <c r="I34" s="273" t="e">
        <f>I46-I30-I33</f>
        <v>#REF!</v>
      </c>
      <c r="J34" s="273" t="e">
        <f t="shared" ref="J34" si="54">J46-J30</f>
        <v>#REF!</v>
      </c>
      <c r="K34" s="273" t="e">
        <f t="shared" si="2"/>
        <v>#REF!</v>
      </c>
      <c r="L34" s="273">
        <v>560808</v>
      </c>
      <c r="M34" s="273">
        <f t="shared" ref="M34" si="55">M46-M30</f>
        <v>0</v>
      </c>
      <c r="N34" s="273">
        <f t="shared" si="3"/>
        <v>560808</v>
      </c>
      <c r="O34" s="273">
        <f>O46-O30-O33</f>
        <v>656039.23935433081</v>
      </c>
      <c r="P34" s="273">
        <f t="shared" ref="P34" si="56">P46-P30</f>
        <v>0</v>
      </c>
      <c r="Q34" s="273">
        <f t="shared" si="4"/>
        <v>656039.23935433081</v>
      </c>
      <c r="R34" s="273">
        <f>R46-R30-R33</f>
        <v>656039</v>
      </c>
      <c r="S34" s="273">
        <f t="shared" ref="S34" si="57">S46-S30</f>
        <v>0</v>
      </c>
      <c r="T34" s="273">
        <f t="shared" si="5"/>
        <v>656039</v>
      </c>
    </row>
    <row r="35" spans="1:20" x14ac:dyDescent="0.25">
      <c r="A35" s="361"/>
      <c r="B35" s="362" t="s">
        <v>333</v>
      </c>
      <c r="C35" s="333">
        <f t="shared" ref="C35:D35" si="58">C31+C22+C8</f>
        <v>747310.2</v>
      </c>
      <c r="D35" s="333">
        <f t="shared" si="58"/>
        <v>0</v>
      </c>
      <c r="E35" s="333">
        <f t="shared" si="0"/>
        <v>747310.2</v>
      </c>
      <c r="F35" s="333">
        <f t="shared" ref="F35:G35" si="59">F31+F22+F8</f>
        <v>780502</v>
      </c>
      <c r="G35" s="333">
        <f t="shared" si="59"/>
        <v>0</v>
      </c>
      <c r="H35" s="333">
        <f t="shared" si="1"/>
        <v>780502</v>
      </c>
      <c r="I35" s="333" t="e">
        <f t="shared" ref="I35:J35" si="60">I31+I22+I8</f>
        <v>#REF!</v>
      </c>
      <c r="J35" s="333" t="e">
        <f t="shared" si="60"/>
        <v>#REF!</v>
      </c>
      <c r="K35" s="333" t="e">
        <f t="shared" si="2"/>
        <v>#REF!</v>
      </c>
      <c r="L35" s="333">
        <f t="shared" ref="L35:M35" si="61">L31+L22+L8</f>
        <v>709677</v>
      </c>
      <c r="M35" s="333">
        <f t="shared" si="61"/>
        <v>0</v>
      </c>
      <c r="N35" s="333">
        <f t="shared" si="3"/>
        <v>709677</v>
      </c>
      <c r="O35" s="333">
        <f t="shared" ref="O35:P35" si="62">O31+O22+O8</f>
        <v>754089.23935433081</v>
      </c>
      <c r="P35" s="333">
        <f t="shared" si="62"/>
        <v>0</v>
      </c>
      <c r="Q35" s="333">
        <f t="shared" si="4"/>
        <v>754089.23935433081</v>
      </c>
      <c r="R35" s="333">
        <f t="shared" ref="R35:S35" si="63">R31+R22+R8</f>
        <v>760711</v>
      </c>
      <c r="S35" s="333">
        <f t="shared" si="63"/>
        <v>0</v>
      </c>
      <c r="T35" s="333">
        <f t="shared" si="5"/>
        <v>760711</v>
      </c>
    </row>
    <row r="36" spans="1:20" x14ac:dyDescent="0.25">
      <c r="A36" s="350" t="s">
        <v>309</v>
      </c>
      <c r="B36" s="351" t="s">
        <v>334</v>
      </c>
      <c r="C36" s="352">
        <f t="shared" ref="C36:D36" si="64">SUM(C37:C41)</f>
        <v>742738.2</v>
      </c>
      <c r="D36" s="352">
        <f t="shared" si="64"/>
        <v>0</v>
      </c>
      <c r="E36" s="352">
        <f t="shared" si="0"/>
        <v>742738.2</v>
      </c>
      <c r="F36" s="352">
        <f t="shared" ref="F36:G36" si="65">SUM(F37:F41)</f>
        <v>765952</v>
      </c>
      <c r="G36" s="352">
        <f t="shared" si="65"/>
        <v>0</v>
      </c>
      <c r="H36" s="352">
        <f t="shared" si="1"/>
        <v>765952</v>
      </c>
      <c r="I36" s="352">
        <f t="shared" ref="I36:J36" si="66">SUM(I37:I41)</f>
        <v>760999</v>
      </c>
      <c r="J36" s="352">
        <f t="shared" si="66"/>
        <v>0</v>
      </c>
      <c r="K36" s="352">
        <f t="shared" si="2"/>
        <v>760999</v>
      </c>
      <c r="L36" s="352">
        <f t="shared" ref="L36:M36" si="67">SUM(L37:L41)</f>
        <v>681145</v>
      </c>
      <c r="M36" s="352">
        <f t="shared" si="67"/>
        <v>0</v>
      </c>
      <c r="N36" s="352">
        <f t="shared" si="3"/>
        <v>681145</v>
      </c>
      <c r="O36" s="352">
        <f t="shared" ref="O36:P36" si="68">SUM(O37:O41)</f>
        <v>739769.23935433081</v>
      </c>
      <c r="P36" s="352">
        <f t="shared" si="68"/>
        <v>0</v>
      </c>
      <c r="Q36" s="352">
        <f t="shared" si="4"/>
        <v>739769.23935433081</v>
      </c>
      <c r="R36" s="352">
        <f t="shared" ref="R36:S36" si="69">SUM(R37:R41)</f>
        <v>745121</v>
      </c>
      <c r="S36" s="352">
        <f t="shared" si="69"/>
        <v>0</v>
      </c>
      <c r="T36" s="352">
        <f t="shared" si="5"/>
        <v>745121</v>
      </c>
    </row>
    <row r="37" spans="1:20" x14ac:dyDescent="0.25">
      <c r="A37" s="353" t="s">
        <v>311</v>
      </c>
      <c r="B37" s="354" t="s">
        <v>286</v>
      </c>
      <c r="C37" s="355">
        <f>'5 GSZNR fel'!E193</f>
        <v>217607</v>
      </c>
      <c r="D37" s="355">
        <v>0</v>
      </c>
      <c r="E37" s="355">
        <f t="shared" si="0"/>
        <v>217607</v>
      </c>
      <c r="F37" s="355">
        <f>'5 GSZNR fel'!H193</f>
        <v>222607</v>
      </c>
      <c r="G37" s="355">
        <v>0</v>
      </c>
      <c r="H37" s="355">
        <f t="shared" si="1"/>
        <v>222607</v>
      </c>
      <c r="I37" s="355">
        <f>'5 GSZNR fel'!K193</f>
        <v>222607</v>
      </c>
      <c r="J37" s="355">
        <v>0</v>
      </c>
      <c r="K37" s="355">
        <f t="shared" si="2"/>
        <v>222607</v>
      </c>
      <c r="L37" s="355">
        <f>'5 GSZNR fel'!N193</f>
        <v>194799</v>
      </c>
      <c r="M37" s="355">
        <v>0</v>
      </c>
      <c r="N37" s="355">
        <f t="shared" si="3"/>
        <v>194799</v>
      </c>
      <c r="O37" s="355">
        <f>'5 GSZNR fel'!Q193</f>
        <v>231925.6</v>
      </c>
      <c r="P37" s="355">
        <v>0</v>
      </c>
      <c r="Q37" s="355">
        <f t="shared" si="4"/>
        <v>231925.6</v>
      </c>
      <c r="R37" s="355">
        <f>'5 GSZNR fel'!T193</f>
        <v>231926</v>
      </c>
      <c r="S37" s="355">
        <v>0</v>
      </c>
      <c r="T37" s="355">
        <f t="shared" si="5"/>
        <v>231926</v>
      </c>
    </row>
    <row r="38" spans="1:20" x14ac:dyDescent="0.25">
      <c r="A38" s="353" t="s">
        <v>322</v>
      </c>
      <c r="B38" s="354" t="s">
        <v>335</v>
      </c>
      <c r="C38" s="355">
        <f>'5 GSZNR fel'!E194</f>
        <v>49404</v>
      </c>
      <c r="D38" s="355">
        <v>0</v>
      </c>
      <c r="E38" s="355">
        <f t="shared" si="0"/>
        <v>49404</v>
      </c>
      <c r="F38" s="355">
        <f>'5 GSZNR fel'!H194</f>
        <v>50379</v>
      </c>
      <c r="G38" s="355">
        <v>0</v>
      </c>
      <c r="H38" s="355">
        <f t="shared" si="1"/>
        <v>50379</v>
      </c>
      <c r="I38" s="355">
        <f>'5 GSZNR fel'!K194</f>
        <v>50379</v>
      </c>
      <c r="J38" s="355">
        <v>0</v>
      </c>
      <c r="K38" s="355">
        <f t="shared" si="2"/>
        <v>50379</v>
      </c>
      <c r="L38" s="355">
        <f>'5 GSZNR fel'!N194</f>
        <v>43513</v>
      </c>
      <c r="M38" s="355">
        <v>0</v>
      </c>
      <c r="N38" s="355">
        <f t="shared" si="3"/>
        <v>43513</v>
      </c>
      <c r="O38" s="355">
        <f>'5 GSZNR fel'!Q194</f>
        <v>44065.864000000001</v>
      </c>
      <c r="P38" s="355">
        <v>0</v>
      </c>
      <c r="Q38" s="355">
        <f t="shared" si="4"/>
        <v>44065.864000000001</v>
      </c>
      <c r="R38" s="355">
        <f>'5 GSZNR fel'!T194</f>
        <v>44066</v>
      </c>
      <c r="S38" s="355">
        <v>0</v>
      </c>
      <c r="T38" s="355">
        <f t="shared" si="5"/>
        <v>44066</v>
      </c>
    </row>
    <row r="39" spans="1:20" x14ac:dyDescent="0.25">
      <c r="A39" s="353" t="s">
        <v>315</v>
      </c>
      <c r="B39" s="354" t="s">
        <v>292</v>
      </c>
      <c r="C39" s="355">
        <f>'5 GSZNR fel'!E195</f>
        <v>475727.19999999995</v>
      </c>
      <c r="D39" s="355">
        <v>0</v>
      </c>
      <c r="E39" s="355">
        <f t="shared" si="0"/>
        <v>475727.19999999995</v>
      </c>
      <c r="F39" s="355">
        <f>'5 GSZNR fel'!H195</f>
        <v>488013</v>
      </c>
      <c r="G39" s="355">
        <v>0</v>
      </c>
      <c r="H39" s="355">
        <f t="shared" si="1"/>
        <v>488013</v>
      </c>
      <c r="I39" s="355">
        <f>'5 GSZNR fel'!K195</f>
        <v>488013</v>
      </c>
      <c r="J39" s="355">
        <v>0</v>
      </c>
      <c r="K39" s="355">
        <f t="shared" si="2"/>
        <v>488013</v>
      </c>
      <c r="L39" s="355">
        <f>'5 GSZNR fel'!N195</f>
        <v>437880</v>
      </c>
      <c r="M39" s="355">
        <v>0</v>
      </c>
      <c r="N39" s="355">
        <f t="shared" si="3"/>
        <v>437880</v>
      </c>
      <c r="O39" s="355">
        <f>'5 GSZNR fel'!Q195</f>
        <v>463777.77535433078</v>
      </c>
      <c r="P39" s="355">
        <v>0</v>
      </c>
      <c r="Q39" s="355">
        <f t="shared" si="4"/>
        <v>463777.77535433078</v>
      </c>
      <c r="R39" s="355">
        <f>'5 GSZNR fel'!T195</f>
        <v>469129</v>
      </c>
      <c r="S39" s="355">
        <v>0</v>
      </c>
      <c r="T39" s="355">
        <f t="shared" si="5"/>
        <v>469129</v>
      </c>
    </row>
    <row r="40" spans="1:20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355">
        <v>0</v>
      </c>
      <c r="P40" s="355">
        <v>0</v>
      </c>
      <c r="Q40" s="355">
        <f t="shared" si="4"/>
        <v>0</v>
      </c>
      <c r="R40" s="355">
        <v>0</v>
      </c>
      <c r="S40" s="355">
        <v>0</v>
      </c>
      <c r="T40" s="355">
        <f t="shared" si="5"/>
        <v>0</v>
      </c>
    </row>
    <row r="41" spans="1:20" x14ac:dyDescent="0.25">
      <c r="A41" s="353" t="s">
        <v>338</v>
      </c>
      <c r="B41" s="354" t="s">
        <v>339</v>
      </c>
      <c r="C41" s="355">
        <f>'5 GSZNR fel'!E196</f>
        <v>0</v>
      </c>
      <c r="D41" s="355">
        <v>0</v>
      </c>
      <c r="E41" s="355">
        <f t="shared" si="0"/>
        <v>0</v>
      </c>
      <c r="F41" s="355">
        <f>'5 GSZNR fel'!H196</f>
        <v>4953</v>
      </c>
      <c r="G41" s="355">
        <v>0</v>
      </c>
      <c r="H41" s="355">
        <f t="shared" si="1"/>
        <v>4953</v>
      </c>
      <c r="I41" s="355">
        <v>0</v>
      </c>
      <c r="J41" s="355">
        <v>0</v>
      </c>
      <c r="K41" s="355">
        <f t="shared" si="2"/>
        <v>0</v>
      </c>
      <c r="L41" s="355">
        <f>'5 GSZNR fel'!N196</f>
        <v>4953</v>
      </c>
      <c r="M41" s="355">
        <v>0</v>
      </c>
      <c r="N41" s="355">
        <f t="shared" si="3"/>
        <v>4953</v>
      </c>
      <c r="O41" s="355">
        <f>'5 GSZNR fel'!Q196</f>
        <v>0</v>
      </c>
      <c r="P41" s="355">
        <v>0</v>
      </c>
      <c r="Q41" s="355">
        <f t="shared" si="4"/>
        <v>0</v>
      </c>
      <c r="R41" s="355">
        <f>'5 GSZNR fel'!T196</f>
        <v>0</v>
      </c>
      <c r="S41" s="355">
        <v>0</v>
      </c>
      <c r="T41" s="355">
        <f t="shared" si="5"/>
        <v>0</v>
      </c>
    </row>
    <row r="42" spans="1:20" x14ac:dyDescent="0.25">
      <c r="A42" s="350" t="s">
        <v>318</v>
      </c>
      <c r="B42" s="351" t="s">
        <v>340</v>
      </c>
      <c r="C42" s="352">
        <f t="shared" ref="C42:D42" si="70">SUM(C43:C45)</f>
        <v>4572</v>
      </c>
      <c r="D42" s="352">
        <f t="shared" si="70"/>
        <v>0</v>
      </c>
      <c r="E42" s="352">
        <f t="shared" si="0"/>
        <v>4572</v>
      </c>
      <c r="F42" s="352">
        <f t="shared" ref="F42:G42" si="71">SUM(F43:F45)</f>
        <v>14550</v>
      </c>
      <c r="G42" s="352">
        <f t="shared" si="71"/>
        <v>0</v>
      </c>
      <c r="H42" s="352">
        <f t="shared" si="1"/>
        <v>14550</v>
      </c>
      <c r="I42" s="352" t="e">
        <f t="shared" ref="I42:J42" si="72">SUM(I43:I45)</f>
        <v>#REF!</v>
      </c>
      <c r="J42" s="352" t="e">
        <f t="shared" si="72"/>
        <v>#REF!</v>
      </c>
      <c r="K42" s="352" t="e">
        <f t="shared" si="2"/>
        <v>#REF!</v>
      </c>
      <c r="L42" s="352">
        <f t="shared" ref="L42:M42" si="73">SUM(L43:L45)</f>
        <v>29037</v>
      </c>
      <c r="M42" s="352">
        <f t="shared" si="73"/>
        <v>0</v>
      </c>
      <c r="N42" s="352">
        <f t="shared" si="3"/>
        <v>29037</v>
      </c>
      <c r="O42" s="352">
        <f t="shared" ref="O42:P42" si="74">SUM(O43:O45)</f>
        <v>14320</v>
      </c>
      <c r="P42" s="352">
        <f t="shared" si="74"/>
        <v>0</v>
      </c>
      <c r="Q42" s="352">
        <f t="shared" si="4"/>
        <v>14320</v>
      </c>
      <c r="R42" s="352">
        <f t="shared" ref="R42:S42" si="75">SUM(R43:R45)</f>
        <v>15590</v>
      </c>
      <c r="S42" s="352">
        <f t="shared" si="75"/>
        <v>0</v>
      </c>
      <c r="T42" s="352">
        <f t="shared" si="5"/>
        <v>15590</v>
      </c>
    </row>
    <row r="43" spans="1:20" x14ac:dyDescent="0.25">
      <c r="A43" s="353" t="s">
        <v>311</v>
      </c>
      <c r="B43" s="354" t="s">
        <v>341</v>
      </c>
      <c r="C43" s="355">
        <f>'5 GSZNR fel'!E197</f>
        <v>4572</v>
      </c>
      <c r="D43" s="355"/>
      <c r="E43" s="355">
        <f t="shared" si="0"/>
        <v>4572</v>
      </c>
      <c r="F43" s="355">
        <f>'5 GSZNR fel'!H197</f>
        <v>14550</v>
      </c>
      <c r="G43" s="355"/>
      <c r="H43" s="355">
        <f t="shared" si="1"/>
        <v>14550</v>
      </c>
      <c r="I43" s="355">
        <f>'5 GSZNR fel'!K197</f>
        <v>14550</v>
      </c>
      <c r="J43" s="355" t="e">
        <f>#REF!</f>
        <v>#REF!</v>
      </c>
      <c r="K43" s="355" t="e">
        <f t="shared" si="2"/>
        <v>#REF!</v>
      </c>
      <c r="L43" s="355">
        <f>'5 GSZNR fel'!N197</f>
        <v>29037</v>
      </c>
      <c r="M43" s="355"/>
      <c r="N43" s="355">
        <f t="shared" si="3"/>
        <v>29037</v>
      </c>
      <c r="O43" s="355">
        <f>'5 GSZNR fel'!Q197</f>
        <v>14320</v>
      </c>
      <c r="P43" s="355"/>
      <c r="Q43" s="355">
        <f t="shared" si="4"/>
        <v>14320</v>
      </c>
      <c r="R43" s="355">
        <f>'5 GSZNR fel'!T197</f>
        <v>15590</v>
      </c>
      <c r="S43" s="355"/>
      <c r="T43" s="355">
        <f t="shared" si="5"/>
        <v>15590</v>
      </c>
    </row>
    <row r="44" spans="1:20" x14ac:dyDescent="0.25">
      <c r="A44" s="353" t="s">
        <v>322</v>
      </c>
      <c r="B44" s="354" t="s">
        <v>342</v>
      </c>
      <c r="C44" s="355"/>
      <c r="D44" s="355"/>
      <c r="E44" s="355">
        <f t="shared" si="0"/>
        <v>0</v>
      </c>
      <c r="F44" s="355"/>
      <c r="G44" s="355"/>
      <c r="H44" s="355">
        <f t="shared" si="1"/>
        <v>0</v>
      </c>
      <c r="I44" s="355" t="e">
        <f>#REF!</f>
        <v>#REF!</v>
      </c>
      <c r="J44" s="355" t="e">
        <f>#REF!</f>
        <v>#REF!</v>
      </c>
      <c r="K44" s="355" t="e">
        <f t="shared" si="2"/>
        <v>#REF!</v>
      </c>
      <c r="L44" s="355"/>
      <c r="M44" s="355"/>
      <c r="N44" s="355">
        <f t="shared" si="3"/>
        <v>0</v>
      </c>
      <c r="O44" s="355"/>
      <c r="P44" s="355"/>
      <c r="Q44" s="355">
        <f t="shared" si="4"/>
        <v>0</v>
      </c>
      <c r="R44" s="355"/>
      <c r="S44" s="355"/>
      <c r="T44" s="355">
        <f t="shared" si="5"/>
        <v>0</v>
      </c>
    </row>
    <row r="45" spans="1:20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355">
        <v>0</v>
      </c>
      <c r="P45" s="355">
        <v>0</v>
      </c>
      <c r="Q45" s="355">
        <f t="shared" si="4"/>
        <v>0</v>
      </c>
      <c r="R45" s="355">
        <v>0</v>
      </c>
      <c r="S45" s="355">
        <v>0</v>
      </c>
      <c r="T45" s="355">
        <f t="shared" si="5"/>
        <v>0</v>
      </c>
    </row>
    <row r="46" spans="1:20" x14ac:dyDescent="0.25">
      <c r="A46" s="361"/>
      <c r="B46" s="362" t="s">
        <v>344</v>
      </c>
      <c r="C46" s="333">
        <f t="shared" ref="C46:D46" si="76">C36+C42</f>
        <v>747310.2</v>
      </c>
      <c r="D46" s="333">
        <f t="shared" si="76"/>
        <v>0</v>
      </c>
      <c r="E46" s="333">
        <f t="shared" si="0"/>
        <v>747310.2</v>
      </c>
      <c r="F46" s="333">
        <f t="shared" ref="F46:G46" si="77">F36+F42</f>
        <v>780502</v>
      </c>
      <c r="G46" s="333">
        <f t="shared" si="77"/>
        <v>0</v>
      </c>
      <c r="H46" s="333">
        <f t="shared" si="1"/>
        <v>780502</v>
      </c>
      <c r="I46" s="333" t="e">
        <f t="shared" ref="I46:J46" si="78">I36+I42</f>
        <v>#REF!</v>
      </c>
      <c r="J46" s="333" t="e">
        <f t="shared" si="78"/>
        <v>#REF!</v>
      </c>
      <c r="K46" s="333" t="e">
        <f t="shared" si="2"/>
        <v>#REF!</v>
      </c>
      <c r="L46" s="333">
        <f t="shared" ref="L46:M46" si="79">L36+L42</f>
        <v>710182</v>
      </c>
      <c r="M46" s="333">
        <f t="shared" si="79"/>
        <v>0</v>
      </c>
      <c r="N46" s="333">
        <f t="shared" si="3"/>
        <v>710182</v>
      </c>
      <c r="O46" s="333">
        <f t="shared" ref="O46:P46" si="80">O36+O42</f>
        <v>754089.23935433081</v>
      </c>
      <c r="P46" s="333">
        <f t="shared" si="80"/>
        <v>0</v>
      </c>
      <c r="Q46" s="333">
        <f t="shared" si="4"/>
        <v>754089.23935433081</v>
      </c>
      <c r="R46" s="333">
        <f t="shared" ref="R46:S46" si="81">R36+R42</f>
        <v>760711</v>
      </c>
      <c r="S46" s="333">
        <f t="shared" si="81"/>
        <v>0</v>
      </c>
      <c r="T46" s="333">
        <f t="shared" si="5"/>
        <v>760711</v>
      </c>
    </row>
    <row r="47" spans="1:20" ht="14.95" x14ac:dyDescent="0.25">
      <c r="H47" s="40"/>
      <c r="L47" s="40"/>
    </row>
  </sheetData>
  <mergeCells count="8">
    <mergeCell ref="R4:T4"/>
    <mergeCell ref="L4:N4"/>
    <mergeCell ref="O4:Q4"/>
    <mergeCell ref="A4:A5"/>
    <mergeCell ref="B4:B5"/>
    <mergeCell ref="C4:E4"/>
    <mergeCell ref="I4:K4"/>
    <mergeCell ref="F4:H4"/>
  </mergeCells>
  <printOptions horizontalCentered="1"/>
  <pageMargins left="0.19685039370078741" right="0.19685039370078741" top="1.0629921259842521" bottom="0.19685039370078741" header="0.31496062992125984" footer="0.31496062992125984"/>
  <pageSetup paperSize="9" scale="55" fitToWidth="0" fitToHeight="0" orientation="portrait" copies="4" r:id="rId1"/>
  <headerFooter>
    <oddHeader>&amp;L4/H.  melléklet a ...../2019. (.......) önkormányzati rendelethez&amp;C&amp;"-,Félkövér"&amp;16
A Törökbálinti Városgondnokság 2019. évi bevételei és kiadásai jogcímenként és feladatonként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0.7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9" width="12" style="6" customWidth="1"/>
    <col min="10" max="10" width="10.75" style="6" customWidth="1"/>
    <col min="11" max="11" width="12" style="6" customWidth="1"/>
    <col min="12" max="16384" width="11.625" style="5"/>
  </cols>
  <sheetData>
    <row r="1" spans="1:11" s="1" customFormat="1" ht="12.75" customHeight="1" x14ac:dyDescent="0.25">
      <c r="A1" s="919" t="s">
        <v>582</v>
      </c>
      <c r="B1" s="920"/>
      <c r="C1" s="920"/>
      <c r="D1" s="920"/>
      <c r="E1" s="920"/>
      <c r="F1" s="920"/>
      <c r="G1" s="920"/>
      <c r="H1" s="920"/>
      <c r="I1" s="920"/>
      <c r="J1" s="920"/>
      <c r="K1" s="921"/>
    </row>
    <row r="2" spans="1:11" s="1" customFormat="1" ht="14.1" customHeight="1" x14ac:dyDescent="0.25">
      <c r="A2" s="913" t="s">
        <v>0</v>
      </c>
      <c r="B2" s="914" t="s">
        <v>1</v>
      </c>
      <c r="C2" s="913" t="s">
        <v>2</v>
      </c>
      <c r="D2" s="915" t="s">
        <v>260</v>
      </c>
      <c r="E2" s="905" t="s">
        <v>259</v>
      </c>
      <c r="F2" s="907" t="s">
        <v>360</v>
      </c>
      <c r="G2" s="908"/>
      <c r="H2" s="907" t="s">
        <v>585</v>
      </c>
      <c r="I2" s="908"/>
      <c r="J2" s="907" t="s">
        <v>361</v>
      </c>
      <c r="K2" s="908"/>
    </row>
    <row r="3" spans="1:11" s="3" customFormat="1" ht="25.5" customHeight="1" x14ac:dyDescent="0.25">
      <c r="A3" s="913"/>
      <c r="B3" s="914"/>
      <c r="C3" s="913"/>
      <c r="D3" s="915"/>
      <c r="E3" s="906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</row>
    <row r="4" spans="1:11" ht="5.6" customHeight="1" x14ac:dyDescent="0.25"/>
    <row r="5" spans="1:11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  <c r="J5" s="102"/>
      <c r="K5" s="102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 t="shared" ref="I22" si="1">SUM(I23:I24)</f>
        <v>0</v>
      </c>
      <c r="J22" s="10">
        <v>0</v>
      </c>
      <c r="K22" s="10">
        <v>0</v>
      </c>
    </row>
    <row r="23" spans="1:11" s="15" customFormat="1" ht="11.4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F25+H25+J25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0</v>
      </c>
      <c r="E26" s="9">
        <f t="shared" si="2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348</v>
      </c>
      <c r="E27" s="9">
        <f t="shared" si="2"/>
        <v>384</v>
      </c>
      <c r="F27" s="10">
        <v>348</v>
      </c>
      <c r="G27" s="10">
        <f>G28</f>
        <v>384</v>
      </c>
      <c r="H27" s="10">
        <v>0</v>
      </c>
      <c r="I27" s="10">
        <f t="shared" ref="I27" si="3">I28</f>
        <v>0</v>
      </c>
      <c r="J27" s="10">
        <v>0</v>
      </c>
      <c r="K27" s="10">
        <v>0</v>
      </c>
    </row>
    <row r="28" spans="1:11" s="15" customFormat="1" ht="11.4" customHeight="1" x14ac:dyDescent="0.25">
      <c r="A28" s="11"/>
      <c r="B28" s="11"/>
      <c r="C28" s="12" t="s">
        <v>1037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F29+H29+J29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200</v>
      </c>
      <c r="E30" s="9">
        <f t="shared" si="4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1275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 t="shared" ref="D33:E34" si="5">F33+H33+J33</f>
        <v>0</v>
      </c>
      <c r="E33" s="9">
        <f t="shared" si="5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 t="shared" si="5"/>
        <v>0</v>
      </c>
      <c r="E34" s="9">
        <f t="shared" si="5"/>
        <v>32</v>
      </c>
      <c r="F34" s="10">
        <f>F35</f>
        <v>0</v>
      </c>
      <c r="G34" s="10">
        <f t="shared" ref="G34:I34" si="6">G35</f>
        <v>32</v>
      </c>
      <c r="H34" s="10">
        <f t="shared" si="6"/>
        <v>0</v>
      </c>
      <c r="I34" s="10">
        <f t="shared" si="6"/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" customHeight="1" x14ac:dyDescent="0.25">
      <c r="A37" s="11"/>
      <c r="B37" s="11"/>
      <c r="C37" s="12" t="s">
        <v>1277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7">E6+E20+E21+E22+E25+E26+E27+E29+E30+E31+E33+E34+E36</f>
        <v>8995</v>
      </c>
      <c r="F38" s="18">
        <f t="shared" si="7"/>
        <v>8144</v>
      </c>
      <c r="G38" s="18">
        <f t="shared" si="7"/>
        <v>8995</v>
      </c>
      <c r="H38" s="18">
        <f t="shared" si="7"/>
        <v>0</v>
      </c>
      <c r="I38" s="18">
        <f t="shared" si="7"/>
        <v>0</v>
      </c>
      <c r="J38" s="18">
        <f t="shared" si="7"/>
        <v>1920</v>
      </c>
      <c r="K38" s="18">
        <f t="shared" si="7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 t="shared" ref="D39:E40" si="8">F39+H39+J39</f>
        <v>0</v>
      </c>
      <c r="E39" s="9">
        <f t="shared" si="8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 t="shared" si="8"/>
        <v>1232</v>
      </c>
      <c r="E40" s="9">
        <f t="shared" si="8"/>
        <v>680</v>
      </c>
      <c r="F40" s="10">
        <f>F41</f>
        <v>652</v>
      </c>
      <c r="G40" s="10">
        <f t="shared" ref="G40:I40" si="9">G41</f>
        <v>100</v>
      </c>
      <c r="H40" s="10">
        <f t="shared" si="9"/>
        <v>0</v>
      </c>
      <c r="I40" s="10">
        <f t="shared" si="9"/>
        <v>0</v>
      </c>
      <c r="J40" s="10">
        <f>J41</f>
        <v>580</v>
      </c>
      <c r="K40" s="10">
        <f>K41</f>
        <v>580</v>
      </c>
    </row>
    <row r="41" spans="1:11" s="15" customFormat="1" ht="11.4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>F43</f>
        <v>150</v>
      </c>
      <c r="G42" s="10">
        <f t="shared" ref="G42:I42" si="10">G43</f>
        <v>100</v>
      </c>
      <c r="H42" s="10">
        <f t="shared" si="10"/>
        <v>0</v>
      </c>
      <c r="I42" s="10">
        <f t="shared" si="10"/>
        <v>0</v>
      </c>
      <c r="J42" s="10">
        <f>J43</f>
        <v>70</v>
      </c>
      <c r="K42" s="10">
        <f>K43</f>
        <v>60</v>
      </c>
    </row>
    <row r="43" spans="1:11" s="15" customFormat="1" ht="11.4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11">E39+E40+E42</f>
        <v>840</v>
      </c>
      <c r="F44" s="18">
        <f t="shared" si="11"/>
        <v>802</v>
      </c>
      <c r="G44" s="18">
        <f t="shared" si="11"/>
        <v>200</v>
      </c>
      <c r="H44" s="18">
        <f t="shared" si="11"/>
        <v>0</v>
      </c>
      <c r="I44" s="18">
        <f t="shared" si="11"/>
        <v>0</v>
      </c>
      <c r="J44" s="18">
        <f t="shared" si="11"/>
        <v>650</v>
      </c>
      <c r="K44" s="18">
        <f t="shared" si="11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12">E38+E44</f>
        <v>9835</v>
      </c>
      <c r="F45" s="22">
        <f t="shared" si="12"/>
        <v>8946</v>
      </c>
      <c r="G45" s="22">
        <f t="shared" si="12"/>
        <v>9195</v>
      </c>
      <c r="H45" s="22">
        <f t="shared" si="12"/>
        <v>0</v>
      </c>
      <c r="I45" s="22">
        <f t="shared" si="12"/>
        <v>0</v>
      </c>
      <c r="J45" s="22">
        <f t="shared" si="12"/>
        <v>2570</v>
      </c>
      <c r="K45" s="22">
        <f t="shared" si="12"/>
        <v>640</v>
      </c>
    </row>
    <row r="46" spans="1:11" s="15" customFormat="1" ht="11.4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 t="shared" ref="H46:I46" si="13">ROUND((H6+H20+H21+H22+H25+H26+H40)*0.27,0)</f>
        <v>0</v>
      </c>
      <c r="I46" s="13">
        <f t="shared" si="13"/>
        <v>0</v>
      </c>
      <c r="J46" s="13">
        <v>694</v>
      </c>
      <c r="K46" s="13">
        <f>ROUND((K6+K20+K21+K22+K25+K26+K40)*0.27,0)</f>
        <v>157</v>
      </c>
    </row>
    <row r="47" spans="1:11" s="15" customFormat="1" ht="11.4" customHeight="1" x14ac:dyDescent="0.25">
      <c r="A47" s="11"/>
      <c r="B47" s="11"/>
      <c r="C47" s="12" t="s">
        <v>61</v>
      </c>
      <c r="D47" s="13">
        <f t="shared" ref="D47:E49" si="14">H47+F47+J47</f>
        <v>150</v>
      </c>
      <c r="E47" s="13">
        <f t="shared" si="14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" customHeight="1" x14ac:dyDescent="0.25">
      <c r="A48" s="11"/>
      <c r="B48" s="11"/>
      <c r="C48" s="12" t="s">
        <v>62</v>
      </c>
      <c r="D48" s="13">
        <f t="shared" si="14"/>
        <v>0</v>
      </c>
      <c r="E48" s="13">
        <f t="shared" si="14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" customHeight="1" x14ac:dyDescent="0.25">
      <c r="A49" s="11"/>
      <c r="B49" s="11"/>
      <c r="C49" s="12" t="s">
        <v>63</v>
      </c>
      <c r="D49" s="13">
        <f t="shared" si="14"/>
        <v>121</v>
      </c>
      <c r="E49" s="13">
        <f t="shared" si="14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15">E46+E47+E48+E49</f>
        <v>2716</v>
      </c>
      <c r="F50" s="22">
        <f t="shared" si="15"/>
        <v>2468</v>
      </c>
      <c r="G50" s="22">
        <f t="shared" si="15"/>
        <v>2529</v>
      </c>
      <c r="H50" s="22">
        <f t="shared" si="15"/>
        <v>0</v>
      </c>
      <c r="I50" s="22">
        <f t="shared" si="15"/>
        <v>0</v>
      </c>
      <c r="J50" s="22">
        <f t="shared" si="15"/>
        <v>764</v>
      </c>
      <c r="K50" s="22">
        <f t="shared" si="15"/>
        <v>187</v>
      </c>
    </row>
    <row r="51" spans="1:11" s="3" customFormat="1" ht="14.1" customHeight="1" x14ac:dyDescent="0.25">
      <c r="A51" s="909" t="s">
        <v>66</v>
      </c>
      <c r="B51" s="910"/>
      <c r="C51" s="911"/>
      <c r="D51" s="30">
        <f>D45+D50</f>
        <v>14748</v>
      </c>
      <c r="E51" s="30">
        <f t="shared" ref="E51:K51" si="16">E45+E50</f>
        <v>12551</v>
      </c>
      <c r="F51" s="30">
        <f t="shared" si="16"/>
        <v>11414</v>
      </c>
      <c r="G51" s="30">
        <f t="shared" si="16"/>
        <v>11724</v>
      </c>
      <c r="H51" s="30">
        <f t="shared" si="16"/>
        <v>0</v>
      </c>
      <c r="I51" s="30">
        <f t="shared" si="16"/>
        <v>0</v>
      </c>
      <c r="J51" s="30">
        <f t="shared" si="16"/>
        <v>3334</v>
      </c>
      <c r="K51" s="30">
        <f t="shared" si="16"/>
        <v>827</v>
      </c>
    </row>
    <row r="52" spans="1:11" s="1" customFormat="1" ht="12.75" customHeight="1" x14ac:dyDescent="0.25">
      <c r="A52" s="919" t="s">
        <v>583</v>
      </c>
      <c r="B52" s="920"/>
      <c r="C52" s="920"/>
      <c r="D52" s="920"/>
      <c r="E52" s="920"/>
      <c r="F52" s="920"/>
      <c r="G52" s="920"/>
      <c r="H52" s="920"/>
      <c r="I52" s="920"/>
      <c r="J52" s="920"/>
      <c r="K52" s="921"/>
    </row>
    <row r="53" spans="1:11" s="1" customFormat="1" ht="14.1" customHeight="1" x14ac:dyDescent="0.25">
      <c r="A53" s="913" t="s">
        <v>0</v>
      </c>
      <c r="B53" s="914" t="s">
        <v>1</v>
      </c>
      <c r="C53" s="913" t="s">
        <v>2</v>
      </c>
      <c r="D53" s="915" t="s">
        <v>260</v>
      </c>
      <c r="E53" s="905" t="s">
        <v>259</v>
      </c>
      <c r="F53" s="907" t="s">
        <v>360</v>
      </c>
      <c r="G53" s="908"/>
      <c r="H53" s="907" t="s">
        <v>585</v>
      </c>
      <c r="I53" s="908"/>
      <c r="J53" s="907" t="s">
        <v>361</v>
      </c>
      <c r="K53" s="908"/>
    </row>
    <row r="54" spans="1:11" s="3" customFormat="1" ht="32.950000000000003" customHeight="1" x14ac:dyDescent="0.25">
      <c r="A54" s="913"/>
      <c r="B54" s="914"/>
      <c r="C54" s="913"/>
      <c r="D54" s="915"/>
      <c r="E54" s="906"/>
      <c r="F54" s="98" t="s">
        <v>260</v>
      </c>
      <c r="G54" s="98" t="s">
        <v>259</v>
      </c>
      <c r="H54" s="98" t="s">
        <v>260</v>
      </c>
      <c r="I54" s="98" t="s">
        <v>259</v>
      </c>
      <c r="J54" s="98" t="s">
        <v>260</v>
      </c>
      <c r="K54" s="98" t="s">
        <v>259</v>
      </c>
    </row>
    <row r="55" spans="1:11" ht="5.6" customHeight="1" x14ac:dyDescent="0.25"/>
    <row r="56" spans="1:11" ht="14.1" customHeight="1" x14ac:dyDescent="0.25">
      <c r="A56" s="912" t="s">
        <v>288</v>
      </c>
      <c r="B56" s="912"/>
      <c r="C56" s="912"/>
      <c r="D56" s="912"/>
      <c r="E56" s="912"/>
      <c r="F56" s="912"/>
      <c r="G56" s="912"/>
      <c r="H56" s="912"/>
      <c r="I56" s="912"/>
      <c r="J56" s="102"/>
      <c r="K56" s="102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>SUM(F58:F63)</f>
        <v>0</v>
      </c>
      <c r="G57" s="10">
        <f t="shared" ref="G57:K57" si="17">SUM(G58:G63)</f>
        <v>0</v>
      </c>
      <c r="H57" s="10">
        <f t="shared" si="17"/>
        <v>2000</v>
      </c>
      <c r="I57" s="10">
        <f t="shared" si="17"/>
        <v>600</v>
      </c>
      <c r="J57" s="10">
        <f t="shared" si="17"/>
        <v>0</v>
      </c>
      <c r="K57" s="10">
        <f t="shared" si="17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>SUM(F65:F70)</f>
        <v>250</v>
      </c>
      <c r="G64" s="10">
        <f>SUM(G65:G70)</f>
        <v>390</v>
      </c>
      <c r="H64" s="10">
        <f>SUM(H65:H70)</f>
        <v>0</v>
      </c>
      <c r="I64" s="10">
        <f>SUM(I65:I70)</f>
        <v>0</v>
      </c>
      <c r="J64" s="10">
        <f t="shared" ref="J64:K64" si="18">SUM(J65:J70)</f>
        <v>20</v>
      </c>
      <c r="K64" s="10">
        <f t="shared" si="18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>SUM(F72:F73)</f>
        <v>0</v>
      </c>
      <c r="G71" s="10">
        <f t="shared" ref="G71:K71" si="19">SUM(G72:G73)</f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20">E57+E64</f>
        <v>1010</v>
      </c>
      <c r="F74" s="19">
        <f t="shared" si="20"/>
        <v>250</v>
      </c>
      <c r="G74" s="19">
        <f t="shared" si="20"/>
        <v>390</v>
      </c>
      <c r="H74" s="19">
        <f t="shared" si="20"/>
        <v>2000</v>
      </c>
      <c r="I74" s="19">
        <f t="shared" si="20"/>
        <v>600</v>
      </c>
      <c r="J74" s="19">
        <f t="shared" si="20"/>
        <v>20</v>
      </c>
      <c r="K74" s="19">
        <f t="shared" si="20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>SUM(F76:F81)</f>
        <v>683</v>
      </c>
      <c r="G75" s="10">
        <f>SUM(G76:G81)</f>
        <v>650</v>
      </c>
      <c r="H75" s="10">
        <f t="shared" ref="H75:K75" si="21">SUM(H76:H81)</f>
        <v>0</v>
      </c>
      <c r="I75" s="10">
        <f t="shared" si="21"/>
        <v>0</v>
      </c>
      <c r="J75" s="10">
        <f t="shared" si="21"/>
        <v>0</v>
      </c>
      <c r="K75" s="10">
        <f t="shared" si="21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>SUM(F83:F84)</f>
        <v>140</v>
      </c>
      <c r="G82" s="10">
        <f t="shared" ref="G82:K82" si="22">SUM(G83:G84)</f>
        <v>100</v>
      </c>
      <c r="H82" s="10">
        <f t="shared" si="22"/>
        <v>0</v>
      </c>
      <c r="I82" s="10">
        <f t="shared" si="22"/>
        <v>0</v>
      </c>
      <c r="J82" s="10">
        <f t="shared" si="22"/>
        <v>60</v>
      </c>
      <c r="K82" s="10">
        <f t="shared" si="22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23">E75+E82</f>
        <v>810</v>
      </c>
      <c r="F85" s="19">
        <f t="shared" si="23"/>
        <v>823</v>
      </c>
      <c r="G85" s="19">
        <f t="shared" si="23"/>
        <v>750</v>
      </c>
      <c r="H85" s="19">
        <f t="shared" si="23"/>
        <v>0</v>
      </c>
      <c r="I85" s="19">
        <f t="shared" si="23"/>
        <v>0</v>
      </c>
      <c r="J85" s="19">
        <f t="shared" si="23"/>
        <v>60</v>
      </c>
      <c r="K85" s="19">
        <f t="shared" si="23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>SUM(F87:F89)</f>
        <v>2360</v>
      </c>
      <c r="G86" s="10">
        <f t="shared" ref="G86:K86" si="24">SUM(G87:G89)</f>
        <v>2100</v>
      </c>
      <c r="H86" s="10">
        <f t="shared" si="24"/>
        <v>0</v>
      </c>
      <c r="I86" s="10">
        <f t="shared" si="24"/>
        <v>0</v>
      </c>
      <c r="J86" s="10">
        <f t="shared" si="24"/>
        <v>385</v>
      </c>
      <c r="K86" s="10">
        <f t="shared" si="24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 t="shared" ref="J90:K90" si="25">J91</f>
        <v>0</v>
      </c>
      <c r="K90" s="10">
        <f t="shared" si="25"/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>SUM(F93:F94)</f>
        <v>0</v>
      </c>
      <c r="G92" s="10">
        <f t="shared" ref="G92:K92" si="26">SUM(G93:G94)</f>
        <v>200</v>
      </c>
      <c r="H92" s="10">
        <f t="shared" si="26"/>
        <v>0</v>
      </c>
      <c r="I92" s="10">
        <f t="shared" si="26"/>
        <v>0</v>
      </c>
      <c r="J92" s="10">
        <f t="shared" si="26"/>
        <v>2030</v>
      </c>
      <c r="K92" s="10">
        <f t="shared" si="26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 t="shared" ref="J96:K96" si="27">SUM(J97:J98)</f>
        <v>0</v>
      </c>
      <c r="K96" s="10">
        <f t="shared" si="27"/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>SUM(F100:F102)</f>
        <v>200</v>
      </c>
      <c r="G99" s="10">
        <f t="shared" ref="G99:K99" si="28">SUM(G100:G102)</f>
        <v>1815</v>
      </c>
      <c r="H99" s="10">
        <f t="shared" si="28"/>
        <v>0</v>
      </c>
      <c r="I99" s="10">
        <f t="shared" si="28"/>
        <v>0</v>
      </c>
      <c r="J99" s="10">
        <f t="shared" si="28"/>
        <v>30</v>
      </c>
      <c r="K99" s="10">
        <f t="shared" si="28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>SUM(F104:F107)</f>
        <v>1830</v>
      </c>
      <c r="G103" s="10">
        <f t="shared" ref="G103:K103" si="29">SUM(G104:G107)</f>
        <v>1900</v>
      </c>
      <c r="H103" s="10">
        <f t="shared" si="29"/>
        <v>0</v>
      </c>
      <c r="I103" s="10">
        <f t="shared" si="29"/>
        <v>0</v>
      </c>
      <c r="J103" s="10">
        <f t="shared" si="29"/>
        <v>50</v>
      </c>
      <c r="K103" s="10">
        <f t="shared" si="29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30">E86+E90+E92+E95+E96+E99+E103</f>
        <v>10051</v>
      </c>
      <c r="F108" s="19">
        <f t="shared" si="30"/>
        <v>5465</v>
      </c>
      <c r="G108" s="19">
        <f t="shared" si="30"/>
        <v>7581</v>
      </c>
      <c r="H108" s="19">
        <f t="shared" si="30"/>
        <v>0</v>
      </c>
      <c r="I108" s="19">
        <f t="shared" si="30"/>
        <v>0</v>
      </c>
      <c r="J108" s="19">
        <f t="shared" si="30"/>
        <v>2495</v>
      </c>
      <c r="K108" s="19">
        <f t="shared" si="30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>SUM(F110:F111)</f>
        <v>50</v>
      </c>
      <c r="G109" s="10">
        <f t="shared" ref="G109:K109" si="31">SUM(G110:G111)</f>
        <v>50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10">
        <f t="shared" si="31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32">E109+E112</f>
        <v>110</v>
      </c>
      <c r="F113" s="19">
        <f t="shared" si="32"/>
        <v>80</v>
      </c>
      <c r="G113" s="19">
        <f t="shared" si="32"/>
        <v>80</v>
      </c>
      <c r="H113" s="19">
        <f t="shared" si="32"/>
        <v>0</v>
      </c>
      <c r="I113" s="19">
        <f t="shared" si="32"/>
        <v>0</v>
      </c>
      <c r="J113" s="19">
        <f t="shared" si="32"/>
        <v>30</v>
      </c>
      <c r="K113" s="19">
        <f t="shared" si="32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>SUM(F115:F116)</f>
        <v>1773</v>
      </c>
      <c r="G114" s="10">
        <f t="shared" ref="G114:K114" si="33">SUM(G115:G116)</f>
        <v>2363</v>
      </c>
      <c r="H114" s="10">
        <f t="shared" si="33"/>
        <v>151</v>
      </c>
      <c r="I114" s="10">
        <f t="shared" si="33"/>
        <v>162</v>
      </c>
      <c r="J114" s="10">
        <f t="shared" si="33"/>
        <v>0</v>
      </c>
      <c r="K114" s="10">
        <f t="shared" si="33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>SUM(F118:F120)</f>
        <v>0</v>
      </c>
      <c r="G117" s="10">
        <f t="shared" ref="G117:K117" si="34">SUM(G118:G120)</f>
        <v>0</v>
      </c>
      <c r="H117" s="10">
        <f t="shared" si="34"/>
        <v>0</v>
      </c>
      <c r="I117" s="10">
        <f t="shared" si="34"/>
        <v>0</v>
      </c>
      <c r="J117" s="10">
        <f t="shared" si="34"/>
        <v>0</v>
      </c>
      <c r="K117" s="10">
        <f t="shared" si="34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>SUM(F122:F125)</f>
        <v>0</v>
      </c>
      <c r="G121" s="10">
        <f t="shared" ref="G121:K121" si="35">SUM(G122:G125)</f>
        <v>0</v>
      </c>
      <c r="H121" s="10">
        <f t="shared" si="35"/>
        <v>0</v>
      </c>
      <c r="I121" s="10">
        <f t="shared" si="35"/>
        <v>0</v>
      </c>
      <c r="J121" s="10">
        <f t="shared" si="35"/>
        <v>0</v>
      </c>
      <c r="K121" s="10">
        <f t="shared" si="35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>SUM(F127:F128)</f>
        <v>0</v>
      </c>
      <c r="G126" s="10">
        <f t="shared" ref="G126:K126" si="36">SUM(G127:G128)</f>
        <v>0</v>
      </c>
      <c r="H126" s="10">
        <f t="shared" si="36"/>
        <v>0</v>
      </c>
      <c r="I126" s="10">
        <f t="shared" si="36"/>
        <v>0</v>
      </c>
      <c r="J126" s="10">
        <f t="shared" si="36"/>
        <v>0</v>
      </c>
      <c r="K126" s="10">
        <f t="shared" si="36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>SUM(F130:F133)</f>
        <v>15</v>
      </c>
      <c r="G129" s="10">
        <f t="shared" ref="G129:K129" si="37">SUM(G130:G133)</f>
        <v>100</v>
      </c>
      <c r="H129" s="10">
        <f t="shared" si="37"/>
        <v>0</v>
      </c>
      <c r="I129" s="10">
        <f t="shared" si="37"/>
        <v>0</v>
      </c>
      <c r="J129" s="10">
        <f t="shared" si="37"/>
        <v>5</v>
      </c>
      <c r="K129" s="10">
        <f t="shared" si="37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8">E114+E117+E121+E126+E129</f>
        <v>2625</v>
      </c>
      <c r="F134" s="19">
        <f t="shared" si="38"/>
        <v>1788</v>
      </c>
      <c r="G134" s="19">
        <f t="shared" si="38"/>
        <v>2463</v>
      </c>
      <c r="H134" s="19">
        <f t="shared" si="38"/>
        <v>151</v>
      </c>
      <c r="I134" s="19">
        <f t="shared" si="38"/>
        <v>162</v>
      </c>
      <c r="J134" s="19">
        <f t="shared" si="38"/>
        <v>5</v>
      </c>
      <c r="K134" s="19">
        <f t="shared" si="38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9">E74+E85+E108+E113+E134</f>
        <v>14606</v>
      </c>
      <c r="F135" s="23">
        <f t="shared" si="39"/>
        <v>8406</v>
      </c>
      <c r="G135" s="23">
        <f t="shared" si="39"/>
        <v>11264</v>
      </c>
      <c r="H135" s="23">
        <f t="shared" si="39"/>
        <v>2151</v>
      </c>
      <c r="I135" s="23">
        <f t="shared" si="39"/>
        <v>762</v>
      </c>
      <c r="J135" s="23">
        <f t="shared" si="39"/>
        <v>2610</v>
      </c>
      <c r="K135" s="23">
        <f t="shared" si="39"/>
        <v>2580</v>
      </c>
    </row>
    <row r="136" spans="1:254" ht="14.1" customHeight="1" x14ac:dyDescent="0.2">
      <c r="A136" s="916" t="s">
        <v>291</v>
      </c>
      <c r="B136" s="917"/>
      <c r="C136" s="918"/>
      <c r="D136" s="28">
        <f>D51+D135</f>
        <v>27915</v>
      </c>
      <c r="E136" s="28">
        <f t="shared" ref="E136:K136" si="40">E51+E135</f>
        <v>27157</v>
      </c>
      <c r="F136" s="28">
        <f t="shared" si="40"/>
        <v>19820</v>
      </c>
      <c r="G136" s="28">
        <f t="shared" si="40"/>
        <v>22988</v>
      </c>
      <c r="H136" s="28">
        <f t="shared" si="40"/>
        <v>2151</v>
      </c>
      <c r="I136" s="28">
        <f t="shared" si="40"/>
        <v>762</v>
      </c>
      <c r="J136" s="28">
        <f t="shared" si="40"/>
        <v>5944</v>
      </c>
      <c r="K136" s="28">
        <f t="shared" si="40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919" t="s">
        <v>584</v>
      </c>
      <c r="B140" s="920"/>
      <c r="C140" s="920"/>
      <c r="D140" s="920"/>
      <c r="E140" s="920"/>
      <c r="F140" s="920"/>
      <c r="G140" s="920"/>
      <c r="H140" s="920"/>
      <c r="I140" s="920"/>
      <c r="J140" s="920"/>
      <c r="K140" s="921"/>
    </row>
    <row r="141" spans="1:254" s="1" customFormat="1" ht="14.1" customHeight="1" x14ac:dyDescent="0.25">
      <c r="A141" s="913" t="s">
        <v>0</v>
      </c>
      <c r="B141" s="914" t="s">
        <v>1</v>
      </c>
      <c r="C141" s="913" t="s">
        <v>2</v>
      </c>
      <c r="D141" s="915" t="s">
        <v>260</v>
      </c>
      <c r="E141" s="905" t="s">
        <v>259</v>
      </c>
      <c r="F141" s="907" t="s">
        <v>360</v>
      </c>
      <c r="G141" s="908"/>
      <c r="H141" s="907" t="s">
        <v>585</v>
      </c>
      <c r="I141" s="908"/>
      <c r="J141" s="907" t="s">
        <v>361</v>
      </c>
      <c r="K141" s="908"/>
    </row>
    <row r="142" spans="1:254" s="3" customFormat="1" ht="27" customHeight="1" x14ac:dyDescent="0.25">
      <c r="A142" s="913"/>
      <c r="B142" s="914"/>
      <c r="C142" s="913"/>
      <c r="D142" s="915"/>
      <c r="E142" s="906"/>
      <c r="F142" s="98" t="s">
        <v>260</v>
      </c>
      <c r="G142" s="98" t="s">
        <v>259</v>
      </c>
      <c r="H142" s="98" t="s">
        <v>260</v>
      </c>
      <c r="I142" s="98" t="s">
        <v>259</v>
      </c>
      <c r="J142" s="98" t="s">
        <v>260</v>
      </c>
      <c r="K142" s="98" t="s">
        <v>259</v>
      </c>
    </row>
    <row r="143" spans="1:254" ht="5.6" customHeight="1" x14ac:dyDescent="0.25"/>
    <row r="144" spans="1:254" ht="14.1" customHeight="1" x14ac:dyDescent="0.25">
      <c r="A144" s="912" t="s">
        <v>194</v>
      </c>
      <c r="B144" s="912"/>
      <c r="C144" s="912"/>
      <c r="D144" s="912"/>
      <c r="E144" s="912"/>
      <c r="F144" s="912"/>
      <c r="G144" s="912"/>
      <c r="H144" s="912"/>
      <c r="I144" s="912"/>
      <c r="J144" s="102"/>
      <c r="K144" s="102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41">F146+H146+J146</f>
        <v>0</v>
      </c>
      <c r="E146" s="26">
        <f t="shared" si="41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41"/>
        <v>520</v>
      </c>
      <c r="E147" s="26">
        <f t="shared" si="41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41"/>
        <v>40</v>
      </c>
      <c r="E148" s="26">
        <f t="shared" si="41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41"/>
        <v>0</v>
      </c>
      <c r="E149" s="26">
        <f t="shared" si="41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41"/>
        <v>0</v>
      </c>
      <c r="E150" s="26">
        <f t="shared" si="41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41"/>
        <v>0</v>
      </c>
      <c r="E151" s="26">
        <f t="shared" si="41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41"/>
        <v>152</v>
      </c>
      <c r="E152" s="26">
        <f t="shared" si="41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42">SUM(E145:E152)</f>
        <v>4198</v>
      </c>
      <c r="F153" s="22">
        <f t="shared" si="42"/>
        <v>699</v>
      </c>
      <c r="G153" s="22">
        <f t="shared" si="42"/>
        <v>838</v>
      </c>
      <c r="H153" s="22">
        <f t="shared" si="42"/>
        <v>0</v>
      </c>
      <c r="I153" s="22">
        <f t="shared" si="42"/>
        <v>3360</v>
      </c>
      <c r="J153" s="22">
        <f t="shared" si="42"/>
        <v>13</v>
      </c>
      <c r="K153" s="22">
        <f t="shared" si="42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41"/>
        <v>0</v>
      </c>
      <c r="E154" s="26">
        <f t="shared" si="41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41"/>
        <v>0</v>
      </c>
      <c r="E155" s="26">
        <f t="shared" si="41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41"/>
        <v>0</v>
      </c>
      <c r="E156" s="26">
        <f t="shared" si="41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41"/>
        <v>0</v>
      </c>
      <c r="E157" s="26">
        <f t="shared" si="41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41"/>
        <v>0</v>
      </c>
      <c r="E158" s="26">
        <f t="shared" si="41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43">SUM(E154:E158)</f>
        <v>0</v>
      </c>
      <c r="F159" s="22">
        <f t="shared" si="43"/>
        <v>0</v>
      </c>
      <c r="G159" s="22">
        <f t="shared" si="43"/>
        <v>0</v>
      </c>
      <c r="H159" s="22">
        <f t="shared" si="43"/>
        <v>0</v>
      </c>
      <c r="I159" s="22">
        <f t="shared" si="43"/>
        <v>0</v>
      </c>
      <c r="J159" s="22">
        <f t="shared" si="43"/>
        <v>0</v>
      </c>
      <c r="K159" s="22">
        <f t="shared" si="43"/>
        <v>0</v>
      </c>
    </row>
    <row r="160" spans="1:11" s="3" customFormat="1" ht="14.1" customHeight="1" x14ac:dyDescent="0.25">
      <c r="A160" s="916" t="s">
        <v>293</v>
      </c>
      <c r="B160" s="917"/>
      <c r="C160" s="918" t="s">
        <v>238</v>
      </c>
      <c r="D160" s="28">
        <f>D153+D159</f>
        <v>712</v>
      </c>
      <c r="E160" s="28">
        <f t="shared" ref="E160:K160" si="44">E153+E159</f>
        <v>4198</v>
      </c>
      <c r="F160" s="28">
        <f t="shared" si="44"/>
        <v>699</v>
      </c>
      <c r="G160" s="28">
        <f t="shared" si="44"/>
        <v>838</v>
      </c>
      <c r="H160" s="28">
        <f t="shared" si="44"/>
        <v>0</v>
      </c>
      <c r="I160" s="28">
        <f t="shared" si="44"/>
        <v>3360</v>
      </c>
      <c r="J160" s="28">
        <f t="shared" si="44"/>
        <v>13</v>
      </c>
      <c r="K160" s="28">
        <f t="shared" si="44"/>
        <v>0</v>
      </c>
    </row>
    <row r="161" spans="1:11" ht="6.8" customHeight="1" x14ac:dyDescent="0.25"/>
    <row r="162" spans="1:11" ht="14.1" customHeight="1" x14ac:dyDescent="0.25">
      <c r="A162" s="909" t="s">
        <v>294</v>
      </c>
      <c r="B162" s="910"/>
      <c r="C162" s="911"/>
      <c r="D162" s="30">
        <f>D160+D136</f>
        <v>28627</v>
      </c>
      <c r="E162" s="30">
        <f t="shared" ref="E162:K162" si="45">E160+E136</f>
        <v>31355</v>
      </c>
      <c r="F162" s="30">
        <f t="shared" si="45"/>
        <v>20519</v>
      </c>
      <c r="G162" s="30">
        <f t="shared" si="45"/>
        <v>23826</v>
      </c>
      <c r="H162" s="30">
        <f t="shared" si="45"/>
        <v>2151</v>
      </c>
      <c r="I162" s="30">
        <f t="shared" si="45"/>
        <v>4122</v>
      </c>
      <c r="J162" s="30">
        <f t="shared" si="45"/>
        <v>5957</v>
      </c>
      <c r="K162" s="30">
        <f t="shared" si="45"/>
        <v>3407</v>
      </c>
    </row>
    <row r="167" spans="1:11" s="1" customFormat="1" ht="12.75" customHeight="1" x14ac:dyDescent="0.25">
      <c r="A167" s="919" t="s">
        <v>583</v>
      </c>
      <c r="B167" s="920"/>
      <c r="C167" s="920"/>
      <c r="D167" s="920"/>
      <c r="E167" s="920"/>
      <c r="F167" s="920"/>
      <c r="G167" s="920"/>
      <c r="H167" s="920"/>
      <c r="I167" s="920"/>
      <c r="J167" s="920"/>
      <c r="K167" s="921"/>
    </row>
    <row r="168" spans="1:11" s="1" customFormat="1" ht="14.1" customHeight="1" x14ac:dyDescent="0.25">
      <c r="A168" s="913" t="s">
        <v>0</v>
      </c>
      <c r="B168" s="914" t="s">
        <v>1</v>
      </c>
      <c r="C168" s="913" t="s">
        <v>2</v>
      </c>
      <c r="D168" s="915" t="s">
        <v>260</v>
      </c>
      <c r="E168" s="905" t="s">
        <v>259</v>
      </c>
      <c r="F168" s="907" t="s">
        <v>360</v>
      </c>
      <c r="G168" s="908"/>
      <c r="H168" s="907" t="s">
        <v>585</v>
      </c>
      <c r="I168" s="908"/>
      <c r="J168" s="907" t="s">
        <v>361</v>
      </c>
      <c r="K168" s="908"/>
    </row>
    <row r="169" spans="1:11" s="3" customFormat="1" ht="23.3" customHeight="1" x14ac:dyDescent="0.25">
      <c r="A169" s="913"/>
      <c r="B169" s="914"/>
      <c r="C169" s="913"/>
      <c r="D169" s="915"/>
      <c r="E169" s="906"/>
      <c r="F169" s="98" t="s">
        <v>260</v>
      </c>
      <c r="G169" s="98" t="s">
        <v>259</v>
      </c>
      <c r="H169" s="98" t="s">
        <v>260</v>
      </c>
      <c r="I169" s="98" t="s">
        <v>259</v>
      </c>
      <c r="J169" s="98" t="s">
        <v>260</v>
      </c>
      <c r="K169" s="98" t="s">
        <v>259</v>
      </c>
    </row>
    <row r="170" spans="1:11" ht="5.6" customHeight="1" x14ac:dyDescent="0.25"/>
    <row r="171" spans="1:11" ht="14.1" customHeight="1" x14ac:dyDescent="0.25">
      <c r="A171" s="912" t="s">
        <v>239</v>
      </c>
      <c r="B171" s="912"/>
      <c r="C171" s="912"/>
      <c r="D171" s="912"/>
      <c r="E171" s="912"/>
      <c r="F171" s="912"/>
      <c r="G171" s="912"/>
      <c r="H171" s="912"/>
      <c r="I171" s="912"/>
      <c r="J171" s="102"/>
      <c r="K171" s="102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46">SUM(E173:E182)</f>
        <v>254</v>
      </c>
      <c r="F172" s="23">
        <f t="shared" si="46"/>
        <v>294</v>
      </c>
      <c r="G172" s="23">
        <f t="shared" si="46"/>
        <v>254</v>
      </c>
      <c r="H172" s="23">
        <f t="shared" si="46"/>
        <v>0</v>
      </c>
      <c r="I172" s="23">
        <f t="shared" si="46"/>
        <v>0</v>
      </c>
      <c r="J172" s="23">
        <f t="shared" si="46"/>
        <v>0</v>
      </c>
      <c r="K172" s="23">
        <f t="shared" si="46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47">F173+H173+J173</f>
        <v>0</v>
      </c>
      <c r="E173" s="26">
        <f t="shared" si="47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47"/>
        <v>230</v>
      </c>
      <c r="E174" s="26">
        <f t="shared" si="47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47"/>
        <v>0</v>
      </c>
      <c r="E175" s="26">
        <f t="shared" si="47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47"/>
        <v>0</v>
      </c>
      <c r="E176" s="26">
        <f t="shared" si="47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47"/>
        <v>0</v>
      </c>
      <c r="E177" s="26">
        <f t="shared" si="47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47"/>
        <v>54</v>
      </c>
      <c r="E178" s="26">
        <f t="shared" si="47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47"/>
        <v>0</v>
      </c>
      <c r="E179" s="26">
        <f t="shared" si="47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47"/>
        <v>0</v>
      </c>
      <c r="E180" s="26">
        <f t="shared" si="47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47"/>
        <v>0</v>
      </c>
      <c r="E181" s="26">
        <f t="shared" si="47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47"/>
        <v>10</v>
      </c>
      <c r="E182" s="26">
        <f t="shared" si="47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909" t="s">
        <v>295</v>
      </c>
      <c r="B184" s="910"/>
      <c r="C184" s="911"/>
      <c r="D184" s="30">
        <f>D172+D183</f>
        <v>294</v>
      </c>
      <c r="E184" s="30">
        <f t="shared" ref="E184:K184" si="48">E172+E183</f>
        <v>254</v>
      </c>
      <c r="F184" s="30">
        <f t="shared" si="48"/>
        <v>294</v>
      </c>
      <c r="G184" s="30">
        <f t="shared" si="48"/>
        <v>254</v>
      </c>
      <c r="H184" s="30">
        <f t="shared" si="48"/>
        <v>0</v>
      </c>
      <c r="I184" s="30">
        <f t="shared" si="48"/>
        <v>0</v>
      </c>
      <c r="J184" s="30">
        <f t="shared" si="48"/>
        <v>0</v>
      </c>
      <c r="K184" s="30">
        <f t="shared" si="48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0:C160"/>
    <mergeCell ref="A162:C162"/>
    <mergeCell ref="A168:A169"/>
    <mergeCell ref="B168:B169"/>
    <mergeCell ref="C168:C169"/>
    <mergeCell ref="D168:D169"/>
    <mergeCell ref="E168:E169"/>
    <mergeCell ref="F168:G168"/>
    <mergeCell ref="A56:I56"/>
    <mergeCell ref="A136:C136"/>
    <mergeCell ref="A141:A142"/>
    <mergeCell ref="B141:B142"/>
    <mergeCell ref="C141:C142"/>
    <mergeCell ref="D141:D142"/>
    <mergeCell ref="E141:E142"/>
    <mergeCell ref="F141:G141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T199"/>
  <sheetViews>
    <sheetView view="pageBreakPreview" topLeftCell="A145" zoomScale="79" zoomScaleNormal="100" zoomScaleSheetLayoutView="79" workbookViewId="0">
      <selection activeCell="Q189" sqref="Q189"/>
    </sheetView>
  </sheetViews>
  <sheetFormatPr defaultRowHeight="14.3" outlineLevelRow="4" x14ac:dyDescent="0.25"/>
  <cols>
    <col min="1" max="1" width="5.75" style="41" customWidth="1"/>
    <col min="2" max="2" width="35.375" style="42" customWidth="1"/>
    <col min="3" max="3" width="10.375" style="402" hidden="1" customWidth="1"/>
    <col min="4" max="4" width="8" hidden="1" customWidth="1"/>
    <col min="5" max="5" width="11" hidden="1" customWidth="1"/>
    <col min="6" max="6" width="9.25" hidden="1" customWidth="1"/>
    <col min="7" max="7" width="6.25" hidden="1" customWidth="1"/>
    <col min="8" max="8" width="11" hidden="1" customWidth="1"/>
    <col min="9" max="10" width="10.375" hidden="1" customWidth="1"/>
    <col min="11" max="11" width="11" hidden="1" customWidth="1"/>
    <col min="12" max="12" width="10.375" hidden="1" customWidth="1"/>
    <col min="13" max="13" width="7.375" hidden="1" customWidth="1"/>
    <col min="14" max="14" width="11" hidden="1" customWidth="1"/>
    <col min="15" max="15" width="10.625" customWidth="1"/>
    <col min="16" max="16" width="10.375" customWidth="1"/>
    <col min="17" max="17" width="11" customWidth="1"/>
    <col min="18" max="18" width="10.625" customWidth="1"/>
    <col min="19" max="19" width="10.125" customWidth="1"/>
    <col min="20" max="20" width="11" customWidth="1"/>
    <col min="238" max="238" width="7.75" bestFit="1" customWidth="1"/>
    <col min="239" max="239" width="48.75" customWidth="1"/>
    <col min="240" max="241" width="9.625" customWidth="1"/>
    <col min="242" max="243" width="10.875" bestFit="1" customWidth="1"/>
    <col min="244" max="244" width="10.125" bestFit="1" customWidth="1"/>
    <col min="245" max="245" width="10.25" customWidth="1"/>
    <col min="246" max="246" width="14" bestFit="1" customWidth="1"/>
    <col min="494" max="494" width="7.75" bestFit="1" customWidth="1"/>
    <col min="495" max="495" width="48.75" customWidth="1"/>
    <col min="496" max="497" width="9.625" customWidth="1"/>
    <col min="498" max="499" width="10.875" bestFit="1" customWidth="1"/>
    <col min="500" max="500" width="10.125" bestFit="1" customWidth="1"/>
    <col min="501" max="501" width="10.25" customWidth="1"/>
    <col min="502" max="502" width="14" bestFit="1" customWidth="1"/>
    <col min="750" max="750" width="7.75" bestFit="1" customWidth="1"/>
    <col min="751" max="751" width="48.75" customWidth="1"/>
    <col min="752" max="753" width="9.625" customWidth="1"/>
    <col min="754" max="755" width="10.875" bestFit="1" customWidth="1"/>
    <col min="756" max="756" width="10.125" bestFit="1" customWidth="1"/>
    <col min="757" max="757" width="10.25" customWidth="1"/>
    <col min="758" max="758" width="14" bestFit="1" customWidth="1"/>
    <col min="1006" max="1006" width="7.75" bestFit="1" customWidth="1"/>
    <col min="1007" max="1007" width="48.75" customWidth="1"/>
    <col min="1008" max="1009" width="9.625" customWidth="1"/>
    <col min="1010" max="1011" width="10.875" bestFit="1" customWidth="1"/>
    <col min="1012" max="1012" width="10.125" bestFit="1" customWidth="1"/>
    <col min="1013" max="1013" width="10.25" customWidth="1"/>
    <col min="1014" max="1014" width="14" bestFit="1" customWidth="1"/>
    <col min="1262" max="1262" width="7.75" bestFit="1" customWidth="1"/>
    <col min="1263" max="1263" width="48.75" customWidth="1"/>
    <col min="1264" max="1265" width="9.625" customWidth="1"/>
    <col min="1266" max="1267" width="10.875" bestFit="1" customWidth="1"/>
    <col min="1268" max="1268" width="10.125" bestFit="1" customWidth="1"/>
    <col min="1269" max="1269" width="10.25" customWidth="1"/>
    <col min="1270" max="1270" width="14" bestFit="1" customWidth="1"/>
    <col min="1518" max="1518" width="7.75" bestFit="1" customWidth="1"/>
    <col min="1519" max="1519" width="48.75" customWidth="1"/>
    <col min="1520" max="1521" width="9.625" customWidth="1"/>
    <col min="1522" max="1523" width="10.875" bestFit="1" customWidth="1"/>
    <col min="1524" max="1524" width="10.125" bestFit="1" customWidth="1"/>
    <col min="1525" max="1525" width="10.25" customWidth="1"/>
    <col min="1526" max="1526" width="14" bestFit="1" customWidth="1"/>
    <col min="1774" max="1774" width="7.75" bestFit="1" customWidth="1"/>
    <col min="1775" max="1775" width="48.75" customWidth="1"/>
    <col min="1776" max="1777" width="9.625" customWidth="1"/>
    <col min="1778" max="1779" width="10.875" bestFit="1" customWidth="1"/>
    <col min="1780" max="1780" width="10.125" bestFit="1" customWidth="1"/>
    <col min="1781" max="1781" width="10.25" customWidth="1"/>
    <col min="1782" max="1782" width="14" bestFit="1" customWidth="1"/>
    <col min="2030" max="2030" width="7.75" bestFit="1" customWidth="1"/>
    <col min="2031" max="2031" width="48.75" customWidth="1"/>
    <col min="2032" max="2033" width="9.625" customWidth="1"/>
    <col min="2034" max="2035" width="10.875" bestFit="1" customWidth="1"/>
    <col min="2036" max="2036" width="10.125" bestFit="1" customWidth="1"/>
    <col min="2037" max="2037" width="10.25" customWidth="1"/>
    <col min="2038" max="2038" width="14" bestFit="1" customWidth="1"/>
    <col min="2286" max="2286" width="7.75" bestFit="1" customWidth="1"/>
    <col min="2287" max="2287" width="48.75" customWidth="1"/>
    <col min="2288" max="2289" width="9.625" customWidth="1"/>
    <col min="2290" max="2291" width="10.875" bestFit="1" customWidth="1"/>
    <col min="2292" max="2292" width="10.125" bestFit="1" customWidth="1"/>
    <col min="2293" max="2293" width="10.25" customWidth="1"/>
    <col min="2294" max="2294" width="14" bestFit="1" customWidth="1"/>
    <col min="2542" max="2542" width="7.75" bestFit="1" customWidth="1"/>
    <col min="2543" max="2543" width="48.75" customWidth="1"/>
    <col min="2544" max="2545" width="9.625" customWidth="1"/>
    <col min="2546" max="2547" width="10.875" bestFit="1" customWidth="1"/>
    <col min="2548" max="2548" width="10.125" bestFit="1" customWidth="1"/>
    <col min="2549" max="2549" width="10.25" customWidth="1"/>
    <col min="2550" max="2550" width="14" bestFit="1" customWidth="1"/>
    <col min="2798" max="2798" width="7.75" bestFit="1" customWidth="1"/>
    <col min="2799" max="2799" width="48.75" customWidth="1"/>
    <col min="2800" max="2801" width="9.625" customWidth="1"/>
    <col min="2802" max="2803" width="10.875" bestFit="1" customWidth="1"/>
    <col min="2804" max="2804" width="10.125" bestFit="1" customWidth="1"/>
    <col min="2805" max="2805" width="10.25" customWidth="1"/>
    <col min="2806" max="2806" width="14" bestFit="1" customWidth="1"/>
    <col min="3054" max="3054" width="7.75" bestFit="1" customWidth="1"/>
    <col min="3055" max="3055" width="48.75" customWidth="1"/>
    <col min="3056" max="3057" width="9.625" customWidth="1"/>
    <col min="3058" max="3059" width="10.875" bestFit="1" customWidth="1"/>
    <col min="3060" max="3060" width="10.125" bestFit="1" customWidth="1"/>
    <col min="3061" max="3061" width="10.25" customWidth="1"/>
    <col min="3062" max="3062" width="14" bestFit="1" customWidth="1"/>
    <col min="3310" max="3310" width="7.75" bestFit="1" customWidth="1"/>
    <col min="3311" max="3311" width="48.75" customWidth="1"/>
    <col min="3312" max="3313" width="9.625" customWidth="1"/>
    <col min="3314" max="3315" width="10.875" bestFit="1" customWidth="1"/>
    <col min="3316" max="3316" width="10.125" bestFit="1" customWidth="1"/>
    <col min="3317" max="3317" width="10.25" customWidth="1"/>
    <col min="3318" max="3318" width="14" bestFit="1" customWidth="1"/>
    <col min="3566" max="3566" width="7.75" bestFit="1" customWidth="1"/>
    <col min="3567" max="3567" width="48.75" customWidth="1"/>
    <col min="3568" max="3569" width="9.625" customWidth="1"/>
    <col min="3570" max="3571" width="10.875" bestFit="1" customWidth="1"/>
    <col min="3572" max="3572" width="10.125" bestFit="1" customWidth="1"/>
    <col min="3573" max="3573" width="10.25" customWidth="1"/>
    <col min="3574" max="3574" width="14" bestFit="1" customWidth="1"/>
    <col min="3822" max="3822" width="7.75" bestFit="1" customWidth="1"/>
    <col min="3823" max="3823" width="48.75" customWidth="1"/>
    <col min="3824" max="3825" width="9.625" customWidth="1"/>
    <col min="3826" max="3827" width="10.875" bestFit="1" customWidth="1"/>
    <col min="3828" max="3828" width="10.125" bestFit="1" customWidth="1"/>
    <col min="3829" max="3829" width="10.25" customWidth="1"/>
    <col min="3830" max="3830" width="14" bestFit="1" customWidth="1"/>
    <col min="4078" max="4078" width="7.75" bestFit="1" customWidth="1"/>
    <col min="4079" max="4079" width="48.75" customWidth="1"/>
    <col min="4080" max="4081" width="9.625" customWidth="1"/>
    <col min="4082" max="4083" width="10.875" bestFit="1" customWidth="1"/>
    <col min="4084" max="4084" width="10.125" bestFit="1" customWidth="1"/>
    <col min="4085" max="4085" width="10.25" customWidth="1"/>
    <col min="4086" max="4086" width="14" bestFit="1" customWidth="1"/>
    <col min="4334" max="4334" width="7.75" bestFit="1" customWidth="1"/>
    <col min="4335" max="4335" width="48.75" customWidth="1"/>
    <col min="4336" max="4337" width="9.625" customWidth="1"/>
    <col min="4338" max="4339" width="10.875" bestFit="1" customWidth="1"/>
    <col min="4340" max="4340" width="10.125" bestFit="1" customWidth="1"/>
    <col min="4341" max="4341" width="10.25" customWidth="1"/>
    <col min="4342" max="4342" width="14" bestFit="1" customWidth="1"/>
    <col min="4590" max="4590" width="7.75" bestFit="1" customWidth="1"/>
    <col min="4591" max="4591" width="48.75" customWidth="1"/>
    <col min="4592" max="4593" width="9.625" customWidth="1"/>
    <col min="4594" max="4595" width="10.875" bestFit="1" customWidth="1"/>
    <col min="4596" max="4596" width="10.125" bestFit="1" customWidth="1"/>
    <col min="4597" max="4597" width="10.25" customWidth="1"/>
    <col min="4598" max="4598" width="14" bestFit="1" customWidth="1"/>
    <col min="4846" max="4846" width="7.75" bestFit="1" customWidth="1"/>
    <col min="4847" max="4847" width="48.75" customWidth="1"/>
    <col min="4848" max="4849" width="9.625" customWidth="1"/>
    <col min="4850" max="4851" width="10.875" bestFit="1" customWidth="1"/>
    <col min="4852" max="4852" width="10.125" bestFit="1" customWidth="1"/>
    <col min="4853" max="4853" width="10.25" customWidth="1"/>
    <col min="4854" max="4854" width="14" bestFit="1" customWidth="1"/>
    <col min="5102" max="5102" width="7.75" bestFit="1" customWidth="1"/>
    <col min="5103" max="5103" width="48.75" customWidth="1"/>
    <col min="5104" max="5105" width="9.625" customWidth="1"/>
    <col min="5106" max="5107" width="10.875" bestFit="1" customWidth="1"/>
    <col min="5108" max="5108" width="10.125" bestFit="1" customWidth="1"/>
    <col min="5109" max="5109" width="10.25" customWidth="1"/>
    <col min="5110" max="5110" width="14" bestFit="1" customWidth="1"/>
    <col min="5358" max="5358" width="7.75" bestFit="1" customWidth="1"/>
    <col min="5359" max="5359" width="48.75" customWidth="1"/>
    <col min="5360" max="5361" width="9.625" customWidth="1"/>
    <col min="5362" max="5363" width="10.875" bestFit="1" customWidth="1"/>
    <col min="5364" max="5364" width="10.125" bestFit="1" customWidth="1"/>
    <col min="5365" max="5365" width="10.25" customWidth="1"/>
    <col min="5366" max="5366" width="14" bestFit="1" customWidth="1"/>
    <col min="5614" max="5614" width="7.75" bestFit="1" customWidth="1"/>
    <col min="5615" max="5615" width="48.75" customWidth="1"/>
    <col min="5616" max="5617" width="9.625" customWidth="1"/>
    <col min="5618" max="5619" width="10.875" bestFit="1" customWidth="1"/>
    <col min="5620" max="5620" width="10.125" bestFit="1" customWidth="1"/>
    <col min="5621" max="5621" width="10.25" customWidth="1"/>
    <col min="5622" max="5622" width="14" bestFit="1" customWidth="1"/>
    <col min="5870" max="5870" width="7.75" bestFit="1" customWidth="1"/>
    <col min="5871" max="5871" width="48.75" customWidth="1"/>
    <col min="5872" max="5873" width="9.625" customWidth="1"/>
    <col min="5874" max="5875" width="10.875" bestFit="1" customWidth="1"/>
    <col min="5876" max="5876" width="10.125" bestFit="1" customWidth="1"/>
    <col min="5877" max="5877" width="10.25" customWidth="1"/>
    <col min="5878" max="5878" width="14" bestFit="1" customWidth="1"/>
    <col min="6126" max="6126" width="7.75" bestFit="1" customWidth="1"/>
    <col min="6127" max="6127" width="48.75" customWidth="1"/>
    <col min="6128" max="6129" width="9.625" customWidth="1"/>
    <col min="6130" max="6131" width="10.875" bestFit="1" customWidth="1"/>
    <col min="6132" max="6132" width="10.125" bestFit="1" customWidth="1"/>
    <col min="6133" max="6133" width="10.25" customWidth="1"/>
    <col min="6134" max="6134" width="14" bestFit="1" customWidth="1"/>
    <col min="6382" max="6382" width="7.75" bestFit="1" customWidth="1"/>
    <col min="6383" max="6383" width="48.75" customWidth="1"/>
    <col min="6384" max="6385" width="9.625" customWidth="1"/>
    <col min="6386" max="6387" width="10.875" bestFit="1" customWidth="1"/>
    <col min="6388" max="6388" width="10.125" bestFit="1" customWidth="1"/>
    <col min="6389" max="6389" width="10.25" customWidth="1"/>
    <col min="6390" max="6390" width="14" bestFit="1" customWidth="1"/>
    <col min="6638" max="6638" width="7.75" bestFit="1" customWidth="1"/>
    <col min="6639" max="6639" width="48.75" customWidth="1"/>
    <col min="6640" max="6641" width="9.625" customWidth="1"/>
    <col min="6642" max="6643" width="10.875" bestFit="1" customWidth="1"/>
    <col min="6644" max="6644" width="10.125" bestFit="1" customWidth="1"/>
    <col min="6645" max="6645" width="10.25" customWidth="1"/>
    <col min="6646" max="6646" width="14" bestFit="1" customWidth="1"/>
    <col min="6894" max="6894" width="7.75" bestFit="1" customWidth="1"/>
    <col min="6895" max="6895" width="48.75" customWidth="1"/>
    <col min="6896" max="6897" width="9.625" customWidth="1"/>
    <col min="6898" max="6899" width="10.875" bestFit="1" customWidth="1"/>
    <col min="6900" max="6900" width="10.125" bestFit="1" customWidth="1"/>
    <col min="6901" max="6901" width="10.25" customWidth="1"/>
    <col min="6902" max="6902" width="14" bestFit="1" customWidth="1"/>
    <col min="7150" max="7150" width="7.75" bestFit="1" customWidth="1"/>
    <col min="7151" max="7151" width="48.75" customWidth="1"/>
    <col min="7152" max="7153" width="9.625" customWidth="1"/>
    <col min="7154" max="7155" width="10.875" bestFit="1" customWidth="1"/>
    <col min="7156" max="7156" width="10.125" bestFit="1" customWidth="1"/>
    <col min="7157" max="7157" width="10.25" customWidth="1"/>
    <col min="7158" max="7158" width="14" bestFit="1" customWidth="1"/>
    <col min="7406" max="7406" width="7.75" bestFit="1" customWidth="1"/>
    <col min="7407" max="7407" width="48.75" customWidth="1"/>
    <col min="7408" max="7409" width="9.625" customWidth="1"/>
    <col min="7410" max="7411" width="10.875" bestFit="1" customWidth="1"/>
    <col min="7412" max="7412" width="10.125" bestFit="1" customWidth="1"/>
    <col min="7413" max="7413" width="10.25" customWidth="1"/>
    <col min="7414" max="7414" width="14" bestFit="1" customWidth="1"/>
    <col min="7662" max="7662" width="7.75" bestFit="1" customWidth="1"/>
    <col min="7663" max="7663" width="48.75" customWidth="1"/>
    <col min="7664" max="7665" width="9.625" customWidth="1"/>
    <col min="7666" max="7667" width="10.875" bestFit="1" customWidth="1"/>
    <col min="7668" max="7668" width="10.125" bestFit="1" customWidth="1"/>
    <col min="7669" max="7669" width="10.25" customWidth="1"/>
    <col min="7670" max="7670" width="14" bestFit="1" customWidth="1"/>
    <col min="7918" max="7918" width="7.75" bestFit="1" customWidth="1"/>
    <col min="7919" max="7919" width="48.75" customWidth="1"/>
    <col min="7920" max="7921" width="9.625" customWidth="1"/>
    <col min="7922" max="7923" width="10.875" bestFit="1" customWidth="1"/>
    <col min="7924" max="7924" width="10.125" bestFit="1" customWidth="1"/>
    <col min="7925" max="7925" width="10.25" customWidth="1"/>
    <col min="7926" max="7926" width="14" bestFit="1" customWidth="1"/>
    <col min="8174" max="8174" width="7.75" bestFit="1" customWidth="1"/>
    <col min="8175" max="8175" width="48.75" customWidth="1"/>
    <col min="8176" max="8177" width="9.625" customWidth="1"/>
    <col min="8178" max="8179" width="10.875" bestFit="1" customWidth="1"/>
    <col min="8180" max="8180" width="10.125" bestFit="1" customWidth="1"/>
    <col min="8181" max="8181" width="10.25" customWidth="1"/>
    <col min="8182" max="8182" width="14" bestFit="1" customWidth="1"/>
    <col min="8430" max="8430" width="7.75" bestFit="1" customWidth="1"/>
    <col min="8431" max="8431" width="48.75" customWidth="1"/>
    <col min="8432" max="8433" width="9.625" customWidth="1"/>
    <col min="8434" max="8435" width="10.875" bestFit="1" customWidth="1"/>
    <col min="8436" max="8436" width="10.125" bestFit="1" customWidth="1"/>
    <col min="8437" max="8437" width="10.25" customWidth="1"/>
    <col min="8438" max="8438" width="14" bestFit="1" customWidth="1"/>
    <col min="8686" max="8686" width="7.75" bestFit="1" customWidth="1"/>
    <col min="8687" max="8687" width="48.75" customWidth="1"/>
    <col min="8688" max="8689" width="9.625" customWidth="1"/>
    <col min="8690" max="8691" width="10.875" bestFit="1" customWidth="1"/>
    <col min="8692" max="8692" width="10.125" bestFit="1" customWidth="1"/>
    <col min="8693" max="8693" width="10.25" customWidth="1"/>
    <col min="8694" max="8694" width="14" bestFit="1" customWidth="1"/>
    <col min="8942" max="8942" width="7.75" bestFit="1" customWidth="1"/>
    <col min="8943" max="8943" width="48.75" customWidth="1"/>
    <col min="8944" max="8945" width="9.625" customWidth="1"/>
    <col min="8946" max="8947" width="10.875" bestFit="1" customWidth="1"/>
    <col min="8948" max="8948" width="10.125" bestFit="1" customWidth="1"/>
    <col min="8949" max="8949" width="10.25" customWidth="1"/>
    <col min="8950" max="8950" width="14" bestFit="1" customWidth="1"/>
    <col min="9198" max="9198" width="7.75" bestFit="1" customWidth="1"/>
    <col min="9199" max="9199" width="48.75" customWidth="1"/>
    <col min="9200" max="9201" width="9.625" customWidth="1"/>
    <col min="9202" max="9203" width="10.875" bestFit="1" customWidth="1"/>
    <col min="9204" max="9204" width="10.125" bestFit="1" customWidth="1"/>
    <col min="9205" max="9205" width="10.25" customWidth="1"/>
    <col min="9206" max="9206" width="14" bestFit="1" customWidth="1"/>
    <col min="9454" max="9454" width="7.75" bestFit="1" customWidth="1"/>
    <col min="9455" max="9455" width="48.75" customWidth="1"/>
    <col min="9456" max="9457" width="9.625" customWidth="1"/>
    <col min="9458" max="9459" width="10.875" bestFit="1" customWidth="1"/>
    <col min="9460" max="9460" width="10.125" bestFit="1" customWidth="1"/>
    <col min="9461" max="9461" width="10.25" customWidth="1"/>
    <col min="9462" max="9462" width="14" bestFit="1" customWidth="1"/>
    <col min="9710" max="9710" width="7.75" bestFit="1" customWidth="1"/>
    <col min="9711" max="9711" width="48.75" customWidth="1"/>
    <col min="9712" max="9713" width="9.625" customWidth="1"/>
    <col min="9714" max="9715" width="10.875" bestFit="1" customWidth="1"/>
    <col min="9716" max="9716" width="10.125" bestFit="1" customWidth="1"/>
    <col min="9717" max="9717" width="10.25" customWidth="1"/>
    <col min="9718" max="9718" width="14" bestFit="1" customWidth="1"/>
    <col min="9966" max="9966" width="7.75" bestFit="1" customWidth="1"/>
    <col min="9967" max="9967" width="48.75" customWidth="1"/>
    <col min="9968" max="9969" width="9.625" customWidth="1"/>
    <col min="9970" max="9971" width="10.875" bestFit="1" customWidth="1"/>
    <col min="9972" max="9972" width="10.125" bestFit="1" customWidth="1"/>
    <col min="9973" max="9973" width="10.25" customWidth="1"/>
    <col min="9974" max="9974" width="14" bestFit="1" customWidth="1"/>
    <col min="10222" max="10222" width="7.75" bestFit="1" customWidth="1"/>
    <col min="10223" max="10223" width="48.75" customWidth="1"/>
    <col min="10224" max="10225" width="9.625" customWidth="1"/>
    <col min="10226" max="10227" width="10.875" bestFit="1" customWidth="1"/>
    <col min="10228" max="10228" width="10.125" bestFit="1" customWidth="1"/>
    <col min="10229" max="10229" width="10.25" customWidth="1"/>
    <col min="10230" max="10230" width="14" bestFit="1" customWidth="1"/>
    <col min="10478" max="10478" width="7.75" bestFit="1" customWidth="1"/>
    <col min="10479" max="10479" width="48.75" customWidth="1"/>
    <col min="10480" max="10481" width="9.625" customWidth="1"/>
    <col min="10482" max="10483" width="10.875" bestFit="1" customWidth="1"/>
    <col min="10484" max="10484" width="10.125" bestFit="1" customWidth="1"/>
    <col min="10485" max="10485" width="10.25" customWidth="1"/>
    <col min="10486" max="10486" width="14" bestFit="1" customWidth="1"/>
    <col min="10734" max="10734" width="7.75" bestFit="1" customWidth="1"/>
    <col min="10735" max="10735" width="48.75" customWidth="1"/>
    <col min="10736" max="10737" width="9.625" customWidth="1"/>
    <col min="10738" max="10739" width="10.875" bestFit="1" customWidth="1"/>
    <col min="10740" max="10740" width="10.125" bestFit="1" customWidth="1"/>
    <col min="10741" max="10741" width="10.25" customWidth="1"/>
    <col min="10742" max="10742" width="14" bestFit="1" customWidth="1"/>
    <col min="10990" max="10990" width="7.75" bestFit="1" customWidth="1"/>
    <col min="10991" max="10991" width="48.75" customWidth="1"/>
    <col min="10992" max="10993" width="9.625" customWidth="1"/>
    <col min="10994" max="10995" width="10.875" bestFit="1" customWidth="1"/>
    <col min="10996" max="10996" width="10.125" bestFit="1" customWidth="1"/>
    <col min="10997" max="10997" width="10.25" customWidth="1"/>
    <col min="10998" max="10998" width="14" bestFit="1" customWidth="1"/>
    <col min="11246" max="11246" width="7.75" bestFit="1" customWidth="1"/>
    <col min="11247" max="11247" width="48.75" customWidth="1"/>
    <col min="11248" max="11249" width="9.625" customWidth="1"/>
    <col min="11250" max="11251" width="10.875" bestFit="1" customWidth="1"/>
    <col min="11252" max="11252" width="10.125" bestFit="1" customWidth="1"/>
    <col min="11253" max="11253" width="10.25" customWidth="1"/>
    <col min="11254" max="11254" width="14" bestFit="1" customWidth="1"/>
    <col min="11502" max="11502" width="7.75" bestFit="1" customWidth="1"/>
    <col min="11503" max="11503" width="48.75" customWidth="1"/>
    <col min="11504" max="11505" width="9.625" customWidth="1"/>
    <col min="11506" max="11507" width="10.875" bestFit="1" customWidth="1"/>
    <col min="11508" max="11508" width="10.125" bestFit="1" customWidth="1"/>
    <col min="11509" max="11509" width="10.25" customWidth="1"/>
    <col min="11510" max="11510" width="14" bestFit="1" customWidth="1"/>
    <col min="11758" max="11758" width="7.75" bestFit="1" customWidth="1"/>
    <col min="11759" max="11759" width="48.75" customWidth="1"/>
    <col min="11760" max="11761" width="9.625" customWidth="1"/>
    <col min="11762" max="11763" width="10.875" bestFit="1" customWidth="1"/>
    <col min="11764" max="11764" width="10.125" bestFit="1" customWidth="1"/>
    <col min="11765" max="11765" width="10.25" customWidth="1"/>
    <col min="11766" max="11766" width="14" bestFit="1" customWidth="1"/>
    <col min="12014" max="12014" width="7.75" bestFit="1" customWidth="1"/>
    <col min="12015" max="12015" width="48.75" customWidth="1"/>
    <col min="12016" max="12017" width="9.625" customWidth="1"/>
    <col min="12018" max="12019" width="10.875" bestFit="1" customWidth="1"/>
    <col min="12020" max="12020" width="10.125" bestFit="1" customWidth="1"/>
    <col min="12021" max="12021" width="10.25" customWidth="1"/>
    <col min="12022" max="12022" width="14" bestFit="1" customWidth="1"/>
    <col min="12270" max="12270" width="7.75" bestFit="1" customWidth="1"/>
    <col min="12271" max="12271" width="48.75" customWidth="1"/>
    <col min="12272" max="12273" width="9.625" customWidth="1"/>
    <col min="12274" max="12275" width="10.875" bestFit="1" customWidth="1"/>
    <col min="12276" max="12276" width="10.125" bestFit="1" customWidth="1"/>
    <col min="12277" max="12277" width="10.25" customWidth="1"/>
    <col min="12278" max="12278" width="14" bestFit="1" customWidth="1"/>
    <col min="12526" max="12526" width="7.75" bestFit="1" customWidth="1"/>
    <col min="12527" max="12527" width="48.75" customWidth="1"/>
    <col min="12528" max="12529" width="9.625" customWidth="1"/>
    <col min="12530" max="12531" width="10.875" bestFit="1" customWidth="1"/>
    <col min="12532" max="12532" width="10.125" bestFit="1" customWidth="1"/>
    <col min="12533" max="12533" width="10.25" customWidth="1"/>
    <col min="12534" max="12534" width="14" bestFit="1" customWidth="1"/>
    <col min="12782" max="12782" width="7.75" bestFit="1" customWidth="1"/>
    <col min="12783" max="12783" width="48.75" customWidth="1"/>
    <col min="12784" max="12785" width="9.625" customWidth="1"/>
    <col min="12786" max="12787" width="10.875" bestFit="1" customWidth="1"/>
    <col min="12788" max="12788" width="10.125" bestFit="1" customWidth="1"/>
    <col min="12789" max="12789" width="10.25" customWidth="1"/>
    <col min="12790" max="12790" width="14" bestFit="1" customWidth="1"/>
    <col min="13038" max="13038" width="7.75" bestFit="1" customWidth="1"/>
    <col min="13039" max="13039" width="48.75" customWidth="1"/>
    <col min="13040" max="13041" width="9.625" customWidth="1"/>
    <col min="13042" max="13043" width="10.875" bestFit="1" customWidth="1"/>
    <col min="13044" max="13044" width="10.125" bestFit="1" customWidth="1"/>
    <col min="13045" max="13045" width="10.25" customWidth="1"/>
    <col min="13046" max="13046" width="14" bestFit="1" customWidth="1"/>
    <col min="13294" max="13294" width="7.75" bestFit="1" customWidth="1"/>
    <col min="13295" max="13295" width="48.75" customWidth="1"/>
    <col min="13296" max="13297" width="9.625" customWidth="1"/>
    <col min="13298" max="13299" width="10.875" bestFit="1" customWidth="1"/>
    <col min="13300" max="13300" width="10.125" bestFit="1" customWidth="1"/>
    <col min="13301" max="13301" width="10.25" customWidth="1"/>
    <col min="13302" max="13302" width="14" bestFit="1" customWidth="1"/>
    <col min="13550" max="13550" width="7.75" bestFit="1" customWidth="1"/>
    <col min="13551" max="13551" width="48.75" customWidth="1"/>
    <col min="13552" max="13553" width="9.625" customWidth="1"/>
    <col min="13554" max="13555" width="10.875" bestFit="1" customWidth="1"/>
    <col min="13556" max="13556" width="10.125" bestFit="1" customWidth="1"/>
    <col min="13557" max="13557" width="10.25" customWidth="1"/>
    <col min="13558" max="13558" width="14" bestFit="1" customWidth="1"/>
    <col min="13806" max="13806" width="7.75" bestFit="1" customWidth="1"/>
    <col min="13807" max="13807" width="48.75" customWidth="1"/>
    <col min="13808" max="13809" width="9.625" customWidth="1"/>
    <col min="13810" max="13811" width="10.875" bestFit="1" customWidth="1"/>
    <col min="13812" max="13812" width="10.125" bestFit="1" customWidth="1"/>
    <col min="13813" max="13813" width="10.25" customWidth="1"/>
    <col min="13814" max="13814" width="14" bestFit="1" customWidth="1"/>
    <col min="14062" max="14062" width="7.75" bestFit="1" customWidth="1"/>
    <col min="14063" max="14063" width="48.75" customWidth="1"/>
    <col min="14064" max="14065" width="9.625" customWidth="1"/>
    <col min="14066" max="14067" width="10.875" bestFit="1" customWidth="1"/>
    <col min="14068" max="14068" width="10.125" bestFit="1" customWidth="1"/>
    <col min="14069" max="14069" width="10.25" customWidth="1"/>
    <col min="14070" max="14070" width="14" bestFit="1" customWidth="1"/>
    <col min="14318" max="14318" width="7.75" bestFit="1" customWidth="1"/>
    <col min="14319" max="14319" width="48.75" customWidth="1"/>
    <col min="14320" max="14321" width="9.625" customWidth="1"/>
    <col min="14322" max="14323" width="10.875" bestFit="1" customWidth="1"/>
    <col min="14324" max="14324" width="10.125" bestFit="1" customWidth="1"/>
    <col min="14325" max="14325" width="10.25" customWidth="1"/>
    <col min="14326" max="14326" width="14" bestFit="1" customWidth="1"/>
    <col min="14574" max="14574" width="7.75" bestFit="1" customWidth="1"/>
    <col min="14575" max="14575" width="48.75" customWidth="1"/>
    <col min="14576" max="14577" width="9.625" customWidth="1"/>
    <col min="14578" max="14579" width="10.875" bestFit="1" customWidth="1"/>
    <col min="14580" max="14580" width="10.125" bestFit="1" customWidth="1"/>
    <col min="14581" max="14581" width="10.25" customWidth="1"/>
    <col min="14582" max="14582" width="14" bestFit="1" customWidth="1"/>
    <col min="14830" max="14830" width="7.75" bestFit="1" customWidth="1"/>
    <col min="14831" max="14831" width="48.75" customWidth="1"/>
    <col min="14832" max="14833" width="9.625" customWidth="1"/>
    <col min="14834" max="14835" width="10.875" bestFit="1" customWidth="1"/>
    <col min="14836" max="14836" width="10.125" bestFit="1" customWidth="1"/>
    <col min="14837" max="14837" width="10.25" customWidth="1"/>
    <col min="14838" max="14838" width="14" bestFit="1" customWidth="1"/>
    <col min="15086" max="15086" width="7.75" bestFit="1" customWidth="1"/>
    <col min="15087" max="15087" width="48.75" customWidth="1"/>
    <col min="15088" max="15089" width="9.625" customWidth="1"/>
    <col min="15090" max="15091" width="10.875" bestFit="1" customWidth="1"/>
    <col min="15092" max="15092" width="10.125" bestFit="1" customWidth="1"/>
    <col min="15093" max="15093" width="10.25" customWidth="1"/>
    <col min="15094" max="15094" width="14" bestFit="1" customWidth="1"/>
    <col min="15342" max="15342" width="7.75" bestFit="1" customWidth="1"/>
    <col min="15343" max="15343" width="48.75" customWidth="1"/>
    <col min="15344" max="15345" width="9.625" customWidth="1"/>
    <col min="15346" max="15347" width="10.875" bestFit="1" customWidth="1"/>
    <col min="15348" max="15348" width="10.125" bestFit="1" customWidth="1"/>
    <col min="15349" max="15349" width="10.25" customWidth="1"/>
    <col min="15350" max="15350" width="14" bestFit="1" customWidth="1"/>
    <col min="15598" max="15598" width="7.75" bestFit="1" customWidth="1"/>
    <col min="15599" max="15599" width="48.75" customWidth="1"/>
    <col min="15600" max="15601" width="9.625" customWidth="1"/>
    <col min="15602" max="15603" width="10.875" bestFit="1" customWidth="1"/>
    <col min="15604" max="15604" width="10.125" bestFit="1" customWidth="1"/>
    <col min="15605" max="15605" width="10.25" customWidth="1"/>
    <col min="15606" max="15606" width="14" bestFit="1" customWidth="1"/>
    <col min="15854" max="15854" width="7.75" bestFit="1" customWidth="1"/>
    <col min="15855" max="15855" width="48.75" customWidth="1"/>
    <col min="15856" max="15857" width="9.625" customWidth="1"/>
    <col min="15858" max="15859" width="10.875" bestFit="1" customWidth="1"/>
    <col min="15860" max="15860" width="10.125" bestFit="1" customWidth="1"/>
    <col min="15861" max="15861" width="10.25" customWidth="1"/>
    <col min="15862" max="15862" width="14" bestFit="1" customWidth="1"/>
    <col min="16110" max="16110" width="7.75" bestFit="1" customWidth="1"/>
    <col min="16111" max="16111" width="48.75" customWidth="1"/>
    <col min="16112" max="16113" width="9.625" customWidth="1"/>
    <col min="16114" max="16115" width="10.875" bestFit="1" customWidth="1"/>
    <col min="16116" max="16116" width="10.125" bestFit="1" customWidth="1"/>
    <col min="16117" max="16117" width="10.25" customWidth="1"/>
    <col min="16118" max="16118" width="14" bestFit="1" customWidth="1"/>
  </cols>
  <sheetData>
    <row r="1" spans="1:20" ht="14.95" x14ac:dyDescent="0.25">
      <c r="E1" s="32"/>
      <c r="F1" s="402"/>
      <c r="H1" s="32"/>
      <c r="I1" s="402"/>
      <c r="K1" s="32"/>
      <c r="L1" s="402"/>
      <c r="N1" s="32"/>
      <c r="O1" s="402"/>
      <c r="Q1" s="32" t="s">
        <v>302</v>
      </c>
      <c r="R1" s="402"/>
      <c r="T1" s="32" t="s">
        <v>302</v>
      </c>
    </row>
    <row r="2" spans="1:20" ht="14.95" customHeight="1" x14ac:dyDescent="0.25">
      <c r="A2" s="886" t="s">
        <v>552</v>
      </c>
      <c r="B2" s="887" t="s">
        <v>306</v>
      </c>
      <c r="C2" s="927" t="s">
        <v>1369</v>
      </c>
      <c r="D2" s="924" t="s">
        <v>1320</v>
      </c>
      <c r="E2" s="924" t="s">
        <v>1317</v>
      </c>
      <c r="F2" s="922" t="s">
        <v>1369</v>
      </c>
      <c r="G2" s="924" t="s">
        <v>1320</v>
      </c>
      <c r="H2" s="924" t="s">
        <v>1317</v>
      </c>
      <c r="I2" s="922" t="s">
        <v>1369</v>
      </c>
      <c r="J2" s="924" t="s">
        <v>1320</v>
      </c>
      <c r="K2" s="924" t="s">
        <v>1317</v>
      </c>
      <c r="L2" s="922" t="s">
        <v>1369</v>
      </c>
      <c r="M2" s="924" t="s">
        <v>1320</v>
      </c>
      <c r="N2" s="924" t="s">
        <v>1317</v>
      </c>
      <c r="O2" s="922" t="s">
        <v>1369</v>
      </c>
      <c r="P2" s="924" t="s">
        <v>1320</v>
      </c>
      <c r="Q2" s="924" t="s">
        <v>1317</v>
      </c>
      <c r="R2" s="922" t="s">
        <v>1369</v>
      </c>
      <c r="S2" s="924" t="s">
        <v>1320</v>
      </c>
      <c r="T2" s="924" t="s">
        <v>1317</v>
      </c>
    </row>
    <row r="3" spans="1:20" ht="42.8" customHeight="1" x14ac:dyDescent="0.25">
      <c r="A3" s="886"/>
      <c r="B3" s="887"/>
      <c r="C3" s="928"/>
      <c r="D3" s="925"/>
      <c r="E3" s="925"/>
      <c r="F3" s="923"/>
      <c r="G3" s="925"/>
      <c r="H3" s="925"/>
      <c r="I3" s="923"/>
      <c r="J3" s="925"/>
      <c r="K3" s="925"/>
      <c r="L3" s="923"/>
      <c r="M3" s="925"/>
      <c r="N3" s="925"/>
      <c r="O3" s="923"/>
      <c r="P3" s="925"/>
      <c r="Q3" s="925"/>
      <c r="R3" s="923"/>
      <c r="S3" s="925"/>
      <c r="T3" s="925"/>
    </row>
    <row r="4" spans="1:20" s="31" customFormat="1" ht="38.25" customHeight="1" x14ac:dyDescent="0.25">
      <c r="A4" s="886"/>
      <c r="B4" s="887"/>
      <c r="C4" s="926" t="s">
        <v>1497</v>
      </c>
      <c r="D4" s="881"/>
      <c r="E4" s="882"/>
      <c r="F4" s="926" t="s">
        <v>1499</v>
      </c>
      <c r="G4" s="881"/>
      <c r="H4" s="882"/>
      <c r="I4" s="926" t="s">
        <v>1500</v>
      </c>
      <c r="J4" s="881"/>
      <c r="K4" s="882"/>
      <c r="L4" s="926" t="s">
        <v>1498</v>
      </c>
      <c r="M4" s="881"/>
      <c r="N4" s="882"/>
      <c r="O4" s="926" t="s">
        <v>1501</v>
      </c>
      <c r="P4" s="881"/>
      <c r="Q4" s="882"/>
      <c r="R4" s="926" t="s">
        <v>1713</v>
      </c>
      <c r="S4" s="881"/>
      <c r="T4" s="882"/>
    </row>
    <row r="5" spans="1:20" s="31" customFormat="1" ht="28.55" x14ac:dyDescent="0.25">
      <c r="A5" s="331" t="s">
        <v>315</v>
      </c>
      <c r="B5" s="363" t="s">
        <v>346</v>
      </c>
      <c r="C5" s="403">
        <v>231</v>
      </c>
      <c r="D5" s="333">
        <v>0</v>
      </c>
      <c r="E5" s="333">
        <v>1841435.2</v>
      </c>
      <c r="F5" s="403">
        <v>231.5</v>
      </c>
      <c r="G5" s="333">
        <v>0</v>
      </c>
      <c r="H5" s="333">
        <v>1900143</v>
      </c>
      <c r="I5" s="403">
        <v>231</v>
      </c>
      <c r="J5" s="333">
        <v>0</v>
      </c>
      <c r="K5" s="333">
        <v>1900143</v>
      </c>
      <c r="L5" s="403">
        <v>231.5</v>
      </c>
      <c r="M5" s="333">
        <v>0</v>
      </c>
      <c r="N5" s="333">
        <v>1787207</v>
      </c>
      <c r="O5" s="374">
        <f>+O6+O20+O34+O48+O73+O92+O116+O130</f>
        <v>234</v>
      </c>
      <c r="P5" s="333">
        <v>0</v>
      </c>
      <c r="Q5" s="333">
        <f>+Q6+Q20+Q34+Q48+Q73+Q92+Q116+Q130+1</f>
        <v>1964121.83</v>
      </c>
      <c r="R5" s="374">
        <f>+R6+R20+R34+R48+R73+R92+R116+R130</f>
        <v>234</v>
      </c>
      <c r="S5" s="333">
        <v>0</v>
      </c>
      <c r="T5" s="333">
        <f>+T6+T20+T34+T48+T73+T92+T116+T130+1</f>
        <v>1976342.33</v>
      </c>
    </row>
    <row r="6" spans="1:20" s="44" customFormat="1" x14ac:dyDescent="0.25">
      <c r="A6" s="364" t="s">
        <v>1449</v>
      </c>
      <c r="B6" s="365" t="s">
        <v>347</v>
      </c>
      <c r="C6" s="404">
        <v>12.5</v>
      </c>
      <c r="D6" s="366">
        <v>0</v>
      </c>
      <c r="E6" s="366">
        <v>87619</v>
      </c>
      <c r="F6" s="404">
        <v>13</v>
      </c>
      <c r="G6" s="366">
        <v>0</v>
      </c>
      <c r="H6" s="366">
        <v>88525</v>
      </c>
      <c r="I6" s="404">
        <v>12.5</v>
      </c>
      <c r="J6" s="366">
        <v>0</v>
      </c>
      <c r="K6" s="366">
        <v>88525</v>
      </c>
      <c r="L6" s="404">
        <v>13</v>
      </c>
      <c r="M6" s="366">
        <v>0</v>
      </c>
      <c r="N6" s="366">
        <v>75985</v>
      </c>
      <c r="O6" s="404">
        <v>13</v>
      </c>
      <c r="P6" s="366">
        <v>0</v>
      </c>
      <c r="Q6" s="366">
        <v>82602</v>
      </c>
      <c r="R6" s="404">
        <v>13</v>
      </c>
      <c r="S6" s="366">
        <v>0</v>
      </c>
      <c r="T6" s="366">
        <f>T7+T19</f>
        <v>83743</v>
      </c>
    </row>
    <row r="7" spans="1:20" outlineLevel="1" x14ac:dyDescent="0.25">
      <c r="A7" s="367" t="s">
        <v>309</v>
      </c>
      <c r="B7" s="368" t="s">
        <v>348</v>
      </c>
      <c r="C7" s="405">
        <v>12.5</v>
      </c>
      <c r="D7" s="369">
        <v>0</v>
      </c>
      <c r="E7" s="369">
        <v>87619</v>
      </c>
      <c r="F7" s="405">
        <v>13</v>
      </c>
      <c r="G7" s="369">
        <v>0</v>
      </c>
      <c r="H7" s="369">
        <v>88525</v>
      </c>
      <c r="I7" s="405">
        <v>12.5</v>
      </c>
      <c r="J7" s="369">
        <v>0</v>
      </c>
      <c r="K7" s="369">
        <v>88525</v>
      </c>
      <c r="L7" s="405">
        <v>13</v>
      </c>
      <c r="M7" s="369">
        <v>0</v>
      </c>
      <c r="N7" s="369">
        <v>75985</v>
      </c>
      <c r="O7" s="405">
        <v>13</v>
      </c>
      <c r="P7" s="369">
        <v>0</v>
      </c>
      <c r="Q7" s="369">
        <v>82602</v>
      </c>
      <c r="R7" s="405">
        <v>13</v>
      </c>
      <c r="S7" s="369">
        <v>0</v>
      </c>
      <c r="T7" s="369">
        <f>T8+T14</f>
        <v>83743</v>
      </c>
    </row>
    <row r="8" spans="1:20" outlineLevel="2" x14ac:dyDescent="0.25">
      <c r="A8" s="337" t="s">
        <v>311</v>
      </c>
      <c r="B8" s="338" t="s">
        <v>349</v>
      </c>
      <c r="C8" s="406">
        <v>12.5</v>
      </c>
      <c r="D8" s="339">
        <v>0</v>
      </c>
      <c r="E8" s="339">
        <v>78493</v>
      </c>
      <c r="F8" s="406">
        <v>13</v>
      </c>
      <c r="G8" s="339">
        <v>0</v>
      </c>
      <c r="H8" s="339">
        <v>79399</v>
      </c>
      <c r="I8" s="406">
        <v>12.5</v>
      </c>
      <c r="J8" s="339">
        <v>0</v>
      </c>
      <c r="K8" s="339">
        <v>79399</v>
      </c>
      <c r="L8" s="406">
        <v>13</v>
      </c>
      <c r="M8" s="339">
        <v>0</v>
      </c>
      <c r="N8" s="339">
        <v>65813</v>
      </c>
      <c r="O8" s="406">
        <v>13</v>
      </c>
      <c r="P8" s="339">
        <v>0</v>
      </c>
      <c r="Q8" s="339">
        <v>73466</v>
      </c>
      <c r="R8" s="406">
        <v>13</v>
      </c>
      <c r="S8" s="339">
        <v>0</v>
      </c>
      <c r="T8" s="339">
        <f>SUM(T9:T13)</f>
        <v>74607</v>
      </c>
    </row>
    <row r="9" spans="1:20" outlineLevel="3" x14ac:dyDescent="0.25">
      <c r="A9" s="340"/>
      <c r="B9" s="341" t="s">
        <v>286</v>
      </c>
      <c r="C9" s="407"/>
      <c r="D9" s="273"/>
      <c r="E9" s="273">
        <v>57874</v>
      </c>
      <c r="F9" s="407"/>
      <c r="G9" s="273"/>
      <c r="H9" s="273">
        <v>57874</v>
      </c>
      <c r="I9" s="407"/>
      <c r="J9" s="273"/>
      <c r="K9" s="273">
        <v>57874</v>
      </c>
      <c r="L9" s="407"/>
      <c r="M9" s="273"/>
      <c r="N9" s="273">
        <v>49127</v>
      </c>
      <c r="O9" s="407"/>
      <c r="P9" s="273"/>
      <c r="Q9" s="273">
        <v>52685</v>
      </c>
      <c r="R9" s="407"/>
      <c r="S9" s="273"/>
      <c r="T9" s="273">
        <v>52685</v>
      </c>
    </row>
    <row r="10" spans="1:20" outlineLevel="3" x14ac:dyDescent="0.25">
      <c r="A10" s="340"/>
      <c r="B10" s="341" t="s">
        <v>350</v>
      </c>
      <c r="C10" s="407"/>
      <c r="D10" s="273"/>
      <c r="E10" s="273">
        <v>11250</v>
      </c>
      <c r="F10" s="407"/>
      <c r="G10" s="273"/>
      <c r="H10" s="273">
        <v>11250</v>
      </c>
      <c r="I10" s="407"/>
      <c r="J10" s="273"/>
      <c r="K10" s="273">
        <v>11250</v>
      </c>
      <c r="L10" s="407"/>
      <c r="M10" s="273"/>
      <c r="N10" s="273">
        <v>10223</v>
      </c>
      <c r="O10" s="407"/>
      <c r="P10" s="273"/>
      <c r="Q10" s="273">
        <v>11064</v>
      </c>
      <c r="R10" s="407"/>
      <c r="S10" s="273"/>
      <c r="T10" s="273">
        <v>11064</v>
      </c>
    </row>
    <row r="11" spans="1:20" outlineLevel="3" x14ac:dyDescent="0.25">
      <c r="A11" s="340"/>
      <c r="B11" s="341" t="s">
        <v>292</v>
      </c>
      <c r="C11" s="407"/>
      <c r="D11" s="273"/>
      <c r="E11" s="273">
        <v>7469</v>
      </c>
      <c r="F11" s="407"/>
      <c r="G11" s="273"/>
      <c r="H11" s="273">
        <v>7531</v>
      </c>
      <c r="I11" s="407"/>
      <c r="J11" s="273"/>
      <c r="K11" s="273">
        <v>7531</v>
      </c>
      <c r="L11" s="407"/>
      <c r="M11" s="273"/>
      <c r="N11" s="273">
        <v>4570</v>
      </c>
      <c r="O11" s="407"/>
      <c r="P11" s="273"/>
      <c r="Q11" s="273">
        <v>8247.0400000000009</v>
      </c>
      <c r="R11" s="407"/>
      <c r="S11" s="273"/>
      <c r="T11" s="273">
        <f>8247+1141</f>
        <v>9388</v>
      </c>
    </row>
    <row r="12" spans="1:20" outlineLevel="3" x14ac:dyDescent="0.25">
      <c r="A12" s="340"/>
      <c r="B12" s="341" t="s">
        <v>339</v>
      </c>
      <c r="C12" s="407"/>
      <c r="D12" s="273"/>
      <c r="E12" s="273">
        <v>0</v>
      </c>
      <c r="F12" s="407"/>
      <c r="G12" s="273"/>
      <c r="H12" s="273">
        <v>844</v>
      </c>
      <c r="I12" s="407"/>
      <c r="J12" s="273"/>
      <c r="K12" s="273">
        <v>844</v>
      </c>
      <c r="L12" s="407"/>
      <c r="M12" s="273"/>
      <c r="N12" s="273">
        <v>844</v>
      </c>
      <c r="O12" s="407"/>
      <c r="P12" s="273"/>
      <c r="Q12" s="273">
        <v>0</v>
      </c>
      <c r="R12" s="407"/>
      <c r="S12" s="273"/>
      <c r="T12" s="273">
        <v>0</v>
      </c>
    </row>
    <row r="13" spans="1:20" outlineLevel="3" x14ac:dyDescent="0.25">
      <c r="A13" s="340"/>
      <c r="B13" s="341" t="s">
        <v>351</v>
      </c>
      <c r="C13" s="407"/>
      <c r="D13" s="273"/>
      <c r="E13" s="273">
        <v>1900</v>
      </c>
      <c r="F13" s="407"/>
      <c r="G13" s="273"/>
      <c r="H13" s="273">
        <v>1900</v>
      </c>
      <c r="I13" s="407"/>
      <c r="J13" s="273"/>
      <c r="K13" s="273">
        <v>1900</v>
      </c>
      <c r="L13" s="407"/>
      <c r="M13" s="273"/>
      <c r="N13" s="273">
        <v>1049</v>
      </c>
      <c r="O13" s="407"/>
      <c r="P13" s="273"/>
      <c r="Q13" s="273">
        <v>1470</v>
      </c>
      <c r="R13" s="407"/>
      <c r="S13" s="273"/>
      <c r="T13" s="273">
        <v>1470</v>
      </c>
    </row>
    <row r="14" spans="1:20" outlineLevel="2" collapsed="1" x14ac:dyDescent="0.25">
      <c r="A14" s="337" t="s">
        <v>322</v>
      </c>
      <c r="B14" s="338" t="s">
        <v>352</v>
      </c>
      <c r="C14" s="406">
        <v>0</v>
      </c>
      <c r="D14" s="339">
        <v>0</v>
      </c>
      <c r="E14" s="339">
        <v>9126</v>
      </c>
      <c r="F14" s="406">
        <v>0</v>
      </c>
      <c r="G14" s="339">
        <v>0</v>
      </c>
      <c r="H14" s="339">
        <v>9126</v>
      </c>
      <c r="I14" s="406">
        <v>0</v>
      </c>
      <c r="J14" s="339">
        <v>0</v>
      </c>
      <c r="K14" s="339">
        <v>9126</v>
      </c>
      <c r="L14" s="406">
        <v>0</v>
      </c>
      <c r="M14" s="339">
        <v>0</v>
      </c>
      <c r="N14" s="339">
        <v>10172</v>
      </c>
      <c r="O14" s="406">
        <v>0</v>
      </c>
      <c r="P14" s="339">
        <v>0</v>
      </c>
      <c r="Q14" s="339">
        <v>9136</v>
      </c>
      <c r="R14" s="406">
        <v>0</v>
      </c>
      <c r="S14" s="339">
        <v>0</v>
      </c>
      <c r="T14" s="339">
        <v>9136</v>
      </c>
    </row>
    <row r="15" spans="1:20" hidden="1" outlineLevel="3" x14ac:dyDescent="0.25">
      <c r="A15" s="340"/>
      <c r="B15" s="341" t="s">
        <v>286</v>
      </c>
      <c r="C15" s="407"/>
      <c r="D15" s="273"/>
      <c r="E15" s="273">
        <v>0</v>
      </c>
      <c r="F15" s="407"/>
      <c r="G15" s="273"/>
      <c r="H15" s="273">
        <v>0</v>
      </c>
      <c r="I15" s="407"/>
      <c r="J15" s="273"/>
      <c r="K15" s="273">
        <v>0</v>
      </c>
      <c r="L15" s="407"/>
      <c r="M15" s="273"/>
      <c r="N15" s="273"/>
      <c r="O15" s="407"/>
      <c r="P15" s="273"/>
      <c r="Q15" s="273"/>
      <c r="R15" s="407"/>
      <c r="S15" s="273"/>
      <c r="T15" s="273"/>
    </row>
    <row r="16" spans="1:20" hidden="1" outlineLevel="3" x14ac:dyDescent="0.25">
      <c r="A16" s="340"/>
      <c r="B16" s="341" t="s">
        <v>350</v>
      </c>
      <c r="C16" s="407"/>
      <c r="D16" s="273"/>
      <c r="E16" s="273">
        <v>0</v>
      </c>
      <c r="F16" s="407"/>
      <c r="G16" s="273"/>
      <c r="H16" s="273">
        <v>0</v>
      </c>
      <c r="I16" s="407"/>
      <c r="J16" s="273"/>
      <c r="K16" s="273">
        <v>0</v>
      </c>
      <c r="L16" s="407"/>
      <c r="M16" s="273"/>
      <c r="N16" s="273"/>
      <c r="O16" s="407"/>
      <c r="P16" s="273"/>
      <c r="Q16" s="273"/>
      <c r="R16" s="407"/>
      <c r="S16" s="273"/>
      <c r="T16" s="273"/>
    </row>
    <row r="17" spans="1:20" hidden="1" outlineLevel="3" x14ac:dyDescent="0.25">
      <c r="A17" s="340"/>
      <c r="B17" s="341" t="s">
        <v>292</v>
      </c>
      <c r="C17" s="407"/>
      <c r="D17" s="273"/>
      <c r="E17" s="273">
        <v>9126</v>
      </c>
      <c r="F17" s="407"/>
      <c r="G17" s="273"/>
      <c r="H17" s="273">
        <v>9126</v>
      </c>
      <c r="I17" s="407"/>
      <c r="J17" s="273"/>
      <c r="K17" s="273">
        <v>9126</v>
      </c>
      <c r="L17" s="407"/>
      <c r="M17" s="273"/>
      <c r="N17" s="273">
        <v>10172</v>
      </c>
      <c r="O17" s="407"/>
      <c r="P17" s="273"/>
      <c r="Q17" s="273">
        <v>9136</v>
      </c>
      <c r="R17" s="407"/>
      <c r="S17" s="273"/>
      <c r="T17" s="273">
        <v>9136</v>
      </c>
    </row>
    <row r="18" spans="1:20" hidden="1" outlineLevel="3" x14ac:dyDescent="0.25">
      <c r="A18" s="340"/>
      <c r="B18" s="341" t="s">
        <v>351</v>
      </c>
      <c r="C18" s="407"/>
      <c r="D18" s="273"/>
      <c r="E18" s="273">
        <v>0</v>
      </c>
      <c r="F18" s="407"/>
      <c r="G18" s="273"/>
      <c r="H18" s="273">
        <v>0</v>
      </c>
      <c r="I18" s="407"/>
      <c r="J18" s="273"/>
      <c r="K18" s="273">
        <v>0</v>
      </c>
      <c r="L18" s="407"/>
      <c r="M18" s="273"/>
      <c r="N18" s="273"/>
      <c r="O18" s="407"/>
      <c r="P18" s="273"/>
      <c r="Q18" s="273"/>
      <c r="R18" s="407"/>
      <c r="S18" s="273"/>
      <c r="T18" s="273"/>
    </row>
    <row r="19" spans="1:20" outlineLevel="1" x14ac:dyDescent="0.25">
      <c r="A19" s="367" t="s">
        <v>318</v>
      </c>
      <c r="B19" s="368" t="s">
        <v>353</v>
      </c>
      <c r="C19" s="405">
        <v>0</v>
      </c>
      <c r="D19" s="369">
        <v>0</v>
      </c>
      <c r="E19" s="369">
        <v>0</v>
      </c>
      <c r="F19" s="405">
        <v>0</v>
      </c>
      <c r="G19" s="369">
        <v>0</v>
      </c>
      <c r="H19" s="369">
        <v>0</v>
      </c>
      <c r="I19" s="405">
        <v>0</v>
      </c>
      <c r="J19" s="369">
        <v>0</v>
      </c>
      <c r="K19" s="369">
        <v>0</v>
      </c>
      <c r="L19" s="405">
        <v>0</v>
      </c>
      <c r="M19" s="369">
        <v>0</v>
      </c>
      <c r="N19" s="369">
        <v>0</v>
      </c>
      <c r="O19" s="405">
        <v>0</v>
      </c>
      <c r="P19" s="369">
        <v>0</v>
      </c>
      <c r="Q19" s="369">
        <v>0</v>
      </c>
      <c r="R19" s="405">
        <v>0</v>
      </c>
      <c r="S19" s="369">
        <v>0</v>
      </c>
      <c r="T19" s="369">
        <v>0</v>
      </c>
    </row>
    <row r="20" spans="1:20" x14ac:dyDescent="0.25">
      <c r="A20" s="364" t="s">
        <v>1450</v>
      </c>
      <c r="B20" s="365" t="s">
        <v>354</v>
      </c>
      <c r="C20" s="404">
        <v>32</v>
      </c>
      <c r="D20" s="366">
        <v>0</v>
      </c>
      <c r="E20" s="366">
        <v>180639</v>
      </c>
      <c r="F20" s="404">
        <v>32</v>
      </c>
      <c r="G20" s="366">
        <v>0</v>
      </c>
      <c r="H20" s="366">
        <v>182048</v>
      </c>
      <c r="I20" s="404">
        <v>32</v>
      </c>
      <c r="J20" s="366">
        <v>0</v>
      </c>
      <c r="K20" s="366">
        <v>182048</v>
      </c>
      <c r="L20" s="404">
        <v>32</v>
      </c>
      <c r="M20" s="366">
        <v>0</v>
      </c>
      <c r="N20" s="366">
        <v>173046</v>
      </c>
      <c r="O20" s="404">
        <v>32</v>
      </c>
      <c r="P20" s="366">
        <v>0</v>
      </c>
      <c r="Q20" s="366">
        <f>+Q21+Q33</f>
        <v>189078</v>
      </c>
      <c r="R20" s="404">
        <v>32</v>
      </c>
      <c r="S20" s="366">
        <v>0</v>
      </c>
      <c r="T20" s="366">
        <f>+T21+T33</f>
        <v>189310</v>
      </c>
    </row>
    <row r="21" spans="1:20" outlineLevel="1" x14ac:dyDescent="0.25">
      <c r="A21" s="367" t="s">
        <v>309</v>
      </c>
      <c r="B21" s="368" t="s">
        <v>348</v>
      </c>
      <c r="C21" s="405">
        <v>32</v>
      </c>
      <c r="D21" s="369">
        <v>0</v>
      </c>
      <c r="E21" s="369">
        <v>180639</v>
      </c>
      <c r="F21" s="405">
        <v>32</v>
      </c>
      <c r="G21" s="369">
        <v>0</v>
      </c>
      <c r="H21" s="369">
        <v>182048</v>
      </c>
      <c r="I21" s="405">
        <v>32</v>
      </c>
      <c r="J21" s="369">
        <v>0</v>
      </c>
      <c r="K21" s="369">
        <v>182048</v>
      </c>
      <c r="L21" s="405">
        <v>32</v>
      </c>
      <c r="M21" s="369">
        <v>0</v>
      </c>
      <c r="N21" s="369">
        <v>173046</v>
      </c>
      <c r="O21" s="405">
        <v>32</v>
      </c>
      <c r="P21" s="369">
        <v>0</v>
      </c>
      <c r="Q21" s="369">
        <f>+Q22+Q28</f>
        <v>189078</v>
      </c>
      <c r="R21" s="405">
        <v>32</v>
      </c>
      <c r="S21" s="369">
        <v>0</v>
      </c>
      <c r="T21" s="369">
        <f>+T22+T28</f>
        <v>189310</v>
      </c>
    </row>
    <row r="22" spans="1:20" outlineLevel="2" x14ac:dyDescent="0.25">
      <c r="A22" s="337" t="s">
        <v>311</v>
      </c>
      <c r="B22" s="338" t="s">
        <v>349</v>
      </c>
      <c r="C22" s="406">
        <v>32</v>
      </c>
      <c r="D22" s="339">
        <v>0</v>
      </c>
      <c r="E22" s="339">
        <v>155634</v>
      </c>
      <c r="F22" s="406">
        <v>32</v>
      </c>
      <c r="G22" s="339">
        <v>0</v>
      </c>
      <c r="H22" s="339">
        <v>157043</v>
      </c>
      <c r="I22" s="406">
        <v>32</v>
      </c>
      <c r="J22" s="339">
        <v>0</v>
      </c>
      <c r="K22" s="339">
        <v>157043</v>
      </c>
      <c r="L22" s="406">
        <v>32</v>
      </c>
      <c r="M22" s="339">
        <v>0</v>
      </c>
      <c r="N22" s="339">
        <v>146118</v>
      </c>
      <c r="O22" s="406">
        <v>32</v>
      </c>
      <c r="P22" s="339">
        <v>0</v>
      </c>
      <c r="Q22" s="339">
        <f>SUM(Q23:Q27)</f>
        <v>161338</v>
      </c>
      <c r="R22" s="406">
        <v>32</v>
      </c>
      <c r="S22" s="339">
        <v>0</v>
      </c>
      <c r="T22" s="339">
        <f>SUM(T23:T27)</f>
        <v>161570</v>
      </c>
    </row>
    <row r="23" spans="1:20" outlineLevel="3" x14ac:dyDescent="0.25">
      <c r="A23" s="340"/>
      <c r="B23" s="341" t="s">
        <v>286</v>
      </c>
      <c r="C23" s="407"/>
      <c r="D23" s="273"/>
      <c r="E23" s="273">
        <v>113815</v>
      </c>
      <c r="F23" s="407"/>
      <c r="G23" s="273"/>
      <c r="H23" s="273">
        <v>113608</v>
      </c>
      <c r="I23" s="407"/>
      <c r="J23" s="273"/>
      <c r="K23" s="273">
        <v>113608</v>
      </c>
      <c r="L23" s="407"/>
      <c r="M23" s="273"/>
      <c r="N23" s="273">
        <v>105498</v>
      </c>
      <c r="O23" s="407"/>
      <c r="P23" s="273"/>
      <c r="Q23" s="273">
        <v>119552</v>
      </c>
      <c r="R23" s="407"/>
      <c r="S23" s="273"/>
      <c r="T23" s="273">
        <v>119552</v>
      </c>
    </row>
    <row r="24" spans="1:20" outlineLevel="3" x14ac:dyDescent="0.25">
      <c r="A24" s="340"/>
      <c r="B24" s="341" t="s">
        <v>350</v>
      </c>
      <c r="C24" s="407"/>
      <c r="D24" s="273"/>
      <c r="E24" s="273">
        <v>23916</v>
      </c>
      <c r="F24" s="407"/>
      <c r="G24" s="273"/>
      <c r="H24" s="273">
        <v>23916</v>
      </c>
      <c r="I24" s="407"/>
      <c r="J24" s="273"/>
      <c r="K24" s="273">
        <v>23916</v>
      </c>
      <c r="L24" s="407"/>
      <c r="M24" s="273"/>
      <c r="N24" s="273">
        <v>23038</v>
      </c>
      <c r="O24" s="407"/>
      <c r="P24" s="273"/>
      <c r="Q24" s="273">
        <v>24606</v>
      </c>
      <c r="R24" s="407"/>
      <c r="S24" s="273"/>
      <c r="T24" s="273">
        <v>24606</v>
      </c>
    </row>
    <row r="25" spans="1:20" outlineLevel="3" x14ac:dyDescent="0.25">
      <c r="A25" s="340"/>
      <c r="B25" s="341" t="s">
        <v>292</v>
      </c>
      <c r="C25" s="407"/>
      <c r="D25" s="345"/>
      <c r="E25" s="345">
        <v>17268</v>
      </c>
      <c r="F25" s="407"/>
      <c r="G25" s="345"/>
      <c r="H25" s="345">
        <v>17017</v>
      </c>
      <c r="I25" s="407"/>
      <c r="J25" s="345"/>
      <c r="K25" s="345">
        <v>17017</v>
      </c>
      <c r="L25" s="407"/>
      <c r="M25" s="345"/>
      <c r="N25" s="345">
        <v>15554</v>
      </c>
      <c r="O25" s="407"/>
      <c r="P25" s="345"/>
      <c r="Q25" s="436">
        <v>17180</v>
      </c>
      <c r="R25" s="437"/>
      <c r="S25" s="436"/>
      <c r="T25" s="436">
        <f>17180-169</f>
        <v>17011</v>
      </c>
    </row>
    <row r="26" spans="1:20" outlineLevel="3" x14ac:dyDescent="0.25">
      <c r="A26" s="340"/>
      <c r="B26" s="341" t="s">
        <v>339</v>
      </c>
      <c r="C26" s="407"/>
      <c r="D26" s="345"/>
      <c r="E26" s="345">
        <v>0</v>
      </c>
      <c r="F26" s="407"/>
      <c r="G26" s="345"/>
      <c r="H26" s="345">
        <v>1399</v>
      </c>
      <c r="I26" s="407"/>
      <c r="J26" s="345"/>
      <c r="K26" s="345">
        <v>1399</v>
      </c>
      <c r="L26" s="407"/>
      <c r="M26" s="345"/>
      <c r="N26" s="345">
        <v>1399</v>
      </c>
      <c r="O26" s="407"/>
      <c r="P26" s="345"/>
      <c r="Q26" s="345">
        <v>0</v>
      </c>
      <c r="R26" s="407"/>
      <c r="S26" s="345"/>
      <c r="T26" s="345">
        <v>0</v>
      </c>
    </row>
    <row r="27" spans="1:20" outlineLevel="3" x14ac:dyDescent="0.25">
      <c r="A27" s="340"/>
      <c r="B27" s="341" t="s">
        <v>351</v>
      </c>
      <c r="C27" s="408"/>
      <c r="D27" s="343"/>
      <c r="E27" s="688">
        <v>635</v>
      </c>
      <c r="F27" s="408"/>
      <c r="G27" s="343"/>
      <c r="H27" s="688">
        <v>1103</v>
      </c>
      <c r="I27" s="408"/>
      <c r="J27" s="343"/>
      <c r="K27" s="688">
        <v>1103</v>
      </c>
      <c r="L27" s="408"/>
      <c r="M27" s="343"/>
      <c r="N27" s="343">
        <v>629</v>
      </c>
      <c r="O27" s="408"/>
      <c r="P27" s="343"/>
      <c r="Q27" s="688">
        <v>0</v>
      </c>
      <c r="R27" s="408"/>
      <c r="S27" s="343"/>
      <c r="T27" s="688">
        <f>169+232</f>
        <v>401</v>
      </c>
    </row>
    <row r="28" spans="1:20" outlineLevel="2" x14ac:dyDescent="0.25">
      <c r="A28" s="337" t="s">
        <v>322</v>
      </c>
      <c r="B28" s="338" t="s">
        <v>352</v>
      </c>
      <c r="C28" s="406">
        <v>0</v>
      </c>
      <c r="D28" s="339">
        <v>0</v>
      </c>
      <c r="E28" s="339">
        <v>25005</v>
      </c>
      <c r="F28" s="406">
        <v>0</v>
      </c>
      <c r="G28" s="339">
        <v>0</v>
      </c>
      <c r="H28" s="339">
        <v>25005</v>
      </c>
      <c r="I28" s="406">
        <v>0</v>
      </c>
      <c r="J28" s="339">
        <v>0</v>
      </c>
      <c r="K28" s="339">
        <v>25005</v>
      </c>
      <c r="L28" s="406">
        <v>0</v>
      </c>
      <c r="M28" s="339">
        <v>0</v>
      </c>
      <c r="N28" s="339">
        <v>26928</v>
      </c>
      <c r="O28" s="406">
        <v>0</v>
      </c>
      <c r="P28" s="339">
        <v>0</v>
      </c>
      <c r="Q28" s="339">
        <v>27740</v>
      </c>
      <c r="R28" s="406">
        <v>0</v>
      </c>
      <c r="S28" s="339">
        <v>0</v>
      </c>
      <c r="T28" s="339">
        <v>27740</v>
      </c>
    </row>
    <row r="29" spans="1:20" hidden="1" outlineLevel="3" x14ac:dyDescent="0.25">
      <c r="A29" s="340"/>
      <c r="B29" s="341" t="s">
        <v>286</v>
      </c>
      <c r="C29" s="407"/>
      <c r="D29" s="345"/>
      <c r="E29" s="345">
        <v>0</v>
      </c>
      <c r="F29" s="407"/>
      <c r="G29" s="345"/>
      <c r="H29" s="345">
        <v>0</v>
      </c>
      <c r="I29" s="407"/>
      <c r="J29" s="345"/>
      <c r="K29" s="345">
        <v>0</v>
      </c>
      <c r="L29" s="407"/>
      <c r="M29" s="345"/>
      <c r="N29" s="345"/>
      <c r="O29" s="407"/>
      <c r="P29" s="345"/>
      <c r="Q29" s="345"/>
      <c r="R29" s="407"/>
      <c r="S29" s="345"/>
      <c r="T29" s="345"/>
    </row>
    <row r="30" spans="1:20" hidden="1" outlineLevel="3" x14ac:dyDescent="0.25">
      <c r="A30" s="340"/>
      <c r="B30" s="341" t="s">
        <v>350</v>
      </c>
      <c r="C30" s="408"/>
      <c r="D30" s="343"/>
      <c r="E30" s="343">
        <v>0</v>
      </c>
      <c r="F30" s="408"/>
      <c r="G30" s="343"/>
      <c r="H30" s="343">
        <v>0</v>
      </c>
      <c r="I30" s="408"/>
      <c r="J30" s="343"/>
      <c r="K30" s="343">
        <v>0</v>
      </c>
      <c r="L30" s="408"/>
      <c r="M30" s="343"/>
      <c r="N30" s="343"/>
      <c r="O30" s="408"/>
      <c r="P30" s="343"/>
      <c r="Q30" s="343"/>
      <c r="R30" s="408"/>
      <c r="S30" s="343"/>
      <c r="T30" s="343"/>
    </row>
    <row r="31" spans="1:20" outlineLevel="3" x14ac:dyDescent="0.25">
      <c r="A31" s="340"/>
      <c r="B31" s="341" t="s">
        <v>292</v>
      </c>
      <c r="C31" s="408"/>
      <c r="D31" s="343"/>
      <c r="E31" s="343">
        <v>25005</v>
      </c>
      <c r="F31" s="408"/>
      <c r="G31" s="343"/>
      <c r="H31" s="343">
        <v>25005</v>
      </c>
      <c r="I31" s="408"/>
      <c r="J31" s="343"/>
      <c r="K31" s="343">
        <v>25005</v>
      </c>
      <c r="L31" s="408"/>
      <c r="M31" s="343"/>
      <c r="N31" s="343">
        <v>26928</v>
      </c>
      <c r="O31" s="408"/>
      <c r="P31" s="343"/>
      <c r="Q31" s="343">
        <v>27740</v>
      </c>
      <c r="R31" s="408"/>
      <c r="S31" s="343"/>
      <c r="T31" s="343">
        <v>27740</v>
      </c>
    </row>
    <row r="32" spans="1:20" hidden="1" outlineLevel="3" x14ac:dyDescent="0.25">
      <c r="A32" s="340"/>
      <c r="B32" s="341" t="s">
        <v>351</v>
      </c>
      <c r="C32" s="408"/>
      <c r="D32" s="343"/>
      <c r="E32" s="343">
        <v>0</v>
      </c>
      <c r="F32" s="408"/>
      <c r="G32" s="343"/>
      <c r="H32" s="343">
        <v>0</v>
      </c>
      <c r="I32" s="408"/>
      <c r="J32" s="343"/>
      <c r="K32" s="343">
        <v>0</v>
      </c>
      <c r="L32" s="408"/>
      <c r="M32" s="343"/>
      <c r="N32" s="343"/>
      <c r="O32" s="408"/>
      <c r="P32" s="343"/>
      <c r="Q32" s="343"/>
      <c r="R32" s="408"/>
      <c r="S32" s="343"/>
      <c r="T32" s="343"/>
    </row>
    <row r="33" spans="1:20" outlineLevel="1" x14ac:dyDescent="0.25">
      <c r="A33" s="367" t="s">
        <v>318</v>
      </c>
      <c r="B33" s="368" t="s">
        <v>353</v>
      </c>
      <c r="C33" s="405">
        <v>0</v>
      </c>
      <c r="D33" s="369">
        <v>0</v>
      </c>
      <c r="E33" s="369">
        <v>0</v>
      </c>
      <c r="F33" s="405">
        <v>0</v>
      </c>
      <c r="G33" s="369">
        <v>0</v>
      </c>
      <c r="H33" s="369">
        <v>0</v>
      </c>
      <c r="I33" s="405">
        <v>0</v>
      </c>
      <c r="J33" s="369">
        <v>0</v>
      </c>
      <c r="K33" s="369">
        <v>0</v>
      </c>
      <c r="L33" s="405">
        <v>0</v>
      </c>
      <c r="M33" s="369">
        <v>0</v>
      </c>
      <c r="N33" s="369">
        <v>0</v>
      </c>
      <c r="O33" s="405">
        <v>0</v>
      </c>
      <c r="P33" s="369">
        <v>0</v>
      </c>
      <c r="Q33" s="369">
        <v>0</v>
      </c>
      <c r="R33" s="405">
        <v>0</v>
      </c>
      <c r="S33" s="369">
        <v>0</v>
      </c>
      <c r="T33" s="369">
        <v>0</v>
      </c>
    </row>
    <row r="34" spans="1:20" x14ac:dyDescent="0.25">
      <c r="A34" s="364" t="s">
        <v>1451</v>
      </c>
      <c r="B34" s="365" t="s">
        <v>355</v>
      </c>
      <c r="C34" s="404">
        <v>56</v>
      </c>
      <c r="D34" s="366">
        <v>0</v>
      </c>
      <c r="E34" s="366">
        <v>319206</v>
      </c>
      <c r="F34" s="404">
        <v>56</v>
      </c>
      <c r="G34" s="366">
        <v>0</v>
      </c>
      <c r="H34" s="366">
        <v>321684</v>
      </c>
      <c r="I34" s="404">
        <v>56</v>
      </c>
      <c r="J34" s="366">
        <v>0</v>
      </c>
      <c r="K34" s="366">
        <v>321684</v>
      </c>
      <c r="L34" s="404">
        <v>56</v>
      </c>
      <c r="M34" s="366">
        <v>0</v>
      </c>
      <c r="N34" s="366">
        <v>308849</v>
      </c>
      <c r="O34" s="404">
        <v>56</v>
      </c>
      <c r="P34" s="366">
        <v>0</v>
      </c>
      <c r="Q34" s="366">
        <f>+Q35+Q47</f>
        <v>334476</v>
      </c>
      <c r="R34" s="404">
        <v>56</v>
      </c>
      <c r="S34" s="366">
        <v>0</v>
      </c>
      <c r="T34" s="366">
        <f>+T35+T47</f>
        <v>332859</v>
      </c>
    </row>
    <row r="35" spans="1:20" outlineLevel="1" x14ac:dyDescent="0.25">
      <c r="A35" s="367" t="s">
        <v>309</v>
      </c>
      <c r="B35" s="368" t="s">
        <v>348</v>
      </c>
      <c r="C35" s="405">
        <v>56</v>
      </c>
      <c r="D35" s="369">
        <v>0</v>
      </c>
      <c r="E35" s="369">
        <v>319206</v>
      </c>
      <c r="F35" s="405">
        <v>56</v>
      </c>
      <c r="G35" s="369">
        <v>0</v>
      </c>
      <c r="H35" s="369">
        <v>321684</v>
      </c>
      <c r="I35" s="405">
        <v>56</v>
      </c>
      <c r="J35" s="369">
        <v>0</v>
      </c>
      <c r="K35" s="369">
        <v>321684</v>
      </c>
      <c r="L35" s="405">
        <v>56</v>
      </c>
      <c r="M35" s="369">
        <v>0</v>
      </c>
      <c r="N35" s="369">
        <v>308849</v>
      </c>
      <c r="O35" s="405">
        <v>56</v>
      </c>
      <c r="P35" s="369">
        <v>0</v>
      </c>
      <c r="Q35" s="369">
        <f>+Q36+Q42</f>
        <v>334476</v>
      </c>
      <c r="R35" s="405">
        <v>56</v>
      </c>
      <c r="S35" s="369">
        <v>0</v>
      </c>
      <c r="T35" s="369">
        <f>+T36+T42</f>
        <v>332859</v>
      </c>
    </row>
    <row r="36" spans="1:20" outlineLevel="2" x14ac:dyDescent="0.25">
      <c r="A36" s="337" t="s">
        <v>311</v>
      </c>
      <c r="B36" s="338" t="s">
        <v>349</v>
      </c>
      <c r="C36" s="406">
        <v>56</v>
      </c>
      <c r="D36" s="339">
        <v>0</v>
      </c>
      <c r="E36" s="339">
        <v>273632</v>
      </c>
      <c r="F36" s="406">
        <v>56</v>
      </c>
      <c r="G36" s="339">
        <v>0</v>
      </c>
      <c r="H36" s="339">
        <v>276335</v>
      </c>
      <c r="I36" s="406">
        <v>56</v>
      </c>
      <c r="J36" s="339">
        <v>0</v>
      </c>
      <c r="K36" s="339">
        <v>276335</v>
      </c>
      <c r="L36" s="406">
        <v>56</v>
      </c>
      <c r="M36" s="339">
        <v>0</v>
      </c>
      <c r="N36" s="339">
        <v>266203</v>
      </c>
      <c r="O36" s="406">
        <v>56</v>
      </c>
      <c r="P36" s="339">
        <v>0</v>
      </c>
      <c r="Q36" s="339">
        <f>SUM(Q37:Q41)</f>
        <v>289726</v>
      </c>
      <c r="R36" s="406">
        <v>56</v>
      </c>
      <c r="S36" s="339">
        <v>0</v>
      </c>
      <c r="T36" s="339">
        <f>SUM(T37:T41)</f>
        <v>288109</v>
      </c>
    </row>
    <row r="37" spans="1:20" outlineLevel="3" x14ac:dyDescent="0.25">
      <c r="A37" s="340"/>
      <c r="B37" s="341" t="s">
        <v>286</v>
      </c>
      <c r="C37" s="407"/>
      <c r="D37" s="273"/>
      <c r="E37" s="273">
        <v>201035</v>
      </c>
      <c r="F37" s="407"/>
      <c r="G37" s="273"/>
      <c r="H37" s="273">
        <v>201035</v>
      </c>
      <c r="I37" s="407"/>
      <c r="J37" s="273"/>
      <c r="K37" s="273">
        <v>201035</v>
      </c>
      <c r="L37" s="407"/>
      <c r="M37" s="273"/>
      <c r="N37" s="273">
        <v>192634</v>
      </c>
      <c r="O37" s="407"/>
      <c r="P37" s="273"/>
      <c r="Q37" s="273">
        <v>212630</v>
      </c>
      <c r="R37" s="407"/>
      <c r="S37" s="273"/>
      <c r="T37" s="273">
        <f>212630-2100</f>
        <v>210530</v>
      </c>
    </row>
    <row r="38" spans="1:20" outlineLevel="3" x14ac:dyDescent="0.25">
      <c r="A38" s="340"/>
      <c r="B38" s="341" t="s">
        <v>350</v>
      </c>
      <c r="C38" s="407"/>
      <c r="D38" s="273"/>
      <c r="E38" s="273">
        <v>42593</v>
      </c>
      <c r="F38" s="407"/>
      <c r="G38" s="273"/>
      <c r="H38" s="273">
        <v>42593</v>
      </c>
      <c r="I38" s="407"/>
      <c r="J38" s="273"/>
      <c r="K38" s="273">
        <v>42593</v>
      </c>
      <c r="L38" s="407"/>
      <c r="M38" s="273"/>
      <c r="N38" s="273">
        <v>42070</v>
      </c>
      <c r="O38" s="407"/>
      <c r="P38" s="273"/>
      <c r="Q38" s="273">
        <v>43712</v>
      </c>
      <c r="R38" s="407"/>
      <c r="S38" s="273"/>
      <c r="T38" s="273">
        <f>43712-430</f>
        <v>43282</v>
      </c>
    </row>
    <row r="39" spans="1:20" outlineLevel="3" x14ac:dyDescent="0.25">
      <c r="A39" s="340"/>
      <c r="B39" s="341" t="s">
        <v>292</v>
      </c>
      <c r="C39" s="407"/>
      <c r="D39" s="273"/>
      <c r="E39" s="273">
        <v>29623</v>
      </c>
      <c r="F39" s="407"/>
      <c r="G39" s="273"/>
      <c r="H39" s="273">
        <v>30029</v>
      </c>
      <c r="I39" s="407"/>
      <c r="J39" s="273"/>
      <c r="K39" s="273">
        <v>30029</v>
      </c>
      <c r="L39" s="407"/>
      <c r="M39" s="273"/>
      <c r="N39" s="273">
        <v>28540</v>
      </c>
      <c r="O39" s="407"/>
      <c r="P39" s="273"/>
      <c r="Q39" s="273">
        <v>33084</v>
      </c>
      <c r="R39" s="407"/>
      <c r="S39" s="273"/>
      <c r="T39" s="273">
        <f>33084+613</f>
        <v>33697</v>
      </c>
    </row>
    <row r="40" spans="1:20" outlineLevel="3" x14ac:dyDescent="0.25">
      <c r="A40" s="340"/>
      <c r="B40" s="341" t="s">
        <v>339</v>
      </c>
      <c r="C40" s="407"/>
      <c r="D40" s="273"/>
      <c r="E40" s="273">
        <v>0</v>
      </c>
      <c r="F40" s="407"/>
      <c r="G40" s="273"/>
      <c r="H40" s="273">
        <v>2297</v>
      </c>
      <c r="I40" s="407"/>
      <c r="J40" s="273"/>
      <c r="K40" s="273">
        <v>2297</v>
      </c>
      <c r="L40" s="407"/>
      <c r="M40" s="273"/>
      <c r="N40" s="273">
        <v>2296</v>
      </c>
      <c r="O40" s="407"/>
      <c r="P40" s="273"/>
      <c r="Q40" s="273">
        <v>0</v>
      </c>
      <c r="R40" s="407"/>
      <c r="S40" s="273"/>
      <c r="T40" s="273">
        <v>0</v>
      </c>
    </row>
    <row r="41" spans="1:20" outlineLevel="3" x14ac:dyDescent="0.25">
      <c r="A41" s="340"/>
      <c r="B41" s="341" t="s">
        <v>351</v>
      </c>
      <c r="C41" s="407"/>
      <c r="D41" s="273"/>
      <c r="E41" s="273">
        <v>381</v>
      </c>
      <c r="F41" s="407"/>
      <c r="G41" s="273"/>
      <c r="H41" s="273">
        <v>381</v>
      </c>
      <c r="I41" s="407"/>
      <c r="J41" s="273"/>
      <c r="K41" s="273">
        <v>381</v>
      </c>
      <c r="L41" s="407"/>
      <c r="M41" s="273"/>
      <c r="N41" s="273">
        <v>663</v>
      </c>
      <c r="O41" s="407"/>
      <c r="P41" s="273"/>
      <c r="Q41" s="273">
        <v>300</v>
      </c>
      <c r="R41" s="407"/>
      <c r="S41" s="273"/>
      <c r="T41" s="273">
        <f>300+300</f>
        <v>600</v>
      </c>
    </row>
    <row r="42" spans="1:20" outlineLevel="2" x14ac:dyDescent="0.25">
      <c r="A42" s="337" t="s">
        <v>322</v>
      </c>
      <c r="B42" s="338" t="s">
        <v>352</v>
      </c>
      <c r="C42" s="406">
        <v>0</v>
      </c>
      <c r="D42" s="339">
        <v>0</v>
      </c>
      <c r="E42" s="339">
        <v>45574</v>
      </c>
      <c r="F42" s="406">
        <v>0</v>
      </c>
      <c r="G42" s="339">
        <v>0</v>
      </c>
      <c r="H42" s="339">
        <v>45349</v>
      </c>
      <c r="I42" s="406">
        <v>0</v>
      </c>
      <c r="J42" s="339">
        <v>0</v>
      </c>
      <c r="K42" s="339">
        <v>45349</v>
      </c>
      <c r="L42" s="406">
        <v>0</v>
      </c>
      <c r="M42" s="339">
        <v>0</v>
      </c>
      <c r="N42" s="339">
        <v>42646</v>
      </c>
      <c r="O42" s="406">
        <v>0</v>
      </c>
      <c r="P42" s="339">
        <v>0</v>
      </c>
      <c r="Q42" s="339">
        <f>+Q45</f>
        <v>44750</v>
      </c>
      <c r="R42" s="406">
        <v>0</v>
      </c>
      <c r="S42" s="339">
        <v>0</v>
      </c>
      <c r="T42" s="339">
        <f>+T45</f>
        <v>44750</v>
      </c>
    </row>
    <row r="43" spans="1:20" hidden="1" outlineLevel="3" x14ac:dyDescent="0.25">
      <c r="A43" s="340"/>
      <c r="B43" s="341" t="s">
        <v>286</v>
      </c>
      <c r="C43" s="407"/>
      <c r="D43" s="273"/>
      <c r="E43" s="273">
        <v>0</v>
      </c>
      <c r="F43" s="407"/>
      <c r="G43" s="273"/>
      <c r="H43" s="273">
        <v>0</v>
      </c>
      <c r="I43" s="407"/>
      <c r="J43" s="273"/>
      <c r="K43" s="273">
        <v>0</v>
      </c>
      <c r="L43" s="407"/>
      <c r="M43" s="273"/>
      <c r="N43" s="273">
        <v>0</v>
      </c>
      <c r="O43" s="407"/>
      <c r="P43" s="273"/>
      <c r="Q43" s="273"/>
      <c r="R43" s="407"/>
      <c r="S43" s="273"/>
      <c r="T43" s="273"/>
    </row>
    <row r="44" spans="1:20" hidden="1" outlineLevel="3" x14ac:dyDescent="0.25">
      <c r="A44" s="340"/>
      <c r="B44" s="341" t="s">
        <v>350</v>
      </c>
      <c r="C44" s="407"/>
      <c r="D44" s="273"/>
      <c r="E44" s="273">
        <v>0</v>
      </c>
      <c r="F44" s="407"/>
      <c r="G44" s="273"/>
      <c r="H44" s="273">
        <v>0</v>
      </c>
      <c r="I44" s="407"/>
      <c r="J44" s="273"/>
      <c r="K44" s="273">
        <v>0</v>
      </c>
      <c r="L44" s="407"/>
      <c r="M44" s="273"/>
      <c r="N44" s="273">
        <v>0</v>
      </c>
      <c r="O44" s="407"/>
      <c r="P44" s="273"/>
      <c r="Q44" s="273"/>
      <c r="R44" s="407"/>
      <c r="S44" s="273"/>
      <c r="T44" s="273"/>
    </row>
    <row r="45" spans="1:20" outlineLevel="3" x14ac:dyDescent="0.25">
      <c r="A45" s="340"/>
      <c r="B45" s="341" t="s">
        <v>292</v>
      </c>
      <c r="C45" s="407"/>
      <c r="D45" s="273"/>
      <c r="E45" s="273">
        <v>45574</v>
      </c>
      <c r="F45" s="407"/>
      <c r="G45" s="273"/>
      <c r="H45" s="273">
        <v>45349</v>
      </c>
      <c r="I45" s="407"/>
      <c r="J45" s="273"/>
      <c r="K45" s="273">
        <v>45349</v>
      </c>
      <c r="L45" s="407"/>
      <c r="M45" s="273"/>
      <c r="N45" s="273">
        <v>42646</v>
      </c>
      <c r="O45" s="407"/>
      <c r="P45" s="273"/>
      <c r="Q45" s="273">
        <v>44750</v>
      </c>
      <c r="R45" s="407"/>
      <c r="S45" s="273"/>
      <c r="T45" s="273">
        <v>44750</v>
      </c>
    </row>
    <row r="46" spans="1:20" hidden="1" outlineLevel="3" x14ac:dyDescent="0.25">
      <c r="A46" s="340"/>
      <c r="B46" s="341" t="s">
        <v>351</v>
      </c>
      <c r="C46" s="407"/>
      <c r="D46" s="273"/>
      <c r="E46" s="273">
        <v>0</v>
      </c>
      <c r="F46" s="407"/>
      <c r="G46" s="273"/>
      <c r="H46" s="273">
        <v>0</v>
      </c>
      <c r="I46" s="407"/>
      <c r="J46" s="273"/>
      <c r="K46" s="273">
        <v>0</v>
      </c>
      <c r="L46" s="407"/>
      <c r="M46" s="273"/>
      <c r="N46" s="273"/>
      <c r="O46" s="407"/>
      <c r="P46" s="273"/>
      <c r="Q46" s="273"/>
      <c r="R46" s="407"/>
      <c r="S46" s="273"/>
      <c r="T46" s="273"/>
    </row>
    <row r="47" spans="1:20" outlineLevel="1" x14ac:dyDescent="0.25">
      <c r="A47" s="367" t="s">
        <v>318</v>
      </c>
      <c r="B47" s="368" t="s">
        <v>353</v>
      </c>
      <c r="C47" s="405">
        <v>0</v>
      </c>
      <c r="D47" s="369">
        <v>0</v>
      </c>
      <c r="E47" s="369">
        <v>0</v>
      </c>
      <c r="F47" s="405">
        <v>0</v>
      </c>
      <c r="G47" s="369">
        <v>0</v>
      </c>
      <c r="H47" s="369">
        <v>0</v>
      </c>
      <c r="I47" s="405">
        <v>0</v>
      </c>
      <c r="J47" s="369">
        <v>0</v>
      </c>
      <c r="K47" s="369">
        <v>0</v>
      </c>
      <c r="L47" s="405">
        <v>0</v>
      </c>
      <c r="M47" s="369">
        <v>0</v>
      </c>
      <c r="N47" s="369">
        <v>0</v>
      </c>
      <c r="O47" s="405">
        <v>0</v>
      </c>
      <c r="P47" s="369">
        <v>0</v>
      </c>
      <c r="Q47" s="369">
        <v>0</v>
      </c>
      <c r="R47" s="405">
        <v>0</v>
      </c>
      <c r="S47" s="369">
        <v>0</v>
      </c>
      <c r="T47" s="369">
        <v>0</v>
      </c>
    </row>
    <row r="48" spans="1:20" x14ac:dyDescent="0.25">
      <c r="A48" s="364" t="s">
        <v>1452</v>
      </c>
      <c r="B48" s="365" t="s">
        <v>356</v>
      </c>
      <c r="C48" s="404">
        <v>15</v>
      </c>
      <c r="D48" s="366">
        <v>0</v>
      </c>
      <c r="E48" s="366">
        <v>218462</v>
      </c>
      <c r="F48" s="404">
        <v>15</v>
      </c>
      <c r="G48" s="366">
        <v>0</v>
      </c>
      <c r="H48" s="366">
        <v>231045</v>
      </c>
      <c r="I48" s="404">
        <v>15</v>
      </c>
      <c r="J48" s="366">
        <v>0</v>
      </c>
      <c r="K48" s="366">
        <v>231045</v>
      </c>
      <c r="L48" s="404">
        <v>15</v>
      </c>
      <c r="M48" s="366">
        <v>0</v>
      </c>
      <c r="N48" s="366">
        <v>239509</v>
      </c>
      <c r="O48" s="404">
        <v>17</v>
      </c>
      <c r="P48" s="366">
        <v>0</v>
      </c>
      <c r="Q48" s="366">
        <f>+Q49+Q67</f>
        <v>290893.65000000002</v>
      </c>
      <c r="R48" s="404">
        <v>17</v>
      </c>
      <c r="S48" s="366">
        <v>0</v>
      </c>
      <c r="T48" s="366">
        <f>+T49+T67</f>
        <v>292096.65000000002</v>
      </c>
    </row>
    <row r="49" spans="1:20" outlineLevel="1" x14ac:dyDescent="0.25">
      <c r="A49" s="367" t="s">
        <v>309</v>
      </c>
      <c r="B49" s="368" t="s">
        <v>348</v>
      </c>
      <c r="C49" s="405">
        <v>15</v>
      </c>
      <c r="D49" s="369">
        <v>0</v>
      </c>
      <c r="E49" s="369">
        <v>198920</v>
      </c>
      <c r="F49" s="405">
        <v>15</v>
      </c>
      <c r="G49" s="369">
        <v>0</v>
      </c>
      <c r="H49" s="369">
        <v>211397</v>
      </c>
      <c r="I49" s="405">
        <v>15</v>
      </c>
      <c r="J49" s="369">
        <v>0</v>
      </c>
      <c r="K49" s="369">
        <v>211397</v>
      </c>
      <c r="L49" s="405">
        <v>15</v>
      </c>
      <c r="M49" s="369">
        <v>0</v>
      </c>
      <c r="N49" s="369">
        <v>215562</v>
      </c>
      <c r="O49" s="405">
        <v>17</v>
      </c>
      <c r="P49" s="369">
        <v>0</v>
      </c>
      <c r="Q49" s="369">
        <f>+Q50+Q57</f>
        <v>233781.65</v>
      </c>
      <c r="R49" s="405">
        <v>17</v>
      </c>
      <c r="S49" s="369">
        <v>0</v>
      </c>
      <c r="T49" s="369">
        <f>+T50+T57</f>
        <v>234984.65</v>
      </c>
    </row>
    <row r="50" spans="1:20" outlineLevel="2" x14ac:dyDescent="0.25">
      <c r="A50" s="337" t="s">
        <v>311</v>
      </c>
      <c r="B50" s="338" t="s">
        <v>357</v>
      </c>
      <c r="C50" s="406">
        <v>15</v>
      </c>
      <c r="D50" s="339">
        <v>0</v>
      </c>
      <c r="E50" s="339">
        <v>29302</v>
      </c>
      <c r="F50" s="406">
        <v>15</v>
      </c>
      <c r="G50" s="339">
        <v>0</v>
      </c>
      <c r="H50" s="339">
        <v>41687</v>
      </c>
      <c r="I50" s="406">
        <v>15</v>
      </c>
      <c r="J50" s="339">
        <v>0</v>
      </c>
      <c r="K50" s="339">
        <v>41687</v>
      </c>
      <c r="L50" s="406">
        <v>15</v>
      </c>
      <c r="M50" s="339">
        <v>0</v>
      </c>
      <c r="N50" s="339">
        <v>32838</v>
      </c>
      <c r="O50" s="406">
        <v>17</v>
      </c>
      <c r="P50" s="339">
        <v>0</v>
      </c>
      <c r="Q50" s="339">
        <f>SUM(Q51:Q56)</f>
        <v>51689.65</v>
      </c>
      <c r="R50" s="406">
        <v>17</v>
      </c>
      <c r="S50" s="339">
        <v>0</v>
      </c>
      <c r="T50" s="339">
        <f>SUM(T51:T56)</f>
        <v>51689.65</v>
      </c>
    </row>
    <row r="51" spans="1:20" hidden="1" outlineLevel="3" x14ac:dyDescent="0.25">
      <c r="A51" s="340"/>
      <c r="B51" s="341" t="s">
        <v>286</v>
      </c>
      <c r="C51" s="407"/>
      <c r="D51" s="273"/>
      <c r="E51" s="273">
        <v>100</v>
      </c>
      <c r="F51" s="407"/>
      <c r="G51" s="273"/>
      <c r="H51" s="273">
        <v>360</v>
      </c>
      <c r="I51" s="407"/>
      <c r="J51" s="273"/>
      <c r="K51" s="273">
        <v>360</v>
      </c>
      <c r="L51" s="407"/>
      <c r="M51" s="273"/>
      <c r="N51" s="273">
        <v>360</v>
      </c>
      <c r="O51" s="407"/>
      <c r="P51" s="273"/>
      <c r="Q51" s="273"/>
      <c r="R51" s="407"/>
      <c r="S51" s="273"/>
      <c r="T51" s="273"/>
    </row>
    <row r="52" spans="1:20" hidden="1" outlineLevel="3" x14ac:dyDescent="0.25">
      <c r="A52" s="340"/>
      <c r="B52" s="341" t="s">
        <v>350</v>
      </c>
      <c r="C52" s="407"/>
      <c r="D52" s="273"/>
      <c r="E52" s="273">
        <v>44</v>
      </c>
      <c r="F52" s="407"/>
      <c r="G52" s="273"/>
      <c r="H52" s="273">
        <v>44</v>
      </c>
      <c r="I52" s="407"/>
      <c r="J52" s="273"/>
      <c r="K52" s="273">
        <v>44</v>
      </c>
      <c r="L52" s="407"/>
      <c r="M52" s="273"/>
      <c r="N52" s="273">
        <v>44</v>
      </c>
      <c r="O52" s="407"/>
      <c r="P52" s="273"/>
      <c r="Q52" s="273"/>
      <c r="R52" s="407"/>
      <c r="S52" s="273"/>
      <c r="T52" s="273"/>
    </row>
    <row r="53" spans="1:20" outlineLevel="3" x14ac:dyDescent="0.25">
      <c r="A53" s="340"/>
      <c r="B53" s="341" t="s">
        <v>292</v>
      </c>
      <c r="C53" s="407"/>
      <c r="D53" s="273"/>
      <c r="E53" s="273">
        <v>29158</v>
      </c>
      <c r="F53" s="407"/>
      <c r="G53" s="273"/>
      <c r="H53" s="273">
        <v>37486</v>
      </c>
      <c r="I53" s="407"/>
      <c r="J53" s="273"/>
      <c r="K53" s="273">
        <v>37486</v>
      </c>
      <c r="L53" s="407"/>
      <c r="M53" s="273"/>
      <c r="N53" s="273">
        <v>30872</v>
      </c>
      <c r="O53" s="407"/>
      <c r="P53" s="273"/>
      <c r="Q53" s="273">
        <v>30576</v>
      </c>
      <c r="R53" s="407"/>
      <c r="S53" s="273"/>
      <c r="T53" s="273">
        <v>30576</v>
      </c>
    </row>
    <row r="54" spans="1:20" hidden="1" outlineLevel="3" x14ac:dyDescent="0.25">
      <c r="A54" s="340"/>
      <c r="B54" s="341" t="s">
        <v>339</v>
      </c>
      <c r="C54" s="407"/>
      <c r="D54" s="273"/>
      <c r="E54" s="273">
        <v>0</v>
      </c>
      <c r="F54" s="407"/>
      <c r="G54" s="273"/>
      <c r="H54" s="273">
        <v>3797</v>
      </c>
      <c r="I54" s="407"/>
      <c r="J54" s="273"/>
      <c r="K54" s="273">
        <v>3797</v>
      </c>
      <c r="L54" s="407"/>
      <c r="M54" s="273"/>
      <c r="N54" s="273"/>
      <c r="O54" s="407"/>
      <c r="P54" s="273"/>
      <c r="Q54" s="273"/>
      <c r="R54" s="407"/>
      <c r="S54" s="273"/>
      <c r="T54" s="273"/>
    </row>
    <row r="55" spans="1:20" s="47" customFormat="1" outlineLevel="3" x14ac:dyDescent="0.25">
      <c r="A55" s="340"/>
      <c r="B55" s="341" t="s">
        <v>351</v>
      </c>
      <c r="C55" s="407"/>
      <c r="D55" s="273"/>
      <c r="E55" s="273">
        <v>0</v>
      </c>
      <c r="F55" s="407"/>
      <c r="G55" s="273"/>
      <c r="H55" s="273">
        <v>0</v>
      </c>
      <c r="I55" s="407"/>
      <c r="J55" s="273"/>
      <c r="K55" s="273">
        <v>0</v>
      </c>
      <c r="L55" s="407"/>
      <c r="M55" s="273"/>
      <c r="N55" s="273">
        <v>1562</v>
      </c>
      <c r="O55" s="407"/>
      <c r="P55" s="273"/>
      <c r="Q55" s="273">
        <v>16757.650000000001</v>
      </c>
      <c r="R55" s="407"/>
      <c r="S55" s="273"/>
      <c r="T55" s="273">
        <v>16757.650000000001</v>
      </c>
    </row>
    <row r="56" spans="1:20" s="47" customFormat="1" outlineLevel="3" x14ac:dyDescent="0.25">
      <c r="A56" s="340"/>
      <c r="B56" s="341" t="s">
        <v>1681</v>
      </c>
      <c r="C56" s="407"/>
      <c r="D56" s="273"/>
      <c r="E56" s="273"/>
      <c r="F56" s="407"/>
      <c r="G56" s="273"/>
      <c r="H56" s="273"/>
      <c r="I56" s="407"/>
      <c r="J56" s="273"/>
      <c r="K56" s="273"/>
      <c r="L56" s="407"/>
      <c r="M56" s="273"/>
      <c r="N56" s="273"/>
      <c r="O56" s="407"/>
      <c r="P56" s="273"/>
      <c r="Q56" s="273">
        <v>4356</v>
      </c>
      <c r="R56" s="407"/>
      <c r="S56" s="273"/>
      <c r="T56" s="273">
        <v>4356</v>
      </c>
    </row>
    <row r="57" spans="1:20" outlineLevel="2" x14ac:dyDescent="0.25">
      <c r="A57" s="337" t="s">
        <v>322</v>
      </c>
      <c r="B57" s="338" t="s">
        <v>358</v>
      </c>
      <c r="C57" s="406">
        <v>0</v>
      </c>
      <c r="D57" s="339">
        <v>0</v>
      </c>
      <c r="E57" s="339">
        <v>144401</v>
      </c>
      <c r="F57" s="406">
        <v>0</v>
      </c>
      <c r="G57" s="339">
        <v>0</v>
      </c>
      <c r="H57" s="339">
        <v>144635</v>
      </c>
      <c r="I57" s="406">
        <v>0</v>
      </c>
      <c r="J57" s="339">
        <v>0</v>
      </c>
      <c r="K57" s="339">
        <v>144635</v>
      </c>
      <c r="L57" s="406">
        <v>0</v>
      </c>
      <c r="M57" s="339">
        <v>0</v>
      </c>
      <c r="N57" s="339">
        <v>159740</v>
      </c>
      <c r="O57" s="406">
        <v>0</v>
      </c>
      <c r="P57" s="339">
        <v>0</v>
      </c>
      <c r="Q57" s="339">
        <f>SUM(Q58:Q61)</f>
        <v>182092</v>
      </c>
      <c r="R57" s="406">
        <v>0</v>
      </c>
      <c r="S57" s="339">
        <v>0</v>
      </c>
      <c r="T57" s="339">
        <f>SUM(T58:T61)</f>
        <v>183295</v>
      </c>
    </row>
    <row r="58" spans="1:20" outlineLevel="3" x14ac:dyDescent="0.25">
      <c r="A58" s="340"/>
      <c r="B58" s="341" t="s">
        <v>286</v>
      </c>
      <c r="C58" s="407"/>
      <c r="D58" s="273"/>
      <c r="E58" s="273">
        <v>58201</v>
      </c>
      <c r="F58" s="407"/>
      <c r="G58" s="273"/>
      <c r="H58" s="273">
        <v>58223</v>
      </c>
      <c r="I58" s="407"/>
      <c r="J58" s="273"/>
      <c r="K58" s="273">
        <v>58223</v>
      </c>
      <c r="L58" s="407"/>
      <c r="M58" s="273"/>
      <c r="N58" s="273">
        <v>57673</v>
      </c>
      <c r="O58" s="407"/>
      <c r="P58" s="273"/>
      <c r="Q58" s="273">
        <v>69632</v>
      </c>
      <c r="R58" s="407"/>
      <c r="S58" s="273"/>
      <c r="T58" s="273">
        <v>69632</v>
      </c>
    </row>
    <row r="59" spans="1:20" s="47" customFormat="1" outlineLevel="3" x14ac:dyDescent="0.25">
      <c r="A59" s="340"/>
      <c r="B59" s="341" t="s">
        <v>350</v>
      </c>
      <c r="C59" s="407"/>
      <c r="D59" s="273"/>
      <c r="E59" s="273">
        <v>11256</v>
      </c>
      <c r="F59" s="407"/>
      <c r="G59" s="273"/>
      <c r="H59" s="273">
        <v>11256</v>
      </c>
      <c r="I59" s="407"/>
      <c r="J59" s="273"/>
      <c r="K59" s="273">
        <v>11256</v>
      </c>
      <c r="L59" s="407"/>
      <c r="M59" s="273"/>
      <c r="N59" s="273">
        <v>11657</v>
      </c>
      <c r="O59" s="407"/>
      <c r="P59" s="273"/>
      <c r="Q59" s="273">
        <v>13536</v>
      </c>
      <c r="R59" s="407"/>
      <c r="S59" s="273"/>
      <c r="T59" s="273">
        <v>13536</v>
      </c>
    </row>
    <row r="60" spans="1:20" outlineLevel="3" x14ac:dyDescent="0.25">
      <c r="A60" s="340"/>
      <c r="B60" s="341" t="s">
        <v>292</v>
      </c>
      <c r="C60" s="407"/>
      <c r="D60" s="273"/>
      <c r="E60" s="273">
        <v>69419</v>
      </c>
      <c r="F60" s="407"/>
      <c r="G60" s="273"/>
      <c r="H60" s="273">
        <v>69940</v>
      </c>
      <c r="I60" s="407"/>
      <c r="J60" s="273"/>
      <c r="K60" s="273">
        <v>69940</v>
      </c>
      <c r="L60" s="407"/>
      <c r="M60" s="273"/>
      <c r="N60" s="273">
        <v>86473</v>
      </c>
      <c r="O60" s="407"/>
      <c r="P60" s="273"/>
      <c r="Q60" s="273">
        <v>98924</v>
      </c>
      <c r="R60" s="407"/>
      <c r="S60" s="273"/>
      <c r="T60" s="273">
        <f>98924+1203</f>
        <v>100127</v>
      </c>
    </row>
    <row r="61" spans="1:20" outlineLevel="3" x14ac:dyDescent="0.25">
      <c r="A61" s="340"/>
      <c r="B61" s="341" t="s">
        <v>351</v>
      </c>
      <c r="C61" s="407"/>
      <c r="D61" s="273"/>
      <c r="E61" s="273">
        <v>5525</v>
      </c>
      <c r="F61" s="407"/>
      <c r="G61" s="273"/>
      <c r="H61" s="273">
        <v>5216</v>
      </c>
      <c r="I61" s="407"/>
      <c r="J61" s="273"/>
      <c r="K61" s="273">
        <v>5216</v>
      </c>
      <c r="L61" s="407"/>
      <c r="M61" s="273"/>
      <c r="N61" s="273">
        <v>3937</v>
      </c>
      <c r="O61" s="407"/>
      <c r="P61" s="273"/>
      <c r="Q61" s="273"/>
      <c r="R61" s="407"/>
      <c r="S61" s="273"/>
      <c r="T61" s="273"/>
    </row>
    <row r="62" spans="1:20" hidden="1" outlineLevel="2" collapsed="1" x14ac:dyDescent="0.25">
      <c r="A62" s="337" t="s">
        <v>315</v>
      </c>
      <c r="B62" s="338" t="s">
        <v>605</v>
      </c>
      <c r="C62" s="406">
        <v>0</v>
      </c>
      <c r="D62" s="339">
        <v>0</v>
      </c>
      <c r="E62" s="339">
        <v>25217</v>
      </c>
      <c r="F62" s="406">
        <v>0</v>
      </c>
      <c r="G62" s="339">
        <v>0</v>
      </c>
      <c r="H62" s="339">
        <v>25075</v>
      </c>
      <c r="I62" s="406">
        <v>0</v>
      </c>
      <c r="J62" s="339">
        <v>0</v>
      </c>
      <c r="K62" s="339">
        <v>25075</v>
      </c>
      <c r="L62" s="406">
        <v>0</v>
      </c>
      <c r="M62" s="339">
        <v>0</v>
      </c>
      <c r="N62" s="339">
        <v>22984</v>
      </c>
      <c r="O62" s="406">
        <v>0</v>
      </c>
      <c r="P62" s="339">
        <v>0</v>
      </c>
      <c r="Q62" s="339">
        <v>0</v>
      </c>
      <c r="R62" s="406">
        <v>0</v>
      </c>
      <c r="S62" s="339">
        <v>0</v>
      </c>
      <c r="T62" s="339">
        <v>0</v>
      </c>
    </row>
    <row r="63" spans="1:20" hidden="1" outlineLevel="3" x14ac:dyDescent="0.25">
      <c r="A63" s="340"/>
      <c r="B63" s="341" t="s">
        <v>286</v>
      </c>
      <c r="C63" s="407"/>
      <c r="D63" s="273"/>
      <c r="E63" s="273">
        <v>500</v>
      </c>
      <c r="F63" s="407"/>
      <c r="G63" s="273"/>
      <c r="H63" s="273">
        <v>500</v>
      </c>
      <c r="I63" s="407"/>
      <c r="J63" s="273"/>
      <c r="K63" s="273">
        <v>500</v>
      </c>
      <c r="L63" s="407"/>
      <c r="M63" s="273"/>
      <c r="N63" s="371">
        <v>465</v>
      </c>
      <c r="O63" s="407"/>
      <c r="P63" s="273"/>
      <c r="Q63" s="371"/>
      <c r="R63" s="407"/>
      <c r="S63" s="273"/>
      <c r="T63" s="371"/>
    </row>
    <row r="64" spans="1:20" hidden="1" outlineLevel="3" x14ac:dyDescent="0.25">
      <c r="A64" s="340"/>
      <c r="B64" s="341" t="s">
        <v>350</v>
      </c>
      <c r="C64" s="407"/>
      <c r="D64" s="273"/>
      <c r="E64" s="273">
        <v>220</v>
      </c>
      <c r="F64" s="407"/>
      <c r="G64" s="273"/>
      <c r="H64" s="273">
        <v>220</v>
      </c>
      <c r="I64" s="407"/>
      <c r="J64" s="273"/>
      <c r="K64" s="273">
        <v>220</v>
      </c>
      <c r="L64" s="407"/>
      <c r="M64" s="273"/>
      <c r="N64" s="371">
        <v>198</v>
      </c>
      <c r="O64" s="407"/>
      <c r="P64" s="273"/>
      <c r="Q64" s="371"/>
      <c r="R64" s="407"/>
      <c r="S64" s="273"/>
      <c r="T64" s="371"/>
    </row>
    <row r="65" spans="1:20" hidden="1" outlineLevel="3" x14ac:dyDescent="0.25">
      <c r="A65" s="340"/>
      <c r="B65" s="341" t="s">
        <v>292</v>
      </c>
      <c r="C65" s="407"/>
      <c r="D65" s="273"/>
      <c r="E65" s="273">
        <v>24497</v>
      </c>
      <c r="F65" s="407"/>
      <c r="G65" s="273"/>
      <c r="H65" s="273">
        <v>24355</v>
      </c>
      <c r="I65" s="407"/>
      <c r="J65" s="273"/>
      <c r="K65" s="273">
        <v>24355</v>
      </c>
      <c r="L65" s="407"/>
      <c r="M65" s="273"/>
      <c r="N65" s="371">
        <v>22321</v>
      </c>
      <c r="O65" s="407"/>
      <c r="P65" s="273"/>
      <c r="Q65" s="371"/>
      <c r="R65" s="407"/>
      <c r="S65" s="273"/>
      <c r="T65" s="371"/>
    </row>
    <row r="66" spans="1:20" hidden="1" outlineLevel="3" x14ac:dyDescent="0.25">
      <c r="A66" s="340"/>
      <c r="B66" s="341" t="s">
        <v>351</v>
      </c>
      <c r="C66" s="407"/>
      <c r="D66" s="273"/>
      <c r="E66" s="273">
        <v>0</v>
      </c>
      <c r="F66" s="407"/>
      <c r="G66" s="273"/>
      <c r="H66" s="273">
        <v>0</v>
      </c>
      <c r="I66" s="407"/>
      <c r="J66" s="273"/>
      <c r="K66" s="273">
        <v>0</v>
      </c>
      <c r="L66" s="407"/>
      <c r="M66" s="273"/>
      <c r="N66" s="273"/>
      <c r="O66" s="407"/>
      <c r="P66" s="273"/>
      <c r="Q66" s="273"/>
      <c r="R66" s="407"/>
      <c r="S66" s="273"/>
      <c r="T66" s="273"/>
    </row>
    <row r="67" spans="1:20" outlineLevel="1" x14ac:dyDescent="0.25">
      <c r="A67" s="367" t="s">
        <v>318</v>
      </c>
      <c r="B67" s="368" t="s">
        <v>353</v>
      </c>
      <c r="C67" s="405">
        <v>0</v>
      </c>
      <c r="D67" s="369">
        <v>0</v>
      </c>
      <c r="E67" s="369">
        <v>19542</v>
      </c>
      <c r="F67" s="405">
        <v>0</v>
      </c>
      <c r="G67" s="369">
        <v>0</v>
      </c>
      <c r="H67" s="369">
        <v>19648</v>
      </c>
      <c r="I67" s="405">
        <v>0</v>
      </c>
      <c r="J67" s="369">
        <v>0</v>
      </c>
      <c r="K67" s="369">
        <v>19648</v>
      </c>
      <c r="L67" s="405">
        <v>0</v>
      </c>
      <c r="M67" s="369">
        <v>0</v>
      </c>
      <c r="N67" s="369">
        <v>23947</v>
      </c>
      <c r="O67" s="405">
        <v>0</v>
      </c>
      <c r="P67" s="369">
        <v>0</v>
      </c>
      <c r="Q67" s="369">
        <f>+Q68</f>
        <v>57112</v>
      </c>
      <c r="R67" s="405">
        <v>0</v>
      </c>
      <c r="S67" s="369">
        <v>0</v>
      </c>
      <c r="T67" s="369">
        <f>+T68</f>
        <v>57112</v>
      </c>
    </row>
    <row r="68" spans="1:20" x14ac:dyDescent="0.25">
      <c r="A68" s="337" t="s">
        <v>311</v>
      </c>
      <c r="B68" s="338" t="s">
        <v>1692</v>
      </c>
      <c r="C68" s="406">
        <v>0</v>
      </c>
      <c r="D68" s="339">
        <v>0</v>
      </c>
      <c r="E68" s="339">
        <v>19542</v>
      </c>
      <c r="F68" s="406">
        <v>0</v>
      </c>
      <c r="G68" s="339">
        <v>0</v>
      </c>
      <c r="H68" s="339">
        <v>19648</v>
      </c>
      <c r="I68" s="406">
        <v>0</v>
      </c>
      <c r="J68" s="339">
        <v>0</v>
      </c>
      <c r="K68" s="339">
        <v>19648</v>
      </c>
      <c r="L68" s="406">
        <v>0</v>
      </c>
      <c r="M68" s="339">
        <v>0</v>
      </c>
      <c r="N68" s="339">
        <v>23947</v>
      </c>
      <c r="O68" s="406">
        <v>0</v>
      </c>
      <c r="P68" s="339">
        <v>0</v>
      </c>
      <c r="Q68" s="339">
        <f>SUM(Q69:Q72)</f>
        <v>57112</v>
      </c>
      <c r="R68" s="406">
        <v>0</v>
      </c>
      <c r="S68" s="339">
        <v>0</v>
      </c>
      <c r="T68" s="339">
        <f>SUM(T69:T72)</f>
        <v>57112</v>
      </c>
    </row>
    <row r="69" spans="1:20" outlineLevel="1" x14ac:dyDescent="0.25">
      <c r="A69" s="367"/>
      <c r="B69" s="370" t="s">
        <v>286</v>
      </c>
      <c r="C69" s="409"/>
      <c r="D69" s="371"/>
      <c r="E69" s="371">
        <v>667</v>
      </c>
      <c r="F69" s="409"/>
      <c r="G69" s="371"/>
      <c r="H69" s="371">
        <v>773</v>
      </c>
      <c r="I69" s="409"/>
      <c r="J69" s="371"/>
      <c r="K69" s="371">
        <v>773</v>
      </c>
      <c r="L69" s="409"/>
      <c r="M69" s="371"/>
      <c r="N69" s="371">
        <v>774</v>
      </c>
      <c r="O69" s="409"/>
      <c r="P69" s="371"/>
      <c r="Q69" s="371">
        <v>1500</v>
      </c>
      <c r="R69" s="409"/>
      <c r="S69" s="371"/>
      <c r="T69" s="371">
        <v>1500</v>
      </c>
    </row>
    <row r="70" spans="1:20" outlineLevel="1" x14ac:dyDescent="0.25">
      <c r="A70" s="367"/>
      <c r="B70" s="370" t="s">
        <v>350</v>
      </c>
      <c r="C70" s="409"/>
      <c r="D70" s="371"/>
      <c r="E70" s="371">
        <v>271</v>
      </c>
      <c r="F70" s="409"/>
      <c r="G70" s="371"/>
      <c r="H70" s="371">
        <v>271</v>
      </c>
      <c r="I70" s="409"/>
      <c r="J70" s="371"/>
      <c r="K70" s="371">
        <v>271</v>
      </c>
      <c r="L70" s="409"/>
      <c r="M70" s="371"/>
      <c r="N70" s="371">
        <v>360</v>
      </c>
      <c r="O70" s="409"/>
      <c r="P70" s="371"/>
      <c r="Q70" s="371">
        <v>612</v>
      </c>
      <c r="R70" s="409"/>
      <c r="S70" s="371"/>
      <c r="T70" s="371">
        <v>612</v>
      </c>
    </row>
    <row r="71" spans="1:20" outlineLevel="1" x14ac:dyDescent="0.25">
      <c r="A71" s="367"/>
      <c r="B71" s="370" t="s">
        <v>292</v>
      </c>
      <c r="C71" s="409"/>
      <c r="D71" s="371"/>
      <c r="E71" s="371">
        <v>18604</v>
      </c>
      <c r="F71" s="409"/>
      <c r="G71" s="371"/>
      <c r="H71" s="371">
        <v>18604</v>
      </c>
      <c r="I71" s="409"/>
      <c r="J71" s="371"/>
      <c r="K71" s="371">
        <v>18604</v>
      </c>
      <c r="L71" s="409"/>
      <c r="M71" s="371"/>
      <c r="N71" s="371">
        <v>22813</v>
      </c>
      <c r="O71" s="409"/>
      <c r="P71" s="371"/>
      <c r="Q71" s="371">
        <v>55000</v>
      </c>
      <c r="R71" s="409"/>
      <c r="S71" s="371"/>
      <c r="T71" s="371">
        <v>55000</v>
      </c>
    </row>
    <row r="72" spans="1:20" outlineLevel="1" x14ac:dyDescent="0.25">
      <c r="A72" s="367"/>
      <c r="B72" s="370" t="s">
        <v>351</v>
      </c>
      <c r="C72" s="409"/>
      <c r="D72" s="371"/>
      <c r="E72" s="371">
        <v>0</v>
      </c>
      <c r="F72" s="409"/>
      <c r="G72" s="371"/>
      <c r="H72" s="371">
        <v>0</v>
      </c>
      <c r="I72" s="409"/>
      <c r="J72" s="371"/>
      <c r="K72" s="371">
        <v>0</v>
      </c>
      <c r="L72" s="409"/>
      <c r="M72" s="371"/>
      <c r="N72" s="371"/>
      <c r="O72" s="409"/>
      <c r="P72" s="371"/>
      <c r="Q72" s="371"/>
      <c r="R72" s="409"/>
      <c r="S72" s="371"/>
      <c r="T72" s="371"/>
    </row>
    <row r="73" spans="1:20" x14ac:dyDescent="0.25">
      <c r="A73" s="364" t="s">
        <v>1453</v>
      </c>
      <c r="B73" s="365" t="s">
        <v>359</v>
      </c>
      <c r="C73" s="404">
        <v>5</v>
      </c>
      <c r="D73" s="366">
        <v>0</v>
      </c>
      <c r="E73" s="366">
        <v>37028</v>
      </c>
      <c r="F73" s="404">
        <v>5</v>
      </c>
      <c r="G73" s="366">
        <v>0</v>
      </c>
      <c r="H73" s="366">
        <v>37976</v>
      </c>
      <c r="I73" s="404">
        <v>5</v>
      </c>
      <c r="J73" s="366">
        <v>0</v>
      </c>
      <c r="K73" s="366">
        <v>37976</v>
      </c>
      <c r="L73" s="404">
        <v>5</v>
      </c>
      <c r="M73" s="366">
        <v>0</v>
      </c>
      <c r="N73" s="366">
        <v>32161</v>
      </c>
      <c r="O73" s="404">
        <v>5.5</v>
      </c>
      <c r="P73" s="366">
        <v>0</v>
      </c>
      <c r="Q73" s="366">
        <f>+Q74+Q86</f>
        <v>38223.5</v>
      </c>
      <c r="R73" s="404">
        <v>5.5</v>
      </c>
      <c r="S73" s="366">
        <v>0</v>
      </c>
      <c r="T73" s="366">
        <f>+T74+T86</f>
        <v>39337</v>
      </c>
    </row>
    <row r="74" spans="1:20" s="47" customFormat="1" outlineLevel="1" x14ac:dyDescent="0.25">
      <c r="A74" s="367" t="s">
        <v>309</v>
      </c>
      <c r="B74" s="368" t="s">
        <v>348</v>
      </c>
      <c r="C74" s="405">
        <v>4</v>
      </c>
      <c r="D74" s="369">
        <v>0</v>
      </c>
      <c r="E74" s="369">
        <v>26934</v>
      </c>
      <c r="F74" s="405">
        <v>4</v>
      </c>
      <c r="G74" s="369">
        <v>0</v>
      </c>
      <c r="H74" s="369">
        <v>27475</v>
      </c>
      <c r="I74" s="405">
        <v>4</v>
      </c>
      <c r="J74" s="369">
        <v>0</v>
      </c>
      <c r="K74" s="369">
        <v>27475</v>
      </c>
      <c r="L74" s="405">
        <v>4</v>
      </c>
      <c r="M74" s="369">
        <v>0</v>
      </c>
      <c r="N74" s="369">
        <v>25372</v>
      </c>
      <c r="O74" s="405">
        <v>4</v>
      </c>
      <c r="P74" s="369">
        <v>0</v>
      </c>
      <c r="Q74" s="369">
        <f>+Q75+Q81</f>
        <v>28835.5</v>
      </c>
      <c r="R74" s="405">
        <v>4</v>
      </c>
      <c r="S74" s="369">
        <v>0</v>
      </c>
      <c r="T74" s="369">
        <f>+T75+T81</f>
        <v>29949</v>
      </c>
    </row>
    <row r="75" spans="1:20" outlineLevel="2" x14ac:dyDescent="0.25">
      <c r="A75" s="337" t="s">
        <v>311</v>
      </c>
      <c r="B75" s="338" t="s">
        <v>360</v>
      </c>
      <c r="C75" s="406">
        <v>4</v>
      </c>
      <c r="D75" s="339">
        <v>0</v>
      </c>
      <c r="E75" s="339">
        <v>24007</v>
      </c>
      <c r="F75" s="406">
        <v>4</v>
      </c>
      <c r="G75" s="339">
        <v>0</v>
      </c>
      <c r="H75" s="339">
        <v>24548</v>
      </c>
      <c r="I75" s="406">
        <v>4</v>
      </c>
      <c r="J75" s="339">
        <v>0</v>
      </c>
      <c r="K75" s="339">
        <v>24548</v>
      </c>
      <c r="L75" s="406">
        <v>4</v>
      </c>
      <c r="M75" s="339">
        <v>0</v>
      </c>
      <c r="N75" s="339">
        <v>22687</v>
      </c>
      <c r="O75" s="406">
        <v>4</v>
      </c>
      <c r="P75" s="339">
        <v>0</v>
      </c>
      <c r="Q75" s="339">
        <f>SUM(Q76:Q80)</f>
        <v>27883</v>
      </c>
      <c r="R75" s="406">
        <v>4</v>
      </c>
      <c r="S75" s="339">
        <v>0</v>
      </c>
      <c r="T75" s="339">
        <f>SUM(T76:T80)</f>
        <v>28996</v>
      </c>
    </row>
    <row r="76" spans="1:20" outlineLevel="3" x14ac:dyDescent="0.25">
      <c r="A76" s="340"/>
      <c r="B76" s="341" t="s">
        <v>286</v>
      </c>
      <c r="C76" s="407"/>
      <c r="D76" s="273"/>
      <c r="E76" s="273">
        <v>13135</v>
      </c>
      <c r="F76" s="407"/>
      <c r="G76" s="273"/>
      <c r="H76" s="273">
        <v>13135</v>
      </c>
      <c r="I76" s="407"/>
      <c r="J76" s="273"/>
      <c r="K76" s="273">
        <v>13135</v>
      </c>
      <c r="L76" s="407"/>
      <c r="M76" s="273"/>
      <c r="N76" s="273">
        <v>13086</v>
      </c>
      <c r="O76" s="407"/>
      <c r="P76" s="273"/>
      <c r="Q76" s="273">
        <v>13123</v>
      </c>
      <c r="R76" s="407"/>
      <c r="S76" s="273"/>
      <c r="T76" s="273">
        <v>13123</v>
      </c>
    </row>
    <row r="77" spans="1:20" outlineLevel="3" x14ac:dyDescent="0.25">
      <c r="A77" s="340"/>
      <c r="B77" s="341" t="s">
        <v>350</v>
      </c>
      <c r="C77" s="407"/>
      <c r="D77" s="273"/>
      <c r="E77" s="273">
        <v>2634</v>
      </c>
      <c r="F77" s="407"/>
      <c r="G77" s="273"/>
      <c r="H77" s="273">
        <v>2634</v>
      </c>
      <c r="I77" s="407"/>
      <c r="J77" s="273"/>
      <c r="K77" s="273">
        <v>2634</v>
      </c>
      <c r="L77" s="407"/>
      <c r="M77" s="273"/>
      <c r="N77" s="273">
        <v>2874</v>
      </c>
      <c r="O77" s="407"/>
      <c r="P77" s="273"/>
      <c r="Q77" s="273">
        <v>2493</v>
      </c>
      <c r="R77" s="407"/>
      <c r="S77" s="273"/>
      <c r="T77" s="273">
        <v>2493</v>
      </c>
    </row>
    <row r="78" spans="1:20" outlineLevel="3" x14ac:dyDescent="0.25">
      <c r="A78" s="340"/>
      <c r="B78" s="341" t="s">
        <v>292</v>
      </c>
      <c r="C78" s="407"/>
      <c r="D78" s="273"/>
      <c r="E78" s="273">
        <v>6892</v>
      </c>
      <c r="F78" s="407"/>
      <c r="G78" s="273"/>
      <c r="H78" s="273">
        <v>7131</v>
      </c>
      <c r="I78" s="407"/>
      <c r="J78" s="273"/>
      <c r="K78" s="273">
        <v>7131</v>
      </c>
      <c r="L78" s="407"/>
      <c r="M78" s="273"/>
      <c r="N78" s="273">
        <v>6392</v>
      </c>
      <c r="O78" s="407"/>
      <c r="P78" s="273"/>
      <c r="Q78" s="273">
        <v>11746</v>
      </c>
      <c r="R78" s="407"/>
      <c r="S78" s="273"/>
      <c r="T78" s="273">
        <v>11746</v>
      </c>
    </row>
    <row r="79" spans="1:20" outlineLevel="3" x14ac:dyDescent="0.25">
      <c r="A79" s="340"/>
      <c r="B79" s="341" t="s">
        <v>339</v>
      </c>
      <c r="C79" s="407"/>
      <c r="D79" s="273"/>
      <c r="E79" s="273">
        <v>0</v>
      </c>
      <c r="F79" s="407"/>
      <c r="G79" s="273"/>
      <c r="H79" s="273">
        <v>295</v>
      </c>
      <c r="I79" s="407"/>
      <c r="J79" s="273"/>
      <c r="K79" s="273">
        <v>295</v>
      </c>
      <c r="L79" s="407"/>
      <c r="M79" s="273"/>
      <c r="N79" s="273">
        <v>295</v>
      </c>
      <c r="O79" s="407"/>
      <c r="P79" s="273"/>
      <c r="Q79" s="273">
        <v>0</v>
      </c>
      <c r="R79" s="407"/>
      <c r="S79" s="273"/>
      <c r="T79" s="273">
        <v>0</v>
      </c>
    </row>
    <row r="80" spans="1:20" s="47" customFormat="1" outlineLevel="3" x14ac:dyDescent="0.25">
      <c r="A80" s="340"/>
      <c r="B80" s="341" t="s">
        <v>351</v>
      </c>
      <c r="C80" s="407"/>
      <c r="D80" s="273"/>
      <c r="E80" s="273">
        <v>1346</v>
      </c>
      <c r="F80" s="407"/>
      <c r="G80" s="273"/>
      <c r="H80" s="273">
        <v>1353</v>
      </c>
      <c r="I80" s="407"/>
      <c r="J80" s="273"/>
      <c r="K80" s="273">
        <v>1353</v>
      </c>
      <c r="L80" s="407"/>
      <c r="M80" s="273"/>
      <c r="N80" s="273">
        <v>40</v>
      </c>
      <c r="O80" s="407"/>
      <c r="P80" s="273"/>
      <c r="Q80" s="273">
        <v>521</v>
      </c>
      <c r="R80" s="407"/>
      <c r="S80" s="273"/>
      <c r="T80" s="273">
        <f>521+1113</f>
        <v>1634</v>
      </c>
    </row>
    <row r="81" spans="1:20" ht="28.55" outlineLevel="2" x14ac:dyDescent="0.25">
      <c r="A81" s="337" t="s">
        <v>322</v>
      </c>
      <c r="B81" s="527" t="s">
        <v>1459</v>
      </c>
      <c r="C81" s="406">
        <v>0</v>
      </c>
      <c r="D81" s="339">
        <v>0</v>
      </c>
      <c r="E81" s="339">
        <v>2927</v>
      </c>
      <c r="F81" s="406">
        <v>0</v>
      </c>
      <c r="G81" s="339">
        <v>0</v>
      </c>
      <c r="H81" s="339">
        <v>2927</v>
      </c>
      <c r="I81" s="406">
        <v>0</v>
      </c>
      <c r="J81" s="339">
        <v>0</v>
      </c>
      <c r="K81" s="339">
        <v>2927</v>
      </c>
      <c r="L81" s="406">
        <v>0</v>
      </c>
      <c r="M81" s="339">
        <v>0</v>
      </c>
      <c r="N81" s="339">
        <v>2685</v>
      </c>
      <c r="O81" s="406">
        <v>0</v>
      </c>
      <c r="P81" s="339">
        <v>0</v>
      </c>
      <c r="Q81" s="339">
        <f>+Q84</f>
        <v>952.5</v>
      </c>
      <c r="R81" s="406">
        <v>0</v>
      </c>
      <c r="S81" s="339">
        <v>0</v>
      </c>
      <c r="T81" s="339">
        <f>SUM(T82:T85)</f>
        <v>953</v>
      </c>
    </row>
    <row r="82" spans="1:20" hidden="1" outlineLevel="3" x14ac:dyDescent="0.25">
      <c r="A82" s="340"/>
      <c r="B82" s="341" t="s">
        <v>286</v>
      </c>
      <c r="C82" s="407"/>
      <c r="D82" s="273"/>
      <c r="E82" s="273">
        <v>0</v>
      </c>
      <c r="F82" s="407"/>
      <c r="G82" s="273"/>
      <c r="H82" s="273">
        <v>0</v>
      </c>
      <c r="I82" s="407"/>
      <c r="J82" s="273"/>
      <c r="K82" s="273">
        <v>0</v>
      </c>
      <c r="L82" s="407"/>
      <c r="M82" s="273"/>
      <c r="N82" s="273"/>
      <c r="O82" s="407"/>
      <c r="P82" s="273"/>
      <c r="Q82" s="273"/>
      <c r="R82" s="407"/>
      <c r="S82" s="273"/>
      <c r="T82" s="273"/>
    </row>
    <row r="83" spans="1:20" hidden="1" outlineLevel="3" x14ac:dyDescent="0.25">
      <c r="A83" s="340"/>
      <c r="B83" s="341" t="s">
        <v>350</v>
      </c>
      <c r="C83" s="407"/>
      <c r="D83" s="273"/>
      <c r="E83" s="273">
        <v>0</v>
      </c>
      <c r="F83" s="407"/>
      <c r="G83" s="273"/>
      <c r="H83" s="273">
        <v>0</v>
      </c>
      <c r="I83" s="407"/>
      <c r="J83" s="273"/>
      <c r="K83" s="273">
        <v>0</v>
      </c>
      <c r="L83" s="407"/>
      <c r="M83" s="273"/>
      <c r="N83" s="273"/>
      <c r="O83" s="407"/>
      <c r="P83" s="273"/>
      <c r="Q83" s="273"/>
      <c r="R83" s="407"/>
      <c r="S83" s="273"/>
      <c r="T83" s="273"/>
    </row>
    <row r="84" spans="1:20" outlineLevel="3" x14ac:dyDescent="0.25">
      <c r="A84" s="340"/>
      <c r="B84" s="341" t="s">
        <v>292</v>
      </c>
      <c r="C84" s="407"/>
      <c r="D84" s="273"/>
      <c r="E84" s="273">
        <v>927</v>
      </c>
      <c r="F84" s="407"/>
      <c r="G84" s="273"/>
      <c r="H84" s="273">
        <v>927</v>
      </c>
      <c r="I84" s="407"/>
      <c r="J84" s="273"/>
      <c r="K84" s="273">
        <v>927</v>
      </c>
      <c r="L84" s="407"/>
      <c r="M84" s="273"/>
      <c r="N84" s="273">
        <v>646</v>
      </c>
      <c r="O84" s="407"/>
      <c r="P84" s="273"/>
      <c r="Q84" s="273">
        <v>952.5</v>
      </c>
      <c r="R84" s="407"/>
      <c r="S84" s="273"/>
      <c r="T84" s="273">
        <f>953-410</f>
        <v>543</v>
      </c>
    </row>
    <row r="85" spans="1:20" s="47" customFormat="1" outlineLevel="3" x14ac:dyDescent="0.25">
      <c r="A85" s="340"/>
      <c r="B85" s="341" t="s">
        <v>351</v>
      </c>
      <c r="C85" s="407"/>
      <c r="D85" s="273"/>
      <c r="E85" s="273">
        <v>2000</v>
      </c>
      <c r="F85" s="407"/>
      <c r="G85" s="273"/>
      <c r="H85" s="273">
        <v>2000</v>
      </c>
      <c r="I85" s="407"/>
      <c r="J85" s="273"/>
      <c r="K85" s="273">
        <v>2000</v>
      </c>
      <c r="L85" s="407"/>
      <c r="M85" s="273"/>
      <c r="N85" s="273">
        <v>2039</v>
      </c>
      <c r="O85" s="407"/>
      <c r="P85" s="273"/>
      <c r="Q85" s="273">
        <v>0</v>
      </c>
      <c r="R85" s="407"/>
      <c r="S85" s="273"/>
      <c r="T85" s="273">
        <v>410</v>
      </c>
    </row>
    <row r="86" spans="1:20" outlineLevel="1" x14ac:dyDescent="0.25">
      <c r="A86" s="367" t="s">
        <v>318</v>
      </c>
      <c r="B86" s="368" t="s">
        <v>353</v>
      </c>
      <c r="C86" s="405">
        <v>1</v>
      </c>
      <c r="D86" s="369">
        <v>0</v>
      </c>
      <c r="E86" s="369">
        <v>10094</v>
      </c>
      <c r="F86" s="405">
        <v>1</v>
      </c>
      <c r="G86" s="369">
        <v>0</v>
      </c>
      <c r="H86" s="369">
        <v>10501</v>
      </c>
      <c r="I86" s="405">
        <v>1</v>
      </c>
      <c r="J86" s="369">
        <v>0</v>
      </c>
      <c r="K86" s="369">
        <v>10501</v>
      </c>
      <c r="L86" s="405">
        <v>1</v>
      </c>
      <c r="M86" s="369">
        <v>0</v>
      </c>
      <c r="N86" s="369">
        <v>6789</v>
      </c>
      <c r="O86" s="405">
        <v>1.5</v>
      </c>
      <c r="P86" s="369">
        <v>0</v>
      </c>
      <c r="Q86" s="369">
        <f>+Q87</f>
        <v>9388</v>
      </c>
      <c r="R86" s="405">
        <v>1.5</v>
      </c>
      <c r="S86" s="369">
        <v>0</v>
      </c>
      <c r="T86" s="369">
        <f>+T87</f>
        <v>9388</v>
      </c>
    </row>
    <row r="87" spans="1:20" x14ac:dyDescent="0.25">
      <c r="A87" s="367" t="s">
        <v>311</v>
      </c>
      <c r="B87" s="368" t="s">
        <v>361</v>
      </c>
      <c r="C87" s="406">
        <v>1</v>
      </c>
      <c r="D87" s="339">
        <v>0</v>
      </c>
      <c r="E87" s="339">
        <v>10094</v>
      </c>
      <c r="F87" s="406">
        <v>1</v>
      </c>
      <c r="G87" s="339">
        <v>0</v>
      </c>
      <c r="H87" s="339">
        <v>10501</v>
      </c>
      <c r="I87" s="406">
        <v>1</v>
      </c>
      <c r="J87" s="339">
        <v>0</v>
      </c>
      <c r="K87" s="339">
        <v>10501</v>
      </c>
      <c r="L87" s="406">
        <v>1</v>
      </c>
      <c r="M87" s="339">
        <v>0</v>
      </c>
      <c r="N87" s="339">
        <v>6789</v>
      </c>
      <c r="O87" s="406">
        <v>1.5</v>
      </c>
      <c r="P87" s="339">
        <v>0</v>
      </c>
      <c r="Q87" s="339">
        <f>SUM(Q88:Q91)</f>
        <v>9388</v>
      </c>
      <c r="R87" s="406">
        <v>1.5</v>
      </c>
      <c r="S87" s="339">
        <v>0</v>
      </c>
      <c r="T87" s="339">
        <f>SUM(T88:T91)</f>
        <v>9388</v>
      </c>
    </row>
    <row r="88" spans="1:20" s="47" customFormat="1" outlineLevel="1" x14ac:dyDescent="0.25">
      <c r="A88" s="340"/>
      <c r="B88" s="341" t="s">
        <v>286</v>
      </c>
      <c r="C88" s="407"/>
      <c r="D88" s="273"/>
      <c r="E88" s="273">
        <v>4252</v>
      </c>
      <c r="F88" s="407"/>
      <c r="G88" s="273"/>
      <c r="H88" s="273">
        <v>4252</v>
      </c>
      <c r="I88" s="407"/>
      <c r="J88" s="273"/>
      <c r="K88" s="273">
        <v>4252</v>
      </c>
      <c r="L88" s="407"/>
      <c r="M88" s="273"/>
      <c r="N88" s="273">
        <v>3002</v>
      </c>
      <c r="O88" s="407"/>
      <c r="P88" s="273"/>
      <c r="Q88" s="273">
        <v>6146</v>
      </c>
      <c r="R88" s="407"/>
      <c r="S88" s="273"/>
      <c r="T88" s="273">
        <v>6146</v>
      </c>
    </row>
    <row r="89" spans="1:20" s="47" customFormat="1" outlineLevel="1" x14ac:dyDescent="0.25">
      <c r="A89" s="340"/>
      <c r="B89" s="341" t="s">
        <v>350</v>
      </c>
      <c r="C89" s="407"/>
      <c r="D89" s="273"/>
      <c r="E89" s="273">
        <v>1011</v>
      </c>
      <c r="F89" s="407"/>
      <c r="G89" s="273"/>
      <c r="H89" s="273">
        <v>1011</v>
      </c>
      <c r="I89" s="407"/>
      <c r="J89" s="273"/>
      <c r="K89" s="273">
        <v>1011</v>
      </c>
      <c r="L89" s="407"/>
      <c r="M89" s="273"/>
      <c r="N89" s="273">
        <v>696</v>
      </c>
      <c r="O89" s="407"/>
      <c r="P89" s="273"/>
      <c r="Q89" s="273">
        <v>1168</v>
      </c>
      <c r="R89" s="407"/>
      <c r="S89" s="273"/>
      <c r="T89" s="273">
        <v>1168</v>
      </c>
    </row>
    <row r="90" spans="1:20" s="47" customFormat="1" outlineLevel="1" x14ac:dyDescent="0.25">
      <c r="A90" s="340"/>
      <c r="B90" s="341" t="s">
        <v>292</v>
      </c>
      <c r="C90" s="407"/>
      <c r="D90" s="273"/>
      <c r="E90" s="273">
        <v>4831</v>
      </c>
      <c r="F90" s="407"/>
      <c r="G90" s="273"/>
      <c r="H90" s="273">
        <v>4831</v>
      </c>
      <c r="I90" s="407"/>
      <c r="J90" s="273"/>
      <c r="K90" s="273">
        <v>4831</v>
      </c>
      <c r="L90" s="407"/>
      <c r="M90" s="273"/>
      <c r="N90" s="273">
        <v>2962</v>
      </c>
      <c r="O90" s="407"/>
      <c r="P90" s="273"/>
      <c r="Q90" s="273">
        <v>1824</v>
      </c>
      <c r="R90" s="407"/>
      <c r="S90" s="273"/>
      <c r="T90" s="273">
        <v>1824</v>
      </c>
    </row>
    <row r="91" spans="1:20" s="47" customFormat="1" outlineLevel="1" x14ac:dyDescent="0.25">
      <c r="A91" s="340"/>
      <c r="B91" s="341" t="s">
        <v>351</v>
      </c>
      <c r="C91" s="407"/>
      <c r="D91" s="273"/>
      <c r="E91" s="273">
        <v>0</v>
      </c>
      <c r="F91" s="407"/>
      <c r="G91" s="273"/>
      <c r="H91" s="273">
        <v>407</v>
      </c>
      <c r="I91" s="407"/>
      <c r="J91" s="273"/>
      <c r="K91" s="273">
        <v>407</v>
      </c>
      <c r="L91" s="407"/>
      <c r="M91" s="273"/>
      <c r="N91" s="273">
        <v>129</v>
      </c>
      <c r="O91" s="407"/>
      <c r="P91" s="273"/>
      <c r="Q91" s="273">
        <v>250</v>
      </c>
      <c r="R91" s="407"/>
      <c r="S91" s="273"/>
      <c r="T91" s="273">
        <v>250</v>
      </c>
    </row>
    <row r="92" spans="1:20" x14ac:dyDescent="0.25">
      <c r="A92" s="364" t="s">
        <v>1454</v>
      </c>
      <c r="B92" s="365" t="s">
        <v>362</v>
      </c>
      <c r="C92" s="404">
        <v>17</v>
      </c>
      <c r="D92" s="366">
        <v>0</v>
      </c>
      <c r="E92" s="366">
        <v>126547</v>
      </c>
      <c r="F92" s="404">
        <v>17</v>
      </c>
      <c r="G92" s="366">
        <v>0</v>
      </c>
      <c r="H92" s="366">
        <v>132439</v>
      </c>
      <c r="I92" s="404">
        <v>17</v>
      </c>
      <c r="J92" s="366">
        <v>0</v>
      </c>
      <c r="K92" s="366">
        <v>132439</v>
      </c>
      <c r="L92" s="404">
        <v>17</v>
      </c>
      <c r="M92" s="366">
        <v>0</v>
      </c>
      <c r="N92" s="366">
        <v>125928</v>
      </c>
      <c r="O92" s="404">
        <v>17</v>
      </c>
      <c r="P92" s="366">
        <v>0</v>
      </c>
      <c r="Q92" s="366">
        <f>+Q93+Q110</f>
        <v>139906.68</v>
      </c>
      <c r="R92" s="404">
        <v>17</v>
      </c>
      <c r="S92" s="366">
        <v>0</v>
      </c>
      <c r="T92" s="366">
        <f>+T93+T110</f>
        <v>142000.68</v>
      </c>
    </row>
    <row r="93" spans="1:20" s="47" customFormat="1" outlineLevel="1" x14ac:dyDescent="0.25">
      <c r="A93" s="367" t="s">
        <v>309</v>
      </c>
      <c r="B93" s="368" t="s">
        <v>348</v>
      </c>
      <c r="C93" s="405">
        <v>17</v>
      </c>
      <c r="D93" s="369">
        <v>0</v>
      </c>
      <c r="E93" s="369">
        <v>126547</v>
      </c>
      <c r="F93" s="405">
        <v>17</v>
      </c>
      <c r="G93" s="369">
        <v>0</v>
      </c>
      <c r="H93" s="369">
        <v>130227</v>
      </c>
      <c r="I93" s="405">
        <v>17</v>
      </c>
      <c r="J93" s="369">
        <v>0</v>
      </c>
      <c r="K93" s="369">
        <v>130227</v>
      </c>
      <c r="L93" s="405">
        <v>17</v>
      </c>
      <c r="M93" s="369">
        <v>0</v>
      </c>
      <c r="N93" s="369">
        <v>125928</v>
      </c>
      <c r="O93" s="405">
        <v>17</v>
      </c>
      <c r="P93" s="369">
        <v>0</v>
      </c>
      <c r="Q93" s="369">
        <f>+Q94+Q100+Q105</f>
        <v>139906.68</v>
      </c>
      <c r="R93" s="405">
        <v>17</v>
      </c>
      <c r="S93" s="369">
        <v>0</v>
      </c>
      <c r="T93" s="369">
        <f>+T94+T100+T105</f>
        <v>142000.68</v>
      </c>
    </row>
    <row r="94" spans="1:20" outlineLevel="2" x14ac:dyDescent="0.25">
      <c r="A94" s="337" t="s">
        <v>311</v>
      </c>
      <c r="B94" s="338" t="s">
        <v>363</v>
      </c>
      <c r="C94" s="406">
        <v>11</v>
      </c>
      <c r="D94" s="339">
        <v>0</v>
      </c>
      <c r="E94" s="339">
        <v>83247</v>
      </c>
      <c r="F94" s="406">
        <v>11</v>
      </c>
      <c r="G94" s="339">
        <v>0</v>
      </c>
      <c r="H94" s="339">
        <v>87653</v>
      </c>
      <c r="I94" s="406">
        <v>11</v>
      </c>
      <c r="J94" s="339">
        <v>0</v>
      </c>
      <c r="K94" s="339">
        <v>87653</v>
      </c>
      <c r="L94" s="406">
        <v>11</v>
      </c>
      <c r="M94" s="339">
        <v>0</v>
      </c>
      <c r="N94" s="339">
        <v>82682</v>
      </c>
      <c r="O94" s="406">
        <v>11</v>
      </c>
      <c r="P94" s="339">
        <v>0</v>
      </c>
      <c r="Q94" s="339">
        <f>SUM(Q95:Q99)</f>
        <v>94016</v>
      </c>
      <c r="R94" s="406">
        <v>11</v>
      </c>
      <c r="S94" s="339">
        <v>0</v>
      </c>
      <c r="T94" s="339">
        <f>SUM(T95:T99)</f>
        <v>96110</v>
      </c>
    </row>
    <row r="95" spans="1:20" outlineLevel="3" x14ac:dyDescent="0.25">
      <c r="A95" s="340"/>
      <c r="B95" s="341" t="s">
        <v>286</v>
      </c>
      <c r="C95" s="407"/>
      <c r="D95" s="273"/>
      <c r="E95" s="273">
        <v>53222</v>
      </c>
      <c r="F95" s="407"/>
      <c r="G95" s="273"/>
      <c r="H95" s="273">
        <v>55999</v>
      </c>
      <c r="I95" s="407"/>
      <c r="J95" s="273"/>
      <c r="K95" s="273">
        <v>55999</v>
      </c>
      <c r="L95" s="407"/>
      <c r="M95" s="273"/>
      <c r="N95" s="273">
        <v>53239</v>
      </c>
      <c r="O95" s="407"/>
      <c r="P95" s="273"/>
      <c r="Q95" s="273">
        <v>56100</v>
      </c>
      <c r="R95" s="407"/>
      <c r="S95" s="273"/>
      <c r="T95" s="273">
        <f>56100+1373</f>
        <v>57473</v>
      </c>
    </row>
    <row r="96" spans="1:20" outlineLevel="3" x14ac:dyDescent="0.25">
      <c r="A96" s="340"/>
      <c r="B96" s="341" t="s">
        <v>350</v>
      </c>
      <c r="C96" s="407"/>
      <c r="D96" s="273"/>
      <c r="E96" s="273">
        <v>10283</v>
      </c>
      <c r="F96" s="407"/>
      <c r="G96" s="273"/>
      <c r="H96" s="273">
        <v>10538</v>
      </c>
      <c r="I96" s="407"/>
      <c r="J96" s="273"/>
      <c r="K96" s="273">
        <v>10538</v>
      </c>
      <c r="L96" s="407"/>
      <c r="M96" s="273"/>
      <c r="N96" s="273">
        <v>9662</v>
      </c>
      <c r="O96" s="407"/>
      <c r="P96" s="273"/>
      <c r="Q96" s="273">
        <v>10659</v>
      </c>
      <c r="R96" s="407"/>
      <c r="S96" s="273"/>
      <c r="T96" s="273">
        <f>10659+267</f>
        <v>10926</v>
      </c>
    </row>
    <row r="97" spans="1:20" outlineLevel="3" x14ac:dyDescent="0.25">
      <c r="A97" s="340"/>
      <c r="B97" s="341" t="s">
        <v>292</v>
      </c>
      <c r="C97" s="407"/>
      <c r="D97" s="273"/>
      <c r="E97" s="273">
        <v>19107</v>
      </c>
      <c r="F97" s="407"/>
      <c r="G97" s="273"/>
      <c r="H97" s="273">
        <v>20431</v>
      </c>
      <c r="I97" s="407"/>
      <c r="J97" s="273"/>
      <c r="K97" s="273">
        <v>20431</v>
      </c>
      <c r="L97" s="407"/>
      <c r="M97" s="273"/>
      <c r="N97" s="273">
        <v>19781</v>
      </c>
      <c r="O97" s="407"/>
      <c r="P97" s="273"/>
      <c r="Q97" s="273">
        <v>27007</v>
      </c>
      <c r="R97" s="407"/>
      <c r="S97" s="273"/>
      <c r="T97" s="273">
        <f>27007-635</f>
        <v>26372</v>
      </c>
    </row>
    <row r="98" spans="1:20" outlineLevel="3" x14ac:dyDescent="0.25">
      <c r="A98" s="340"/>
      <c r="B98" s="341" t="s">
        <v>339</v>
      </c>
      <c r="C98" s="407"/>
      <c r="D98" s="273"/>
      <c r="E98" s="273">
        <v>0</v>
      </c>
      <c r="F98" s="407"/>
      <c r="G98" s="273"/>
      <c r="H98" s="273">
        <v>0</v>
      </c>
      <c r="I98" s="407"/>
      <c r="J98" s="273"/>
      <c r="K98" s="273">
        <v>0</v>
      </c>
      <c r="L98" s="407"/>
      <c r="M98" s="273"/>
      <c r="N98" s="273">
        <v>0</v>
      </c>
      <c r="O98" s="407"/>
      <c r="P98" s="273"/>
      <c r="Q98" s="273">
        <v>0</v>
      </c>
      <c r="R98" s="407"/>
      <c r="S98" s="273"/>
      <c r="T98" s="273">
        <v>0</v>
      </c>
    </row>
    <row r="99" spans="1:20" outlineLevel="3" x14ac:dyDescent="0.25">
      <c r="A99" s="340"/>
      <c r="B99" s="341" t="s">
        <v>351</v>
      </c>
      <c r="C99" s="407"/>
      <c r="D99" s="273"/>
      <c r="E99" s="687">
        <v>635</v>
      </c>
      <c r="F99" s="407"/>
      <c r="G99" s="273"/>
      <c r="H99" s="687">
        <v>685</v>
      </c>
      <c r="I99" s="407"/>
      <c r="J99" s="273"/>
      <c r="K99" s="687">
        <v>685</v>
      </c>
      <c r="L99" s="407"/>
      <c r="M99" s="273"/>
      <c r="N99" s="273">
        <v>0</v>
      </c>
      <c r="O99" s="407"/>
      <c r="P99" s="273"/>
      <c r="Q99" s="687">
        <v>250</v>
      </c>
      <c r="R99" s="407"/>
      <c r="S99" s="273"/>
      <c r="T99" s="687">
        <f>250+635+454</f>
        <v>1339</v>
      </c>
    </row>
    <row r="100" spans="1:20" outlineLevel="2" x14ac:dyDescent="0.25">
      <c r="A100" s="337" t="s">
        <v>322</v>
      </c>
      <c r="B100" s="338" t="s">
        <v>364</v>
      </c>
      <c r="C100" s="406">
        <v>6</v>
      </c>
      <c r="D100" s="339">
        <v>0</v>
      </c>
      <c r="E100" s="339">
        <v>28276</v>
      </c>
      <c r="F100" s="406">
        <v>6</v>
      </c>
      <c r="G100" s="339">
        <v>0</v>
      </c>
      <c r="H100" s="339">
        <v>27316</v>
      </c>
      <c r="I100" s="406">
        <v>6</v>
      </c>
      <c r="J100" s="339">
        <v>0</v>
      </c>
      <c r="K100" s="339">
        <v>27316</v>
      </c>
      <c r="L100" s="406">
        <v>6</v>
      </c>
      <c r="M100" s="339">
        <v>0</v>
      </c>
      <c r="N100" s="339">
        <v>25172</v>
      </c>
      <c r="O100" s="406">
        <v>6</v>
      </c>
      <c r="P100" s="339">
        <v>0</v>
      </c>
      <c r="Q100" s="339">
        <f>SUM(Q101:Q104)</f>
        <v>28601</v>
      </c>
      <c r="R100" s="406">
        <v>6</v>
      </c>
      <c r="S100" s="339">
        <v>0</v>
      </c>
      <c r="T100" s="339">
        <f>SUM(T101:T104)</f>
        <v>28601</v>
      </c>
    </row>
    <row r="101" spans="1:20" outlineLevel="3" x14ac:dyDescent="0.25">
      <c r="A101" s="340"/>
      <c r="B101" s="341" t="s">
        <v>286</v>
      </c>
      <c r="C101" s="407"/>
      <c r="D101" s="273"/>
      <c r="E101" s="273">
        <v>19406</v>
      </c>
      <c r="F101" s="407"/>
      <c r="G101" s="273"/>
      <c r="H101" s="273">
        <v>19412</v>
      </c>
      <c r="I101" s="407"/>
      <c r="J101" s="273"/>
      <c r="K101" s="273">
        <v>19412</v>
      </c>
      <c r="L101" s="407"/>
      <c r="M101" s="273"/>
      <c r="N101" s="273">
        <v>18776</v>
      </c>
      <c r="O101" s="407"/>
      <c r="P101" s="273"/>
      <c r="Q101" s="273">
        <v>20094</v>
      </c>
      <c r="R101" s="407"/>
      <c r="S101" s="273"/>
      <c r="T101" s="273">
        <v>20094</v>
      </c>
    </row>
    <row r="102" spans="1:20" outlineLevel="3" x14ac:dyDescent="0.25">
      <c r="A102" s="340"/>
      <c r="B102" s="341" t="s">
        <v>350</v>
      </c>
      <c r="C102" s="407"/>
      <c r="D102" s="273"/>
      <c r="E102" s="273">
        <v>3776</v>
      </c>
      <c r="F102" s="407"/>
      <c r="G102" s="273"/>
      <c r="H102" s="273">
        <v>3776</v>
      </c>
      <c r="I102" s="407"/>
      <c r="J102" s="273"/>
      <c r="K102" s="273">
        <v>3776</v>
      </c>
      <c r="L102" s="407"/>
      <c r="M102" s="273"/>
      <c r="N102" s="273">
        <v>3207</v>
      </c>
      <c r="O102" s="407"/>
      <c r="P102" s="273"/>
      <c r="Q102" s="273">
        <v>3818</v>
      </c>
      <c r="R102" s="407"/>
      <c r="S102" s="273"/>
      <c r="T102" s="273">
        <v>3818</v>
      </c>
    </row>
    <row r="103" spans="1:20" outlineLevel="3" x14ac:dyDescent="0.25">
      <c r="A103" s="340"/>
      <c r="B103" s="341" t="s">
        <v>292</v>
      </c>
      <c r="C103" s="407"/>
      <c r="D103" s="273"/>
      <c r="E103" s="273">
        <v>4459</v>
      </c>
      <c r="F103" s="407"/>
      <c r="G103" s="273"/>
      <c r="H103" s="273">
        <v>3793</v>
      </c>
      <c r="I103" s="407"/>
      <c r="J103" s="273"/>
      <c r="K103" s="273">
        <v>3793</v>
      </c>
      <c r="L103" s="407"/>
      <c r="M103" s="273"/>
      <c r="N103" s="273">
        <v>3189</v>
      </c>
      <c r="O103" s="407"/>
      <c r="P103" s="273"/>
      <c r="Q103" s="273">
        <v>4689</v>
      </c>
      <c r="R103" s="407"/>
      <c r="S103" s="273"/>
      <c r="T103" s="273">
        <v>4689</v>
      </c>
    </row>
    <row r="104" spans="1:20" outlineLevel="3" x14ac:dyDescent="0.25">
      <c r="A104" s="340"/>
      <c r="B104" s="341" t="s">
        <v>351</v>
      </c>
      <c r="C104" s="407"/>
      <c r="D104" s="273"/>
      <c r="E104" s="273">
        <v>635</v>
      </c>
      <c r="F104" s="407"/>
      <c r="G104" s="273"/>
      <c r="H104" s="273">
        <v>335</v>
      </c>
      <c r="I104" s="407"/>
      <c r="J104" s="273"/>
      <c r="K104" s="273">
        <v>335</v>
      </c>
      <c r="L104" s="407"/>
      <c r="M104" s="273"/>
      <c r="N104" s="273">
        <v>0</v>
      </c>
      <c r="O104" s="407"/>
      <c r="P104" s="273"/>
      <c r="Q104" s="273">
        <v>0</v>
      </c>
      <c r="R104" s="407"/>
      <c r="S104" s="273"/>
      <c r="T104" s="273">
        <v>0</v>
      </c>
    </row>
    <row r="105" spans="1:20" outlineLevel="2" x14ac:dyDescent="0.25">
      <c r="A105" s="337" t="s">
        <v>315</v>
      </c>
      <c r="B105" s="338" t="s">
        <v>365</v>
      </c>
      <c r="C105" s="406">
        <v>0</v>
      </c>
      <c r="D105" s="339">
        <v>0</v>
      </c>
      <c r="E105" s="339">
        <v>15024</v>
      </c>
      <c r="F105" s="406">
        <v>0</v>
      </c>
      <c r="G105" s="339">
        <v>0</v>
      </c>
      <c r="H105" s="339">
        <v>15258</v>
      </c>
      <c r="I105" s="406">
        <v>0</v>
      </c>
      <c r="J105" s="339">
        <v>0</v>
      </c>
      <c r="K105" s="339">
        <v>15258</v>
      </c>
      <c r="L105" s="406">
        <v>0</v>
      </c>
      <c r="M105" s="339">
        <v>0</v>
      </c>
      <c r="N105" s="339">
        <v>18074</v>
      </c>
      <c r="O105" s="406">
        <v>0</v>
      </c>
      <c r="P105" s="339">
        <v>0</v>
      </c>
      <c r="Q105" s="339">
        <f>SUM(Q108)</f>
        <v>17289.68</v>
      </c>
      <c r="R105" s="406">
        <v>0</v>
      </c>
      <c r="S105" s="339">
        <v>0</v>
      </c>
      <c r="T105" s="339">
        <f>SUM(T108)</f>
        <v>17289.68</v>
      </c>
    </row>
    <row r="106" spans="1:20" hidden="1" outlineLevel="3" x14ac:dyDescent="0.25">
      <c r="A106" s="340"/>
      <c r="B106" s="341" t="s">
        <v>286</v>
      </c>
      <c r="C106" s="407"/>
      <c r="D106" s="273"/>
      <c r="E106" s="273">
        <v>0</v>
      </c>
      <c r="F106" s="407"/>
      <c r="G106" s="273"/>
      <c r="H106" s="273">
        <v>0</v>
      </c>
      <c r="I106" s="407"/>
      <c r="J106" s="273"/>
      <c r="K106" s="273">
        <v>0</v>
      </c>
      <c r="L106" s="407"/>
      <c r="M106" s="273"/>
      <c r="N106" s="273"/>
      <c r="O106" s="407"/>
      <c r="P106" s="273"/>
      <c r="Q106" s="273"/>
      <c r="R106" s="407"/>
      <c r="S106" s="273"/>
      <c r="T106" s="273"/>
    </row>
    <row r="107" spans="1:20" hidden="1" outlineLevel="3" x14ac:dyDescent="0.25">
      <c r="A107" s="340"/>
      <c r="B107" s="341" t="s">
        <v>350</v>
      </c>
      <c r="C107" s="407"/>
      <c r="D107" s="273"/>
      <c r="E107" s="273">
        <v>0</v>
      </c>
      <c r="F107" s="407"/>
      <c r="G107" s="273"/>
      <c r="H107" s="273">
        <v>0</v>
      </c>
      <c r="I107" s="407"/>
      <c r="J107" s="273"/>
      <c r="K107" s="273">
        <v>0</v>
      </c>
      <c r="L107" s="407"/>
      <c r="M107" s="273"/>
      <c r="N107" s="273"/>
      <c r="O107" s="407"/>
      <c r="P107" s="273"/>
      <c r="Q107" s="273"/>
      <c r="R107" s="407"/>
      <c r="S107" s="273"/>
      <c r="T107" s="273"/>
    </row>
    <row r="108" spans="1:20" outlineLevel="3" x14ac:dyDescent="0.25">
      <c r="A108" s="340"/>
      <c r="B108" s="341" t="s">
        <v>292</v>
      </c>
      <c r="C108" s="407"/>
      <c r="D108" s="273"/>
      <c r="E108" s="273">
        <v>15024</v>
      </c>
      <c r="F108" s="407"/>
      <c r="G108" s="273"/>
      <c r="H108" s="273">
        <v>15258</v>
      </c>
      <c r="I108" s="407"/>
      <c r="J108" s="273"/>
      <c r="K108" s="273">
        <v>15258</v>
      </c>
      <c r="L108" s="407"/>
      <c r="M108" s="273"/>
      <c r="N108" s="273">
        <v>18074</v>
      </c>
      <c r="O108" s="407"/>
      <c r="P108" s="273"/>
      <c r="Q108" s="273">
        <v>17289.68</v>
      </c>
      <c r="R108" s="407"/>
      <c r="S108" s="273"/>
      <c r="T108" s="273">
        <v>17289.68</v>
      </c>
    </row>
    <row r="109" spans="1:20" hidden="1" outlineLevel="3" x14ac:dyDescent="0.25">
      <c r="A109" s="340"/>
      <c r="B109" s="341" t="s">
        <v>351</v>
      </c>
      <c r="C109" s="407"/>
      <c r="D109" s="273"/>
      <c r="E109" s="273">
        <v>0</v>
      </c>
      <c r="F109" s="407"/>
      <c r="G109" s="273"/>
      <c r="H109" s="273">
        <v>0</v>
      </c>
      <c r="I109" s="407"/>
      <c r="J109" s="273"/>
      <c r="K109" s="273">
        <v>0</v>
      </c>
      <c r="L109" s="407"/>
      <c r="M109" s="273"/>
      <c r="N109" s="273"/>
      <c r="O109" s="407"/>
      <c r="P109" s="273"/>
      <c r="Q109" s="273"/>
      <c r="R109" s="407"/>
      <c r="S109" s="273"/>
      <c r="T109" s="273"/>
    </row>
    <row r="110" spans="1:20" outlineLevel="1" x14ac:dyDescent="0.25">
      <c r="A110" s="337" t="s">
        <v>318</v>
      </c>
      <c r="B110" s="338" t="s">
        <v>353</v>
      </c>
      <c r="C110" s="406">
        <v>0</v>
      </c>
      <c r="D110" s="339">
        <v>0</v>
      </c>
      <c r="E110" s="339">
        <v>0</v>
      </c>
      <c r="F110" s="406">
        <v>0</v>
      </c>
      <c r="G110" s="339">
        <v>0</v>
      </c>
      <c r="H110" s="339">
        <v>2212</v>
      </c>
      <c r="I110" s="406">
        <v>0</v>
      </c>
      <c r="J110" s="339">
        <v>0</v>
      </c>
      <c r="K110" s="339">
        <v>2212</v>
      </c>
      <c r="L110" s="406">
        <v>0</v>
      </c>
      <c r="M110" s="339">
        <v>0</v>
      </c>
      <c r="N110" s="339">
        <v>0</v>
      </c>
      <c r="O110" s="406">
        <v>0</v>
      </c>
      <c r="P110" s="339">
        <v>0</v>
      </c>
      <c r="Q110" s="339">
        <v>0</v>
      </c>
      <c r="R110" s="406">
        <v>0</v>
      </c>
      <c r="S110" s="339">
        <v>0</v>
      </c>
      <c r="T110" s="339">
        <v>0</v>
      </c>
    </row>
    <row r="111" spans="1:20" s="47" customFormat="1" hidden="1" collapsed="1" x14ac:dyDescent="0.25">
      <c r="A111" s="337" t="s">
        <v>311</v>
      </c>
      <c r="B111" s="338" t="s">
        <v>1503</v>
      </c>
      <c r="C111" s="406"/>
      <c r="D111" s="339"/>
      <c r="E111" s="339"/>
      <c r="F111" s="406"/>
      <c r="G111" s="339"/>
      <c r="H111" s="339">
        <v>2212</v>
      </c>
      <c r="I111" s="406"/>
      <c r="J111" s="339"/>
      <c r="K111" s="339">
        <v>2212</v>
      </c>
      <c r="L111" s="406"/>
      <c r="M111" s="339"/>
      <c r="N111" s="339">
        <v>0</v>
      </c>
      <c r="O111" s="406"/>
      <c r="P111" s="339"/>
      <c r="Q111" s="339">
        <v>0</v>
      </c>
      <c r="R111" s="406"/>
      <c r="S111" s="339"/>
      <c r="T111" s="339">
        <v>0</v>
      </c>
    </row>
    <row r="112" spans="1:20" s="160" customFormat="1" hidden="1" outlineLevel="1" x14ac:dyDescent="0.25">
      <c r="A112" s="729"/>
      <c r="B112" s="370" t="s">
        <v>286</v>
      </c>
      <c r="C112" s="730"/>
      <c r="D112" s="345"/>
      <c r="E112" s="345"/>
      <c r="F112" s="730"/>
      <c r="G112" s="345"/>
      <c r="H112" s="345">
        <v>128</v>
      </c>
      <c r="I112" s="730"/>
      <c r="J112" s="345"/>
      <c r="K112" s="345">
        <v>128</v>
      </c>
      <c r="L112" s="730"/>
      <c r="M112" s="345"/>
      <c r="N112" s="339">
        <v>0</v>
      </c>
      <c r="O112" s="730"/>
      <c r="P112" s="345"/>
      <c r="Q112" s="345">
        <v>0</v>
      </c>
      <c r="R112" s="730"/>
      <c r="S112" s="345"/>
      <c r="T112" s="345">
        <v>0</v>
      </c>
    </row>
    <row r="113" spans="1:20" s="160" customFormat="1" hidden="1" outlineLevel="1" x14ac:dyDescent="0.25">
      <c r="A113" s="729"/>
      <c r="B113" s="370" t="s">
        <v>350</v>
      </c>
      <c r="C113" s="730"/>
      <c r="D113" s="345"/>
      <c r="E113" s="345"/>
      <c r="F113" s="730"/>
      <c r="G113" s="345"/>
      <c r="H113" s="345">
        <v>49</v>
      </c>
      <c r="I113" s="730"/>
      <c r="J113" s="345"/>
      <c r="K113" s="345">
        <v>49</v>
      </c>
      <c r="L113" s="730"/>
      <c r="M113" s="345"/>
      <c r="N113" s="345">
        <v>0</v>
      </c>
      <c r="O113" s="730"/>
      <c r="P113" s="345"/>
      <c r="Q113" s="345">
        <v>0</v>
      </c>
      <c r="R113" s="730"/>
      <c r="S113" s="345"/>
      <c r="T113" s="345">
        <v>0</v>
      </c>
    </row>
    <row r="114" spans="1:20" s="160" customFormat="1" hidden="1" outlineLevel="1" x14ac:dyDescent="0.25">
      <c r="A114" s="729"/>
      <c r="B114" s="370" t="s">
        <v>292</v>
      </c>
      <c r="C114" s="730"/>
      <c r="D114" s="345"/>
      <c r="E114" s="345"/>
      <c r="F114" s="730"/>
      <c r="G114" s="345"/>
      <c r="H114" s="345">
        <v>1960</v>
      </c>
      <c r="I114" s="730"/>
      <c r="J114" s="345"/>
      <c r="K114" s="345">
        <v>1960</v>
      </c>
      <c r="L114" s="730"/>
      <c r="M114" s="345"/>
      <c r="N114" s="345">
        <v>0</v>
      </c>
      <c r="O114" s="730"/>
      <c r="P114" s="345"/>
      <c r="Q114" s="345">
        <v>0</v>
      </c>
      <c r="R114" s="730"/>
      <c r="S114" s="345"/>
      <c r="T114" s="345">
        <v>0</v>
      </c>
    </row>
    <row r="115" spans="1:20" s="160" customFormat="1" hidden="1" outlineLevel="1" x14ac:dyDescent="0.25">
      <c r="A115" s="729"/>
      <c r="B115" s="370" t="s">
        <v>351</v>
      </c>
      <c r="C115" s="730"/>
      <c r="D115" s="345"/>
      <c r="E115" s="345"/>
      <c r="F115" s="730"/>
      <c r="G115" s="345"/>
      <c r="H115" s="345">
        <v>75</v>
      </c>
      <c r="I115" s="730"/>
      <c r="J115" s="345"/>
      <c r="K115" s="345">
        <v>75</v>
      </c>
      <c r="L115" s="730"/>
      <c r="M115" s="345"/>
      <c r="N115" s="345"/>
      <c r="O115" s="730"/>
      <c r="P115" s="345"/>
      <c r="Q115" s="345"/>
      <c r="R115" s="730"/>
      <c r="S115" s="345"/>
      <c r="T115" s="345"/>
    </row>
    <row r="116" spans="1:20" x14ac:dyDescent="0.25">
      <c r="A116" s="364" t="s">
        <v>1455</v>
      </c>
      <c r="B116" s="365" t="s">
        <v>1301</v>
      </c>
      <c r="C116" s="404">
        <v>24</v>
      </c>
      <c r="D116" s="366">
        <v>0</v>
      </c>
      <c r="E116" s="366">
        <v>124624</v>
      </c>
      <c r="F116" s="404">
        <v>24</v>
      </c>
      <c r="G116" s="366">
        <v>0</v>
      </c>
      <c r="H116" s="366">
        <v>125924</v>
      </c>
      <c r="I116" s="404">
        <v>24</v>
      </c>
      <c r="J116" s="366">
        <v>0</v>
      </c>
      <c r="K116" s="366">
        <v>125924</v>
      </c>
      <c r="L116" s="404">
        <v>24</v>
      </c>
      <c r="M116" s="366">
        <v>0</v>
      </c>
      <c r="N116" s="366">
        <v>121547</v>
      </c>
      <c r="O116" s="404">
        <v>24</v>
      </c>
      <c r="P116" s="366">
        <v>0</v>
      </c>
      <c r="Q116" s="366">
        <f>+Q117+Q129</f>
        <v>134852</v>
      </c>
      <c r="R116" s="404">
        <v>24</v>
      </c>
      <c r="S116" s="366">
        <v>0</v>
      </c>
      <c r="T116" s="366">
        <f>+T117+T129</f>
        <v>136284</v>
      </c>
    </row>
    <row r="117" spans="1:20" outlineLevel="1" x14ac:dyDescent="0.25">
      <c r="A117" s="337" t="s">
        <v>309</v>
      </c>
      <c r="B117" s="338" t="s">
        <v>348</v>
      </c>
      <c r="C117" s="406">
        <v>24</v>
      </c>
      <c r="D117" s="339">
        <v>0</v>
      </c>
      <c r="E117" s="339">
        <v>124624</v>
      </c>
      <c r="F117" s="406">
        <v>24</v>
      </c>
      <c r="G117" s="339">
        <v>0</v>
      </c>
      <c r="H117" s="339">
        <v>125924</v>
      </c>
      <c r="I117" s="406">
        <v>24</v>
      </c>
      <c r="J117" s="339">
        <v>0</v>
      </c>
      <c r="K117" s="339">
        <v>125924</v>
      </c>
      <c r="L117" s="406">
        <v>24</v>
      </c>
      <c r="M117" s="339">
        <v>0</v>
      </c>
      <c r="N117" s="339">
        <v>121547</v>
      </c>
      <c r="O117" s="406">
        <v>24</v>
      </c>
      <c r="P117" s="339">
        <v>0</v>
      </c>
      <c r="Q117" s="339">
        <f>+Q118+Q124</f>
        <v>134852</v>
      </c>
      <c r="R117" s="406">
        <v>24</v>
      </c>
      <c r="S117" s="339">
        <v>0</v>
      </c>
      <c r="T117" s="339">
        <f>+T118+T124</f>
        <v>136284</v>
      </c>
    </row>
    <row r="118" spans="1:20" outlineLevel="2" x14ac:dyDescent="0.25">
      <c r="A118" s="337" t="s">
        <v>311</v>
      </c>
      <c r="B118" s="338" t="s">
        <v>366</v>
      </c>
      <c r="C118" s="406">
        <v>24</v>
      </c>
      <c r="D118" s="339">
        <v>0</v>
      </c>
      <c r="E118" s="339">
        <v>116396</v>
      </c>
      <c r="F118" s="406">
        <v>24</v>
      </c>
      <c r="G118" s="339">
        <v>0</v>
      </c>
      <c r="H118" s="339">
        <v>117696</v>
      </c>
      <c r="I118" s="406">
        <v>24</v>
      </c>
      <c r="J118" s="339">
        <v>0</v>
      </c>
      <c r="K118" s="339">
        <v>117696</v>
      </c>
      <c r="L118" s="406">
        <v>24</v>
      </c>
      <c r="M118" s="339">
        <v>0</v>
      </c>
      <c r="N118" s="339">
        <v>113978</v>
      </c>
      <c r="O118" s="406">
        <v>24</v>
      </c>
      <c r="P118" s="339">
        <v>0</v>
      </c>
      <c r="Q118" s="339">
        <f>SUM(Q119:Q123)</f>
        <v>126365</v>
      </c>
      <c r="R118" s="406">
        <v>24</v>
      </c>
      <c r="S118" s="339">
        <v>0</v>
      </c>
      <c r="T118" s="339">
        <f>SUM(T119:T123)</f>
        <v>127797</v>
      </c>
    </row>
    <row r="119" spans="1:20" outlineLevel="3" x14ac:dyDescent="0.25">
      <c r="A119" s="340"/>
      <c r="B119" s="341" t="s">
        <v>286</v>
      </c>
      <c r="C119" s="407"/>
      <c r="D119" s="273"/>
      <c r="E119" s="273">
        <v>81237</v>
      </c>
      <c r="F119" s="407"/>
      <c r="G119" s="273"/>
      <c r="H119" s="273">
        <v>81237</v>
      </c>
      <c r="I119" s="407"/>
      <c r="J119" s="273"/>
      <c r="K119" s="273">
        <v>81237</v>
      </c>
      <c r="L119" s="407"/>
      <c r="M119" s="273"/>
      <c r="N119" s="273">
        <v>80375</v>
      </c>
      <c r="O119" s="407"/>
      <c r="P119" s="273"/>
      <c r="Q119" s="273">
        <v>89678</v>
      </c>
      <c r="R119" s="407"/>
      <c r="S119" s="273"/>
      <c r="T119" s="273">
        <v>89678</v>
      </c>
    </row>
    <row r="120" spans="1:20" outlineLevel="3" x14ac:dyDescent="0.25">
      <c r="A120" s="337"/>
      <c r="B120" s="341" t="s">
        <v>350</v>
      </c>
      <c r="C120" s="407"/>
      <c r="D120" s="345"/>
      <c r="E120" s="345">
        <v>15948</v>
      </c>
      <c r="F120" s="407"/>
      <c r="G120" s="345"/>
      <c r="H120" s="345">
        <v>15948</v>
      </c>
      <c r="I120" s="407"/>
      <c r="J120" s="345"/>
      <c r="K120" s="345">
        <v>15948</v>
      </c>
      <c r="L120" s="407"/>
      <c r="M120" s="345"/>
      <c r="N120" s="345">
        <v>16146</v>
      </c>
      <c r="O120" s="407"/>
      <c r="P120" s="345"/>
      <c r="Q120" s="345">
        <v>17039</v>
      </c>
      <c r="R120" s="407"/>
      <c r="S120" s="345"/>
      <c r="T120" s="345">
        <v>17039</v>
      </c>
    </row>
    <row r="121" spans="1:20" outlineLevel="3" x14ac:dyDescent="0.25">
      <c r="A121" s="340"/>
      <c r="B121" s="341" t="s">
        <v>292</v>
      </c>
      <c r="C121" s="407"/>
      <c r="D121" s="273"/>
      <c r="E121" s="273">
        <v>17599</v>
      </c>
      <c r="F121" s="407"/>
      <c r="G121" s="273"/>
      <c r="H121" s="273">
        <v>17506</v>
      </c>
      <c r="I121" s="407"/>
      <c r="J121" s="273"/>
      <c r="K121" s="273">
        <v>17506</v>
      </c>
      <c r="L121" s="407"/>
      <c r="M121" s="273"/>
      <c r="N121" s="273">
        <v>13622</v>
      </c>
      <c r="O121" s="407"/>
      <c r="P121" s="273"/>
      <c r="Q121" s="273">
        <v>16663</v>
      </c>
      <c r="R121" s="407"/>
      <c r="S121" s="273"/>
      <c r="T121" s="273">
        <f>16663+1432</f>
        <v>18095</v>
      </c>
    </row>
    <row r="122" spans="1:20" outlineLevel="3" x14ac:dyDescent="0.25">
      <c r="A122" s="340"/>
      <c r="B122" s="341" t="s">
        <v>339</v>
      </c>
      <c r="C122" s="407"/>
      <c r="D122" s="273"/>
      <c r="E122" s="273">
        <v>0</v>
      </c>
      <c r="F122" s="407"/>
      <c r="G122" s="273"/>
      <c r="H122" s="273">
        <v>1225</v>
      </c>
      <c r="I122" s="407"/>
      <c r="J122" s="273"/>
      <c r="K122" s="273">
        <v>1225</v>
      </c>
      <c r="L122" s="407"/>
      <c r="M122" s="273"/>
      <c r="N122" s="273">
        <v>1225</v>
      </c>
      <c r="O122" s="407"/>
      <c r="P122" s="273"/>
      <c r="Q122" s="273">
        <v>0</v>
      </c>
      <c r="R122" s="407"/>
      <c r="S122" s="273"/>
      <c r="T122" s="273">
        <v>0</v>
      </c>
    </row>
    <row r="123" spans="1:20" outlineLevel="3" x14ac:dyDescent="0.25">
      <c r="A123" s="340"/>
      <c r="B123" s="341" t="s">
        <v>351</v>
      </c>
      <c r="C123" s="407"/>
      <c r="D123" s="273"/>
      <c r="E123" s="273">
        <v>1612</v>
      </c>
      <c r="F123" s="407"/>
      <c r="G123" s="273"/>
      <c r="H123" s="273">
        <v>1780</v>
      </c>
      <c r="I123" s="407"/>
      <c r="J123" s="273"/>
      <c r="K123" s="273">
        <v>1780</v>
      </c>
      <c r="L123" s="407"/>
      <c r="M123" s="273"/>
      <c r="N123" s="273">
        <v>2610</v>
      </c>
      <c r="O123" s="407"/>
      <c r="P123" s="273"/>
      <c r="Q123" s="273">
        <v>2985</v>
      </c>
      <c r="R123" s="407"/>
      <c r="S123" s="273"/>
      <c r="T123" s="273">
        <v>2985</v>
      </c>
    </row>
    <row r="124" spans="1:20" outlineLevel="2" x14ac:dyDescent="0.25">
      <c r="A124" s="337" t="s">
        <v>322</v>
      </c>
      <c r="B124" s="338" t="s">
        <v>367</v>
      </c>
      <c r="C124" s="406">
        <v>0</v>
      </c>
      <c r="D124" s="339">
        <v>0</v>
      </c>
      <c r="E124" s="339">
        <v>8228</v>
      </c>
      <c r="F124" s="406">
        <v>0</v>
      </c>
      <c r="G124" s="339">
        <v>0</v>
      </c>
      <c r="H124" s="339">
        <v>8228</v>
      </c>
      <c r="I124" s="406">
        <v>0</v>
      </c>
      <c r="J124" s="339">
        <v>0</v>
      </c>
      <c r="K124" s="339">
        <v>8228</v>
      </c>
      <c r="L124" s="406">
        <v>0</v>
      </c>
      <c r="M124" s="339">
        <v>0</v>
      </c>
      <c r="N124" s="339">
        <v>7569</v>
      </c>
      <c r="O124" s="406">
        <v>0</v>
      </c>
      <c r="P124" s="339">
        <v>0</v>
      </c>
      <c r="Q124" s="339">
        <f>+Q127</f>
        <v>8487</v>
      </c>
      <c r="R124" s="406">
        <v>0</v>
      </c>
      <c r="S124" s="339">
        <v>0</v>
      </c>
      <c r="T124" s="339">
        <f>+T127</f>
        <v>8487</v>
      </c>
    </row>
    <row r="125" spans="1:20" hidden="1" outlineLevel="3" x14ac:dyDescent="0.25">
      <c r="A125" s="340"/>
      <c r="B125" s="341" t="s">
        <v>286</v>
      </c>
      <c r="C125" s="407"/>
      <c r="D125" s="273"/>
      <c r="E125" s="273">
        <v>0</v>
      </c>
      <c r="F125" s="407"/>
      <c r="G125" s="273"/>
      <c r="H125" s="273">
        <v>0</v>
      </c>
      <c r="I125" s="407"/>
      <c r="J125" s="273"/>
      <c r="K125" s="273">
        <v>0</v>
      </c>
      <c r="L125" s="407"/>
      <c r="M125" s="273"/>
      <c r="N125" s="273">
        <v>0</v>
      </c>
      <c r="O125" s="407"/>
      <c r="P125" s="273"/>
      <c r="Q125" s="273">
        <v>0</v>
      </c>
      <c r="R125" s="407"/>
      <c r="S125" s="273"/>
      <c r="T125" s="273">
        <v>0</v>
      </c>
    </row>
    <row r="126" spans="1:20" hidden="1" outlineLevel="3" x14ac:dyDescent="0.25">
      <c r="A126" s="367"/>
      <c r="B126" s="341" t="s">
        <v>350</v>
      </c>
      <c r="C126" s="409"/>
      <c r="D126" s="371"/>
      <c r="E126" s="371">
        <v>0</v>
      </c>
      <c r="F126" s="409"/>
      <c r="G126" s="371"/>
      <c r="H126" s="371">
        <v>0</v>
      </c>
      <c r="I126" s="409"/>
      <c r="J126" s="371"/>
      <c r="K126" s="371">
        <v>0</v>
      </c>
      <c r="L126" s="409"/>
      <c r="M126" s="371"/>
      <c r="N126" s="371">
        <v>0</v>
      </c>
      <c r="O126" s="409"/>
      <c r="P126" s="371"/>
      <c r="Q126" s="371">
        <v>0</v>
      </c>
      <c r="R126" s="409"/>
      <c r="S126" s="371"/>
      <c r="T126" s="371">
        <v>0</v>
      </c>
    </row>
    <row r="127" spans="1:20" s="47" customFormat="1" outlineLevel="3" x14ac:dyDescent="0.25">
      <c r="A127" s="337"/>
      <c r="B127" s="341" t="s">
        <v>292</v>
      </c>
      <c r="C127" s="407"/>
      <c r="D127" s="345"/>
      <c r="E127" s="345">
        <v>8228</v>
      </c>
      <c r="F127" s="407"/>
      <c r="G127" s="345"/>
      <c r="H127" s="345">
        <v>8228</v>
      </c>
      <c r="I127" s="407"/>
      <c r="J127" s="345"/>
      <c r="K127" s="345">
        <v>8228</v>
      </c>
      <c r="L127" s="407"/>
      <c r="M127" s="345"/>
      <c r="N127" s="345">
        <v>7569</v>
      </c>
      <c r="O127" s="407"/>
      <c r="P127" s="345"/>
      <c r="Q127" s="345">
        <v>8487</v>
      </c>
      <c r="R127" s="407"/>
      <c r="S127" s="345"/>
      <c r="T127" s="345">
        <v>8487</v>
      </c>
    </row>
    <row r="128" spans="1:20" hidden="1" outlineLevel="3" x14ac:dyDescent="0.25">
      <c r="A128" s="340"/>
      <c r="B128" s="341" t="s">
        <v>351</v>
      </c>
      <c r="C128" s="407"/>
      <c r="D128" s="273"/>
      <c r="E128" s="273">
        <v>0</v>
      </c>
      <c r="F128" s="407"/>
      <c r="G128" s="273"/>
      <c r="H128" s="273">
        <v>0</v>
      </c>
      <c r="I128" s="407"/>
      <c r="J128" s="273"/>
      <c r="K128" s="273">
        <v>0</v>
      </c>
      <c r="L128" s="407"/>
      <c r="M128" s="273"/>
      <c r="N128" s="273">
        <v>0</v>
      </c>
      <c r="O128" s="407"/>
      <c r="P128" s="273"/>
      <c r="Q128" s="273">
        <v>0</v>
      </c>
      <c r="R128" s="407"/>
      <c r="S128" s="273"/>
      <c r="T128" s="273">
        <v>0</v>
      </c>
    </row>
    <row r="129" spans="1:20" outlineLevel="1" x14ac:dyDescent="0.25">
      <c r="A129" s="337" t="s">
        <v>318</v>
      </c>
      <c r="B129" s="338" t="s">
        <v>353</v>
      </c>
      <c r="C129" s="406">
        <v>0</v>
      </c>
      <c r="D129" s="339">
        <v>0</v>
      </c>
      <c r="E129" s="339">
        <v>0</v>
      </c>
      <c r="F129" s="406">
        <v>0</v>
      </c>
      <c r="G129" s="339">
        <v>0</v>
      </c>
      <c r="H129" s="339">
        <v>0</v>
      </c>
      <c r="I129" s="406">
        <v>0</v>
      </c>
      <c r="J129" s="339">
        <v>0</v>
      </c>
      <c r="K129" s="339">
        <v>0</v>
      </c>
      <c r="L129" s="406">
        <v>0</v>
      </c>
      <c r="M129" s="339">
        <v>0</v>
      </c>
      <c r="N129" s="339">
        <v>0</v>
      </c>
      <c r="O129" s="406">
        <v>0</v>
      </c>
      <c r="P129" s="339">
        <v>0</v>
      </c>
      <c r="Q129" s="339">
        <v>0</v>
      </c>
      <c r="R129" s="406">
        <v>0</v>
      </c>
      <c r="S129" s="339">
        <v>0</v>
      </c>
      <c r="T129" s="339">
        <v>0</v>
      </c>
    </row>
    <row r="130" spans="1:20" x14ac:dyDescent="0.25">
      <c r="A130" s="364" t="s">
        <v>1456</v>
      </c>
      <c r="B130" s="365" t="s">
        <v>554</v>
      </c>
      <c r="C130" s="404">
        <v>69.5</v>
      </c>
      <c r="D130" s="366">
        <v>0</v>
      </c>
      <c r="E130" s="366">
        <v>747310.2</v>
      </c>
      <c r="F130" s="404">
        <v>69.5</v>
      </c>
      <c r="G130" s="366">
        <v>0</v>
      </c>
      <c r="H130" s="366">
        <v>780502</v>
      </c>
      <c r="I130" s="404">
        <v>69.5</v>
      </c>
      <c r="J130" s="366">
        <v>0</v>
      </c>
      <c r="K130" s="366">
        <v>780502</v>
      </c>
      <c r="L130" s="404">
        <v>69.5</v>
      </c>
      <c r="M130" s="366">
        <v>0</v>
      </c>
      <c r="N130" s="366">
        <v>710182</v>
      </c>
      <c r="O130" s="404">
        <v>69.5</v>
      </c>
      <c r="P130" s="366">
        <v>0</v>
      </c>
      <c r="Q130" s="366">
        <f>+Q131</f>
        <v>754089</v>
      </c>
      <c r="R130" s="404">
        <v>69.5</v>
      </c>
      <c r="S130" s="366">
        <v>0</v>
      </c>
      <c r="T130" s="366">
        <f>+T131</f>
        <v>760711</v>
      </c>
    </row>
    <row r="131" spans="1:20" outlineLevel="1" x14ac:dyDescent="0.25">
      <c r="A131" s="337" t="s">
        <v>309</v>
      </c>
      <c r="B131" s="338" t="s">
        <v>348</v>
      </c>
      <c r="C131" s="434">
        <v>69.5</v>
      </c>
      <c r="D131" s="339">
        <v>0</v>
      </c>
      <c r="E131" s="339">
        <v>747310.2</v>
      </c>
      <c r="F131" s="434">
        <v>69.5</v>
      </c>
      <c r="G131" s="339">
        <v>0</v>
      </c>
      <c r="H131" s="339">
        <v>780502</v>
      </c>
      <c r="I131" s="434">
        <v>69.5</v>
      </c>
      <c r="J131" s="339">
        <v>0</v>
      </c>
      <c r="K131" s="339">
        <v>780502</v>
      </c>
      <c r="L131" s="434">
        <v>69.5</v>
      </c>
      <c r="M131" s="339">
        <v>0</v>
      </c>
      <c r="N131" s="339">
        <v>710182</v>
      </c>
      <c r="O131" s="434">
        <v>69.5</v>
      </c>
      <c r="P131" s="339">
        <v>0</v>
      </c>
      <c r="Q131" s="339">
        <f>+Q132+Q137+Q142+Q145+Q148+Q151+Q156+Q161+Q165+Q171+Q176</f>
        <v>754089</v>
      </c>
      <c r="R131" s="434">
        <v>69.5</v>
      </c>
      <c r="S131" s="339">
        <v>0</v>
      </c>
      <c r="T131" s="339">
        <f>+T132+T137+T142+T145+T148+T151+T156+T161+T165+T171+T176</f>
        <v>760711</v>
      </c>
    </row>
    <row r="132" spans="1:20" outlineLevel="2" x14ac:dyDescent="0.25">
      <c r="A132" s="431" t="s">
        <v>311</v>
      </c>
      <c r="B132" s="432" t="s">
        <v>555</v>
      </c>
      <c r="C132" s="434">
        <v>5</v>
      </c>
      <c r="D132" s="434"/>
      <c r="E132" s="433">
        <v>72321.700000000012</v>
      </c>
      <c r="F132" s="434">
        <v>5</v>
      </c>
      <c r="G132" s="339">
        <v>0</v>
      </c>
      <c r="H132" s="433">
        <v>80918</v>
      </c>
      <c r="I132" s="434">
        <v>5</v>
      </c>
      <c r="J132" s="339">
        <v>0</v>
      </c>
      <c r="K132" s="433">
        <v>80918</v>
      </c>
      <c r="L132" s="434">
        <v>5</v>
      </c>
      <c r="M132" s="339">
        <v>0</v>
      </c>
      <c r="N132" s="339">
        <v>70992</v>
      </c>
      <c r="O132" s="434">
        <v>5</v>
      </c>
      <c r="P132" s="339">
        <v>0</v>
      </c>
      <c r="Q132" s="339">
        <f>SUM(Q133:Q136)</f>
        <v>82313</v>
      </c>
      <c r="R132" s="434">
        <v>5</v>
      </c>
      <c r="S132" s="339">
        <v>0</v>
      </c>
      <c r="T132" s="339">
        <f>SUM(T133:T136)</f>
        <v>82313</v>
      </c>
    </row>
    <row r="133" spans="1:20" outlineLevel="3" x14ac:dyDescent="0.25">
      <c r="A133" s="435"/>
      <c r="B133" s="418" t="s">
        <v>286</v>
      </c>
      <c r="C133" s="437"/>
      <c r="D133" s="437"/>
      <c r="E133" s="436">
        <v>19990</v>
      </c>
      <c r="F133" s="407"/>
      <c r="G133" s="273"/>
      <c r="H133" s="436">
        <v>21080</v>
      </c>
      <c r="I133" s="407"/>
      <c r="J133" s="273"/>
      <c r="K133" s="436">
        <v>21080</v>
      </c>
      <c r="L133" s="407"/>
      <c r="M133" s="273"/>
      <c r="N133" s="273">
        <v>18330</v>
      </c>
      <c r="O133" s="407"/>
      <c r="P133" s="273"/>
      <c r="Q133" s="273">
        <v>18510</v>
      </c>
      <c r="R133" s="407"/>
      <c r="S133" s="273"/>
      <c r="T133" s="273">
        <v>18510</v>
      </c>
    </row>
    <row r="134" spans="1:20" outlineLevel="3" x14ac:dyDescent="0.25">
      <c r="A134" s="435"/>
      <c r="B134" s="418" t="s">
        <v>350</v>
      </c>
      <c r="C134" s="437"/>
      <c r="D134" s="437"/>
      <c r="E134" s="436">
        <v>3904</v>
      </c>
      <c r="F134" s="407"/>
      <c r="G134" s="345"/>
      <c r="H134" s="436">
        <v>4160</v>
      </c>
      <c r="I134" s="407"/>
      <c r="J134" s="345"/>
      <c r="K134" s="436">
        <v>4160</v>
      </c>
      <c r="L134" s="407"/>
      <c r="M134" s="345"/>
      <c r="N134" s="345">
        <v>3277</v>
      </c>
      <c r="O134" s="407"/>
      <c r="P134" s="345"/>
      <c r="Q134" s="345">
        <v>3517</v>
      </c>
      <c r="R134" s="407"/>
      <c r="S134" s="345"/>
      <c r="T134" s="345">
        <v>3517</v>
      </c>
    </row>
    <row r="135" spans="1:20" outlineLevel="3" x14ac:dyDescent="0.25">
      <c r="A135" s="435"/>
      <c r="B135" s="418" t="s">
        <v>292</v>
      </c>
      <c r="C135" s="437"/>
      <c r="D135" s="437"/>
      <c r="E135" s="436">
        <v>48427.700000000004</v>
      </c>
      <c r="F135" s="407"/>
      <c r="G135" s="273"/>
      <c r="H135" s="436">
        <v>55678</v>
      </c>
      <c r="I135" s="407"/>
      <c r="J135" s="273"/>
      <c r="K135" s="436">
        <v>55678</v>
      </c>
      <c r="L135" s="407"/>
      <c r="M135" s="273"/>
      <c r="N135" s="273">
        <v>49385</v>
      </c>
      <c r="O135" s="407"/>
      <c r="P135" s="273"/>
      <c r="Q135" s="273">
        <v>60286</v>
      </c>
      <c r="R135" s="407"/>
      <c r="S135" s="273"/>
      <c r="T135" s="273">
        <v>60286</v>
      </c>
    </row>
    <row r="136" spans="1:20" outlineLevel="3" x14ac:dyDescent="0.25">
      <c r="A136" s="435"/>
      <c r="B136" s="418" t="s">
        <v>351</v>
      </c>
      <c r="C136" s="437"/>
      <c r="D136" s="437"/>
      <c r="E136" s="436">
        <v>0</v>
      </c>
      <c r="F136" s="407"/>
      <c r="G136" s="273"/>
      <c r="H136" s="436">
        <v>0</v>
      </c>
      <c r="I136" s="407"/>
      <c r="J136" s="273"/>
      <c r="K136" s="436">
        <v>0</v>
      </c>
      <c r="L136" s="407"/>
      <c r="M136" s="273"/>
      <c r="N136" s="273"/>
      <c r="O136" s="407"/>
      <c r="P136" s="273"/>
      <c r="Q136" s="273">
        <v>0</v>
      </c>
      <c r="R136" s="407"/>
      <c r="S136" s="273"/>
      <c r="T136" s="273">
        <v>0</v>
      </c>
    </row>
    <row r="137" spans="1:20" outlineLevel="2" x14ac:dyDescent="0.25">
      <c r="A137" s="431" t="s">
        <v>322</v>
      </c>
      <c r="B137" s="432" t="s">
        <v>556</v>
      </c>
      <c r="C137" s="434">
        <v>21</v>
      </c>
      <c r="D137" s="434"/>
      <c r="E137" s="433">
        <v>94208.5</v>
      </c>
      <c r="F137" s="434">
        <v>21</v>
      </c>
      <c r="G137" s="273"/>
      <c r="H137" s="433">
        <v>105695</v>
      </c>
      <c r="I137" s="434">
        <v>21</v>
      </c>
      <c r="J137" s="273"/>
      <c r="K137" s="433">
        <v>105695</v>
      </c>
      <c r="L137" s="434">
        <v>21</v>
      </c>
      <c r="M137" s="339">
        <v>0</v>
      </c>
      <c r="N137" s="339">
        <v>102436</v>
      </c>
      <c r="O137" s="434">
        <v>21</v>
      </c>
      <c r="P137" s="339">
        <v>0</v>
      </c>
      <c r="Q137" s="339">
        <f>SUM(Q138:Q141)</f>
        <v>115624</v>
      </c>
      <c r="R137" s="434">
        <v>21</v>
      </c>
      <c r="S137" s="339">
        <v>0</v>
      </c>
      <c r="T137" s="339">
        <f>SUM(T138:T141)</f>
        <v>115624</v>
      </c>
    </row>
    <row r="138" spans="1:20" outlineLevel="3" x14ac:dyDescent="0.25">
      <c r="A138" s="435"/>
      <c r="B138" s="418" t="s">
        <v>286</v>
      </c>
      <c r="C138" s="437"/>
      <c r="D138" s="437"/>
      <c r="E138" s="436">
        <v>55268</v>
      </c>
      <c r="F138" s="437"/>
      <c r="G138" s="339">
        <v>0</v>
      </c>
      <c r="H138" s="436">
        <v>59178</v>
      </c>
      <c r="I138" s="437"/>
      <c r="J138" s="339">
        <v>0</v>
      </c>
      <c r="K138" s="436">
        <v>59178</v>
      </c>
      <c r="L138" s="437"/>
      <c r="M138" s="339"/>
      <c r="N138" s="345">
        <v>54260</v>
      </c>
      <c r="O138" s="437"/>
      <c r="P138" s="339"/>
      <c r="Q138" s="345">
        <v>70556</v>
      </c>
      <c r="R138" s="437"/>
      <c r="S138" s="339"/>
      <c r="T138" s="345">
        <v>70556</v>
      </c>
    </row>
    <row r="139" spans="1:20" outlineLevel="4" x14ac:dyDescent="0.25">
      <c r="A139" s="435"/>
      <c r="B139" s="418" t="s">
        <v>350</v>
      </c>
      <c r="C139" s="437"/>
      <c r="D139" s="437"/>
      <c r="E139" s="436">
        <v>10937</v>
      </c>
      <c r="F139" s="437"/>
      <c r="G139" s="273"/>
      <c r="H139" s="436">
        <v>11656</v>
      </c>
      <c r="I139" s="437"/>
      <c r="J139" s="273"/>
      <c r="K139" s="436">
        <v>11656</v>
      </c>
      <c r="L139" s="437"/>
      <c r="M139" s="273"/>
      <c r="N139" s="273">
        <v>11831</v>
      </c>
      <c r="O139" s="437"/>
      <c r="P139" s="273"/>
      <c r="Q139" s="273">
        <v>13406</v>
      </c>
      <c r="R139" s="437"/>
      <c r="S139" s="273"/>
      <c r="T139" s="273">
        <v>13406</v>
      </c>
    </row>
    <row r="140" spans="1:20" outlineLevel="4" x14ac:dyDescent="0.25">
      <c r="A140" s="435"/>
      <c r="B140" s="418" t="s">
        <v>292</v>
      </c>
      <c r="C140" s="437"/>
      <c r="D140" s="437"/>
      <c r="E140" s="436">
        <v>28003.5</v>
      </c>
      <c r="F140" s="437"/>
      <c r="G140" s="371"/>
      <c r="H140" s="436">
        <v>28004</v>
      </c>
      <c r="I140" s="437"/>
      <c r="J140" s="371"/>
      <c r="K140" s="436">
        <v>28004</v>
      </c>
      <c r="L140" s="437"/>
      <c r="M140" s="371"/>
      <c r="N140" s="371">
        <v>29488</v>
      </c>
      <c r="O140" s="437"/>
      <c r="P140" s="371"/>
      <c r="Q140" s="371">
        <v>31662</v>
      </c>
      <c r="R140" s="437"/>
      <c r="S140" s="371"/>
      <c r="T140" s="371">
        <v>31662</v>
      </c>
    </row>
    <row r="141" spans="1:20" outlineLevel="4" x14ac:dyDescent="0.25">
      <c r="A141" s="435"/>
      <c r="B141" s="418" t="s">
        <v>351</v>
      </c>
      <c r="C141" s="437"/>
      <c r="D141" s="437"/>
      <c r="E141" s="436">
        <v>0</v>
      </c>
      <c r="F141" s="437"/>
      <c r="G141" s="345"/>
      <c r="H141" s="436">
        <v>6857</v>
      </c>
      <c r="I141" s="437"/>
      <c r="J141" s="345"/>
      <c r="K141" s="436">
        <v>6857</v>
      </c>
      <c r="L141" s="437"/>
      <c r="M141" s="345"/>
      <c r="N141" s="345">
        <v>6857</v>
      </c>
      <c r="O141" s="437"/>
      <c r="P141" s="345"/>
      <c r="Q141" s="345">
        <v>0</v>
      </c>
      <c r="R141" s="437"/>
      <c r="S141" s="345"/>
      <c r="T141" s="345">
        <v>0</v>
      </c>
    </row>
    <row r="142" spans="1:20" outlineLevel="3" x14ac:dyDescent="0.25">
      <c r="A142" s="431" t="s">
        <v>315</v>
      </c>
      <c r="B142" s="432" t="s">
        <v>557</v>
      </c>
      <c r="C142" s="434"/>
      <c r="D142" s="434"/>
      <c r="E142" s="433">
        <v>55677.8</v>
      </c>
      <c r="F142" s="434"/>
      <c r="G142" s="273"/>
      <c r="H142" s="433">
        <v>55678</v>
      </c>
      <c r="I142" s="434"/>
      <c r="J142" s="273"/>
      <c r="K142" s="433">
        <v>55678</v>
      </c>
      <c r="L142" s="434"/>
      <c r="M142" s="339">
        <v>0</v>
      </c>
      <c r="N142" s="339">
        <v>47577</v>
      </c>
      <c r="O142" s="437"/>
      <c r="P142" s="339">
        <v>0</v>
      </c>
      <c r="Q142" s="339">
        <v>57550</v>
      </c>
      <c r="R142" s="437"/>
      <c r="S142" s="339">
        <v>0</v>
      </c>
      <c r="T142" s="339">
        <v>57550</v>
      </c>
    </row>
    <row r="143" spans="1:20" outlineLevel="3" x14ac:dyDescent="0.25">
      <c r="A143" s="435"/>
      <c r="B143" s="418" t="s">
        <v>292</v>
      </c>
      <c r="C143" s="437"/>
      <c r="D143" s="437"/>
      <c r="E143" s="436">
        <v>53137.8</v>
      </c>
      <c r="F143" s="437"/>
      <c r="G143" s="339">
        <v>0</v>
      </c>
      <c r="H143" s="436">
        <v>53138</v>
      </c>
      <c r="I143" s="437"/>
      <c r="J143" s="339">
        <v>0</v>
      </c>
      <c r="K143" s="436">
        <v>53138</v>
      </c>
      <c r="L143" s="437"/>
      <c r="M143" s="339"/>
      <c r="N143" s="345">
        <v>47188</v>
      </c>
      <c r="O143" s="437"/>
      <c r="P143" s="339"/>
      <c r="Q143" s="345">
        <v>53750</v>
      </c>
      <c r="R143" s="437"/>
      <c r="S143" s="339"/>
      <c r="T143" s="345">
        <v>53750</v>
      </c>
    </row>
    <row r="144" spans="1:20" outlineLevel="3" x14ac:dyDescent="0.25">
      <c r="A144" s="435"/>
      <c r="B144" s="418" t="s">
        <v>351</v>
      </c>
      <c r="C144" s="437"/>
      <c r="D144" s="437"/>
      <c r="E144" s="436">
        <v>2540</v>
      </c>
      <c r="F144" s="437"/>
      <c r="H144" s="436">
        <v>2540</v>
      </c>
      <c r="I144" s="437"/>
      <c r="K144" s="436">
        <v>2540</v>
      </c>
      <c r="L144" s="437"/>
      <c r="N144">
        <v>389</v>
      </c>
      <c r="O144" s="437"/>
      <c r="Q144" s="40">
        <v>3800</v>
      </c>
      <c r="R144" s="437"/>
      <c r="T144" s="40">
        <v>3800</v>
      </c>
    </row>
    <row r="145" spans="1:20" outlineLevel="2" x14ac:dyDescent="0.25">
      <c r="A145" s="431" t="s">
        <v>336</v>
      </c>
      <c r="B145" s="432" t="s">
        <v>558</v>
      </c>
      <c r="C145" s="434"/>
      <c r="D145" s="434"/>
      <c r="E145" s="433">
        <v>21145.5</v>
      </c>
      <c r="F145" s="434"/>
      <c r="H145" s="433">
        <v>20646</v>
      </c>
      <c r="I145" s="434"/>
      <c r="K145" s="433">
        <v>20646</v>
      </c>
      <c r="L145" s="434"/>
      <c r="N145" s="339">
        <v>34375</v>
      </c>
      <c r="O145" s="434"/>
      <c r="Q145" s="339">
        <v>26000</v>
      </c>
      <c r="R145" s="434"/>
      <c r="T145" s="339">
        <v>26000</v>
      </c>
    </row>
    <row r="146" spans="1:20" outlineLevel="3" x14ac:dyDescent="0.25">
      <c r="A146" s="435"/>
      <c r="B146" s="418" t="s">
        <v>292</v>
      </c>
      <c r="C146" s="437"/>
      <c r="D146" s="437"/>
      <c r="E146" s="436">
        <v>21145.5</v>
      </c>
      <c r="F146" s="437"/>
      <c r="H146" s="436">
        <v>20646</v>
      </c>
      <c r="I146" s="437"/>
      <c r="K146" s="436">
        <v>20646</v>
      </c>
      <c r="L146" s="437"/>
      <c r="N146" s="345">
        <v>16752</v>
      </c>
      <c r="O146" s="437"/>
      <c r="Q146" s="40">
        <v>26000</v>
      </c>
      <c r="R146" s="437"/>
      <c r="T146" s="40">
        <v>26000</v>
      </c>
    </row>
    <row r="147" spans="1:20" outlineLevel="3" x14ac:dyDescent="0.25">
      <c r="A147" s="435"/>
      <c r="B147" s="418" t="s">
        <v>351</v>
      </c>
      <c r="C147" s="437"/>
      <c r="D147" s="437"/>
      <c r="E147" s="436">
        <v>0</v>
      </c>
      <c r="F147" s="437"/>
      <c r="H147" s="436">
        <v>0</v>
      </c>
      <c r="I147" s="437"/>
      <c r="K147" s="436">
        <v>0</v>
      </c>
      <c r="L147" s="437"/>
      <c r="N147" s="345">
        <v>17623</v>
      </c>
      <c r="O147" s="437"/>
      <c r="Q147" s="40">
        <v>0</v>
      </c>
      <c r="R147" s="437"/>
      <c r="T147" s="40">
        <v>0</v>
      </c>
    </row>
    <row r="148" spans="1:20" outlineLevel="2" x14ac:dyDescent="0.25">
      <c r="A148" s="431" t="s">
        <v>338</v>
      </c>
      <c r="B148" s="432" t="s">
        <v>559</v>
      </c>
      <c r="C148" s="434"/>
      <c r="D148" s="434"/>
      <c r="E148" s="433">
        <v>7561.8</v>
      </c>
      <c r="F148" s="434"/>
      <c r="H148" s="433">
        <v>8174</v>
      </c>
      <c r="I148" s="434"/>
      <c r="K148" s="433">
        <v>8174</v>
      </c>
      <c r="L148" s="434"/>
      <c r="N148" s="339">
        <v>7641</v>
      </c>
      <c r="O148" s="434"/>
      <c r="Q148" s="339">
        <f>SUM(Q149:Q150)</f>
        <v>14500</v>
      </c>
      <c r="R148" s="434"/>
      <c r="T148" s="339">
        <f>SUM(T149:T150)</f>
        <v>14500</v>
      </c>
    </row>
    <row r="149" spans="1:20" outlineLevel="3" x14ac:dyDescent="0.25">
      <c r="A149" s="435"/>
      <c r="B149" s="438" t="s">
        <v>292</v>
      </c>
      <c r="C149" s="415"/>
      <c r="D149" s="415"/>
      <c r="E149" s="344">
        <v>7561.8</v>
      </c>
      <c r="F149" s="415"/>
      <c r="H149" s="344">
        <v>8174</v>
      </c>
      <c r="I149" s="415"/>
      <c r="K149" s="344">
        <v>8174</v>
      </c>
      <c r="L149" s="415"/>
      <c r="N149" s="345">
        <v>7404</v>
      </c>
      <c r="O149" s="415"/>
      <c r="Q149" s="40">
        <v>14500</v>
      </c>
      <c r="R149" s="415"/>
      <c r="T149" s="40">
        <v>14500</v>
      </c>
    </row>
    <row r="150" spans="1:20" outlineLevel="3" x14ac:dyDescent="0.25">
      <c r="A150" s="435"/>
      <c r="B150" s="438" t="s">
        <v>351</v>
      </c>
      <c r="C150" s="415"/>
      <c r="D150" s="415"/>
      <c r="E150" s="344">
        <v>0</v>
      </c>
      <c r="F150" s="415"/>
      <c r="H150" s="344">
        <v>0</v>
      </c>
      <c r="I150" s="415"/>
      <c r="K150" s="344">
        <v>0</v>
      </c>
      <c r="L150" s="415"/>
      <c r="N150" s="345">
        <v>237</v>
      </c>
      <c r="O150" s="415"/>
      <c r="Q150" s="40">
        <v>0</v>
      </c>
      <c r="R150" s="415"/>
      <c r="T150" s="40">
        <v>0</v>
      </c>
    </row>
    <row r="151" spans="1:20" outlineLevel="2" x14ac:dyDescent="0.25">
      <c r="A151" s="431" t="s">
        <v>560</v>
      </c>
      <c r="B151" s="432" t="s">
        <v>561</v>
      </c>
      <c r="C151" s="434">
        <v>2.5</v>
      </c>
      <c r="D151" s="434"/>
      <c r="E151" s="433">
        <v>16927</v>
      </c>
      <c r="F151" s="434">
        <v>2.5</v>
      </c>
      <c r="H151" s="433">
        <v>16927</v>
      </c>
      <c r="I151" s="434">
        <v>2.5</v>
      </c>
      <c r="K151" s="433">
        <v>16927</v>
      </c>
      <c r="L151" s="434">
        <v>2.5</v>
      </c>
      <c r="N151" s="339">
        <v>14908</v>
      </c>
      <c r="O151" s="434">
        <v>2.5</v>
      </c>
      <c r="Q151" s="339">
        <f>SUM(Q152:Q155)</f>
        <v>13770</v>
      </c>
      <c r="R151" s="434">
        <v>2.5</v>
      </c>
      <c r="T151" s="339">
        <f>SUM(T152:T155)</f>
        <v>13770</v>
      </c>
    </row>
    <row r="152" spans="1:20" outlineLevel="3" x14ac:dyDescent="0.25">
      <c r="A152" s="435"/>
      <c r="B152" s="418" t="s">
        <v>286</v>
      </c>
      <c r="C152" s="415"/>
      <c r="D152" s="415"/>
      <c r="E152" s="344">
        <v>7227</v>
      </c>
      <c r="F152" s="415"/>
      <c r="H152" s="344">
        <v>7227</v>
      </c>
      <c r="I152" s="415"/>
      <c r="K152" s="344">
        <v>7227</v>
      </c>
      <c r="L152" s="415"/>
      <c r="N152" s="840">
        <v>6019</v>
      </c>
      <c r="O152" s="415"/>
      <c r="Q152" s="40">
        <v>6025</v>
      </c>
      <c r="R152" s="415"/>
      <c r="T152" s="40">
        <v>6025</v>
      </c>
    </row>
    <row r="153" spans="1:20" outlineLevel="3" x14ac:dyDescent="0.25">
      <c r="A153" s="431"/>
      <c r="B153" s="418" t="s">
        <v>350</v>
      </c>
      <c r="C153" s="415"/>
      <c r="D153" s="415"/>
      <c r="E153" s="344">
        <v>1359</v>
      </c>
      <c r="F153" s="415"/>
      <c r="H153" s="344">
        <v>1359</v>
      </c>
      <c r="I153" s="415"/>
      <c r="K153" s="344">
        <v>1359</v>
      </c>
      <c r="L153" s="415"/>
      <c r="N153" s="840">
        <v>1051</v>
      </c>
      <c r="O153" s="415"/>
      <c r="Q153" s="40">
        <v>1145</v>
      </c>
      <c r="R153" s="415"/>
      <c r="T153" s="40">
        <v>1145</v>
      </c>
    </row>
    <row r="154" spans="1:20" outlineLevel="3" x14ac:dyDescent="0.25">
      <c r="A154" s="431"/>
      <c r="B154" s="418" t="s">
        <v>292</v>
      </c>
      <c r="C154" s="415"/>
      <c r="D154" s="415"/>
      <c r="E154" s="344">
        <v>8341</v>
      </c>
      <c r="F154" s="415"/>
      <c r="H154" s="344">
        <v>8341</v>
      </c>
      <c r="I154" s="415"/>
      <c r="K154" s="344">
        <v>8341</v>
      </c>
      <c r="L154" s="415"/>
      <c r="N154" s="840">
        <v>7763</v>
      </c>
      <c r="O154" s="415"/>
      <c r="Q154" s="40">
        <v>5600</v>
      </c>
      <c r="R154" s="415"/>
      <c r="T154" s="40">
        <v>5600</v>
      </c>
    </row>
    <row r="155" spans="1:20" outlineLevel="3" x14ac:dyDescent="0.25">
      <c r="A155" s="431"/>
      <c r="B155" s="418" t="s">
        <v>351</v>
      </c>
      <c r="C155" s="415"/>
      <c r="D155" s="415"/>
      <c r="E155" s="344">
        <v>0</v>
      </c>
      <c r="F155" s="415"/>
      <c r="H155" s="344">
        <v>0</v>
      </c>
      <c r="I155" s="415"/>
      <c r="K155" s="344">
        <v>0</v>
      </c>
      <c r="L155" s="415"/>
      <c r="N155" s="840">
        <v>75</v>
      </c>
      <c r="O155" s="415"/>
      <c r="Q155" s="40">
        <v>1000</v>
      </c>
      <c r="R155" s="415"/>
      <c r="T155" s="40">
        <v>1000</v>
      </c>
    </row>
    <row r="156" spans="1:20" outlineLevel="2" x14ac:dyDescent="0.25">
      <c r="A156" s="431" t="s">
        <v>562</v>
      </c>
      <c r="B156" s="432" t="s">
        <v>563</v>
      </c>
      <c r="C156" s="434">
        <v>2</v>
      </c>
      <c r="D156" s="434"/>
      <c r="E156" s="433">
        <v>15205.3</v>
      </c>
      <c r="F156" s="434">
        <v>2</v>
      </c>
      <c r="H156" s="433">
        <v>15205</v>
      </c>
      <c r="I156" s="434">
        <v>2</v>
      </c>
      <c r="K156" s="433">
        <v>15205</v>
      </c>
      <c r="L156" s="434">
        <v>2</v>
      </c>
      <c r="N156" s="339">
        <v>14119</v>
      </c>
      <c r="O156" s="434">
        <v>2</v>
      </c>
      <c r="Q156" s="339">
        <f>SUM(Q157:Q160)</f>
        <v>16316</v>
      </c>
      <c r="R156" s="434">
        <v>2</v>
      </c>
      <c r="T156" s="339">
        <f>SUM(T157:T160)</f>
        <v>16316</v>
      </c>
    </row>
    <row r="157" spans="1:20" outlineLevel="3" x14ac:dyDescent="0.25">
      <c r="A157" s="431"/>
      <c r="B157" s="418" t="s">
        <v>286</v>
      </c>
      <c r="C157" s="437"/>
      <c r="D157" s="437"/>
      <c r="E157" s="436">
        <v>5917</v>
      </c>
      <c r="F157" s="437"/>
      <c r="H157" s="436">
        <v>5917</v>
      </c>
      <c r="I157" s="437"/>
      <c r="K157" s="436">
        <v>5917</v>
      </c>
      <c r="L157" s="437"/>
      <c r="N157" s="345">
        <v>5092</v>
      </c>
      <c r="O157" s="437"/>
      <c r="Q157" s="40">
        <v>5728</v>
      </c>
      <c r="R157" s="437"/>
      <c r="T157" s="40">
        <v>5728</v>
      </c>
    </row>
    <row r="158" spans="1:20" outlineLevel="3" x14ac:dyDescent="0.25">
      <c r="A158" s="431"/>
      <c r="B158" s="418" t="s">
        <v>350</v>
      </c>
      <c r="C158" s="437"/>
      <c r="D158" s="437"/>
      <c r="E158" s="436">
        <v>1173</v>
      </c>
      <c r="F158" s="437"/>
      <c r="H158" s="436">
        <v>1173</v>
      </c>
      <c r="I158" s="437"/>
      <c r="K158" s="436">
        <v>1173</v>
      </c>
      <c r="L158" s="437"/>
      <c r="N158" s="345">
        <v>1077</v>
      </c>
      <c r="O158" s="437"/>
      <c r="Q158" s="40">
        <v>1088</v>
      </c>
      <c r="R158" s="437"/>
      <c r="T158" s="40">
        <v>1088</v>
      </c>
    </row>
    <row r="159" spans="1:20" outlineLevel="3" x14ac:dyDescent="0.25">
      <c r="A159" s="431"/>
      <c r="B159" s="418" t="s">
        <v>292</v>
      </c>
      <c r="C159" s="437"/>
      <c r="D159" s="437"/>
      <c r="E159" s="436">
        <v>8115.3</v>
      </c>
      <c r="F159" s="437"/>
      <c r="H159" s="436">
        <v>8115</v>
      </c>
      <c r="I159" s="437"/>
      <c r="K159" s="436">
        <v>8115</v>
      </c>
      <c r="L159" s="437"/>
      <c r="N159" s="345">
        <v>7923</v>
      </c>
      <c r="O159" s="437"/>
      <c r="Q159" s="40">
        <v>5500</v>
      </c>
      <c r="R159" s="437"/>
      <c r="T159" s="40">
        <v>5500</v>
      </c>
    </row>
    <row r="160" spans="1:20" outlineLevel="3" x14ac:dyDescent="0.25">
      <c r="A160" s="431"/>
      <c r="B160" s="418" t="s">
        <v>351</v>
      </c>
      <c r="C160" s="437"/>
      <c r="D160" s="437"/>
      <c r="E160" s="436">
        <v>0</v>
      </c>
      <c r="F160" s="437"/>
      <c r="H160" s="436">
        <v>0</v>
      </c>
      <c r="I160" s="437"/>
      <c r="K160" s="436">
        <v>0</v>
      </c>
      <c r="L160" s="437"/>
      <c r="N160" s="345">
        <v>27</v>
      </c>
      <c r="O160" s="437"/>
      <c r="Q160" s="40">
        <v>4000</v>
      </c>
      <c r="R160" s="437"/>
      <c r="T160" s="40">
        <v>4000</v>
      </c>
    </row>
    <row r="161" spans="1:20" outlineLevel="2" x14ac:dyDescent="0.25">
      <c r="A161" s="431" t="s">
        <v>564</v>
      </c>
      <c r="B161" s="432" t="s">
        <v>566</v>
      </c>
      <c r="C161" s="434"/>
      <c r="D161" s="434"/>
      <c r="E161" s="433">
        <v>10172.700000000001</v>
      </c>
      <c r="F161" s="434"/>
      <c r="H161" s="433">
        <v>10190</v>
      </c>
      <c r="I161" s="434"/>
      <c r="K161" s="433">
        <v>10190</v>
      </c>
      <c r="L161" s="434"/>
      <c r="N161" s="339">
        <v>7618</v>
      </c>
      <c r="O161" s="434"/>
      <c r="Q161" s="339">
        <v>7999.9999999999991</v>
      </c>
      <c r="R161" s="434"/>
      <c r="T161" s="339">
        <v>7999.9999999999991</v>
      </c>
    </row>
    <row r="162" spans="1:20" outlineLevel="3" x14ac:dyDescent="0.25">
      <c r="A162" s="431"/>
      <c r="B162" s="418" t="s">
        <v>292</v>
      </c>
      <c r="C162" s="437"/>
      <c r="D162" s="437"/>
      <c r="E162" s="436">
        <v>10172.700000000001</v>
      </c>
      <c r="F162" s="437"/>
      <c r="H162" s="436">
        <v>10190</v>
      </c>
      <c r="I162" s="437"/>
      <c r="K162" s="436">
        <v>10190</v>
      </c>
      <c r="L162" s="437"/>
      <c r="N162" s="40">
        <v>7528</v>
      </c>
      <c r="O162" s="437"/>
      <c r="Q162" s="40">
        <v>7999.9999999999991</v>
      </c>
      <c r="R162" s="437"/>
      <c r="T162" s="40">
        <v>7999.9999999999991</v>
      </c>
    </row>
    <row r="163" spans="1:20" outlineLevel="3" x14ac:dyDescent="0.25">
      <c r="A163" s="431"/>
      <c r="B163" s="418" t="s">
        <v>351</v>
      </c>
      <c r="C163" s="437"/>
      <c r="D163" s="437"/>
      <c r="E163" s="436">
        <v>0</v>
      </c>
      <c r="F163" s="437"/>
      <c r="H163" s="436">
        <v>0</v>
      </c>
      <c r="I163" s="437"/>
      <c r="K163" s="436">
        <v>0</v>
      </c>
      <c r="L163" s="437"/>
      <c r="N163">
        <v>90</v>
      </c>
      <c r="O163" s="437"/>
      <c r="Q163" s="40">
        <v>0</v>
      </c>
      <c r="R163" s="437"/>
      <c r="T163" s="40">
        <v>0</v>
      </c>
    </row>
    <row r="164" spans="1:20" outlineLevel="3" x14ac:dyDescent="0.25">
      <c r="A164" s="431"/>
      <c r="B164" s="418" t="s">
        <v>342</v>
      </c>
      <c r="C164" s="437"/>
      <c r="D164" s="437"/>
      <c r="E164" s="436">
        <v>0</v>
      </c>
      <c r="F164" s="437"/>
      <c r="H164" s="436">
        <v>0</v>
      </c>
      <c r="I164" s="437"/>
      <c r="K164" s="436">
        <v>0</v>
      </c>
      <c r="L164" s="437"/>
      <c r="O164" s="437"/>
      <c r="Q164" s="40">
        <v>0</v>
      </c>
      <c r="R164" s="437"/>
      <c r="T164" s="40">
        <v>0</v>
      </c>
    </row>
    <row r="165" spans="1:20" outlineLevel="2" x14ac:dyDescent="0.25">
      <c r="A165" s="431" t="s">
        <v>565</v>
      </c>
      <c r="B165" s="432" t="s">
        <v>1416</v>
      </c>
      <c r="C165" s="434">
        <v>11</v>
      </c>
      <c r="D165" s="434"/>
      <c r="E165" s="433">
        <v>111339.9</v>
      </c>
      <c r="F165" s="434">
        <v>11</v>
      </c>
      <c r="H165" s="433">
        <v>134319</v>
      </c>
      <c r="I165" s="434">
        <v>11</v>
      </c>
      <c r="K165" s="433">
        <v>134319</v>
      </c>
      <c r="L165" s="434">
        <v>11</v>
      </c>
      <c r="N165" s="339">
        <v>96705</v>
      </c>
      <c r="O165" s="434">
        <v>11</v>
      </c>
      <c r="Q165" s="339">
        <f>SUM(Q166:Q170)</f>
        <v>101933</v>
      </c>
      <c r="R165" s="434">
        <v>11</v>
      </c>
      <c r="T165" s="339">
        <f>SUM(T166:T170)</f>
        <v>108555</v>
      </c>
    </row>
    <row r="166" spans="1:20" outlineLevel="3" x14ac:dyDescent="0.25">
      <c r="A166" s="431"/>
      <c r="B166" s="418" t="s">
        <v>286</v>
      </c>
      <c r="C166" s="437"/>
      <c r="D166" s="437"/>
      <c r="E166" s="436">
        <v>51204</v>
      </c>
      <c r="F166" s="437"/>
      <c r="H166" s="436">
        <v>51204</v>
      </c>
      <c r="I166" s="437"/>
      <c r="K166" s="436">
        <v>51204</v>
      </c>
      <c r="L166" s="437"/>
      <c r="N166" s="40">
        <v>37066</v>
      </c>
      <c r="O166" s="437"/>
      <c r="Q166" s="40">
        <v>56246</v>
      </c>
      <c r="R166" s="437"/>
      <c r="T166" s="40">
        <v>56246</v>
      </c>
    </row>
    <row r="167" spans="1:20" outlineLevel="3" x14ac:dyDescent="0.25">
      <c r="A167" s="435"/>
      <c r="B167" s="418" t="s">
        <v>350</v>
      </c>
      <c r="C167" s="437"/>
      <c r="D167" s="437"/>
      <c r="E167" s="436">
        <v>16294</v>
      </c>
      <c r="F167" s="437"/>
      <c r="H167" s="436">
        <v>16294</v>
      </c>
      <c r="I167" s="437"/>
      <c r="K167" s="436">
        <v>16294</v>
      </c>
      <c r="L167" s="437"/>
      <c r="N167" s="40">
        <v>11351</v>
      </c>
      <c r="O167" s="437"/>
      <c r="Q167" s="40">
        <v>10687</v>
      </c>
      <c r="R167" s="437"/>
      <c r="T167" s="40">
        <v>10687</v>
      </c>
    </row>
    <row r="168" spans="1:20" outlineLevel="3" x14ac:dyDescent="0.25">
      <c r="A168" s="431"/>
      <c r="B168" s="418" t="s">
        <v>292</v>
      </c>
      <c r="C168" s="437"/>
      <c r="D168" s="437"/>
      <c r="E168" s="436">
        <v>42444.9</v>
      </c>
      <c r="F168" s="437"/>
      <c r="H168" s="436">
        <v>57350</v>
      </c>
      <c r="I168" s="437"/>
      <c r="K168" s="436">
        <v>57350</v>
      </c>
      <c r="L168" s="437"/>
      <c r="N168" s="40">
        <v>39979</v>
      </c>
      <c r="O168" s="437"/>
      <c r="Q168" s="40">
        <v>29480</v>
      </c>
      <c r="R168" s="437"/>
      <c r="T168" s="40">
        <f>29480+5352</f>
        <v>34832</v>
      </c>
    </row>
    <row r="169" spans="1:20" outlineLevel="3" x14ac:dyDescent="0.25">
      <c r="A169" s="431"/>
      <c r="B169" s="418" t="s">
        <v>568</v>
      </c>
      <c r="C169" s="437"/>
      <c r="D169" s="437"/>
      <c r="E169" s="436">
        <v>0</v>
      </c>
      <c r="F169" s="437"/>
      <c r="H169" s="436">
        <v>4953</v>
      </c>
      <c r="I169" s="437"/>
      <c r="K169" s="436">
        <v>4953</v>
      </c>
      <c r="L169" s="437"/>
      <c r="N169" s="40">
        <v>4953</v>
      </c>
      <c r="O169" s="437"/>
      <c r="Q169" s="40">
        <v>0</v>
      </c>
      <c r="R169" s="437"/>
      <c r="T169" s="40">
        <v>0</v>
      </c>
    </row>
    <row r="170" spans="1:20" outlineLevel="3" x14ac:dyDescent="0.25">
      <c r="A170" s="431"/>
      <c r="B170" s="418" t="s">
        <v>351</v>
      </c>
      <c r="C170" s="437"/>
      <c r="D170" s="437"/>
      <c r="E170" s="436">
        <v>1397</v>
      </c>
      <c r="F170" s="437"/>
      <c r="H170" s="436">
        <v>4518</v>
      </c>
      <c r="I170" s="437"/>
      <c r="K170" s="436">
        <v>4518</v>
      </c>
      <c r="L170" s="437"/>
      <c r="N170" s="839">
        <v>3356</v>
      </c>
      <c r="O170" s="437"/>
      <c r="Q170" s="40">
        <v>5520</v>
      </c>
      <c r="R170" s="437"/>
      <c r="T170" s="40">
        <f>5520+1270</f>
        <v>6790</v>
      </c>
    </row>
    <row r="171" spans="1:20" outlineLevel="2" x14ac:dyDescent="0.25">
      <c r="A171" s="431" t="s">
        <v>567</v>
      </c>
      <c r="B171" s="432" t="s">
        <v>571</v>
      </c>
      <c r="C171" s="434">
        <v>9</v>
      </c>
      <c r="D171" s="434"/>
      <c r="E171" s="433">
        <v>42084</v>
      </c>
      <c r="F171" s="434">
        <v>9</v>
      </c>
      <c r="H171" s="433">
        <v>42084</v>
      </c>
      <c r="I171" s="434">
        <v>9</v>
      </c>
      <c r="K171" s="433">
        <v>42084</v>
      </c>
      <c r="L171" s="434">
        <v>9</v>
      </c>
      <c r="N171" s="339">
        <v>39114</v>
      </c>
      <c r="O171" s="434">
        <v>9</v>
      </c>
      <c r="Q171" s="339">
        <f>SUM(Q172:Q175)</f>
        <v>34719</v>
      </c>
      <c r="R171" s="434">
        <v>9</v>
      </c>
      <c r="T171" s="339">
        <f>SUM(T172:T175)</f>
        <v>34719</v>
      </c>
    </row>
    <row r="172" spans="1:20" outlineLevel="3" x14ac:dyDescent="0.25">
      <c r="A172" s="431"/>
      <c r="B172" s="418" t="s">
        <v>286</v>
      </c>
      <c r="C172" s="437"/>
      <c r="D172" s="437"/>
      <c r="E172" s="436">
        <v>27728</v>
      </c>
      <c r="F172" s="437"/>
      <c r="H172" s="436">
        <v>27728</v>
      </c>
      <c r="I172" s="437"/>
      <c r="K172" s="436">
        <v>27728</v>
      </c>
      <c r="L172" s="437"/>
      <c r="N172" s="40">
        <v>25365</v>
      </c>
      <c r="O172" s="437"/>
      <c r="Q172" s="40">
        <v>24134</v>
      </c>
      <c r="R172" s="437"/>
      <c r="T172" s="40">
        <v>24134</v>
      </c>
    </row>
    <row r="173" spans="1:20" outlineLevel="3" x14ac:dyDescent="0.25">
      <c r="A173" s="431"/>
      <c r="B173" s="418" t="s">
        <v>350</v>
      </c>
      <c r="C173" s="437"/>
      <c r="D173" s="437"/>
      <c r="E173" s="436">
        <v>5386</v>
      </c>
      <c r="F173" s="437"/>
      <c r="H173" s="436">
        <v>5386</v>
      </c>
      <c r="I173" s="437"/>
      <c r="K173" s="436">
        <v>5386</v>
      </c>
      <c r="L173" s="437"/>
      <c r="N173" s="839">
        <v>5436</v>
      </c>
      <c r="O173" s="437"/>
      <c r="Q173" s="40">
        <v>4585</v>
      </c>
      <c r="R173" s="437"/>
      <c r="T173" s="40">
        <v>4585</v>
      </c>
    </row>
    <row r="174" spans="1:20" outlineLevel="3" x14ac:dyDescent="0.25">
      <c r="A174" s="431"/>
      <c r="B174" s="418" t="s">
        <v>292</v>
      </c>
      <c r="C174" s="437"/>
      <c r="D174" s="437"/>
      <c r="E174" s="436">
        <v>8970</v>
      </c>
      <c r="F174" s="437"/>
      <c r="H174" s="436">
        <v>8970</v>
      </c>
      <c r="I174" s="437"/>
      <c r="K174" s="436">
        <v>8970</v>
      </c>
      <c r="L174" s="437"/>
      <c r="N174" s="839">
        <v>7930</v>
      </c>
      <c r="O174" s="437"/>
      <c r="Q174" s="40">
        <v>5999.9999999999991</v>
      </c>
      <c r="R174" s="437"/>
      <c r="T174" s="40">
        <v>5999.9999999999991</v>
      </c>
    </row>
    <row r="175" spans="1:20" outlineLevel="3" x14ac:dyDescent="0.25">
      <c r="A175" s="431"/>
      <c r="B175" s="418" t="s">
        <v>351</v>
      </c>
      <c r="C175" s="437"/>
      <c r="D175" s="437"/>
      <c r="E175" s="436">
        <v>0</v>
      </c>
      <c r="F175" s="437"/>
      <c r="H175" s="436">
        <v>0</v>
      </c>
      <c r="I175" s="437"/>
      <c r="K175" s="436">
        <v>0</v>
      </c>
      <c r="L175" s="437"/>
      <c r="N175" s="839">
        <v>383</v>
      </c>
      <c r="O175" s="437"/>
      <c r="Q175" s="40">
        <v>0</v>
      </c>
      <c r="R175" s="437"/>
      <c r="T175" s="40">
        <v>0</v>
      </c>
    </row>
    <row r="176" spans="1:20" outlineLevel="2" x14ac:dyDescent="0.25">
      <c r="A176" s="431" t="s">
        <v>569</v>
      </c>
      <c r="B176" s="432" t="s">
        <v>575</v>
      </c>
      <c r="C176" s="434">
        <v>6</v>
      </c>
      <c r="D176" s="434"/>
      <c r="E176" s="433">
        <v>114536</v>
      </c>
      <c r="F176" s="434">
        <v>6</v>
      </c>
      <c r="H176" s="433">
        <v>104536</v>
      </c>
      <c r="I176" s="434">
        <v>6</v>
      </c>
      <c r="K176" s="433">
        <v>104536</v>
      </c>
      <c r="L176" s="434">
        <v>6</v>
      </c>
      <c r="N176" s="339">
        <v>274697</v>
      </c>
      <c r="O176" s="434">
        <v>19</v>
      </c>
      <c r="Q176" s="339">
        <f>SUM(Q177:Q180)</f>
        <v>283364</v>
      </c>
      <c r="R176" s="434">
        <v>19</v>
      </c>
      <c r="T176" s="339">
        <f>SUM(T177:T180)</f>
        <v>283364</v>
      </c>
    </row>
    <row r="177" spans="1:20" outlineLevel="3" x14ac:dyDescent="0.25">
      <c r="A177" s="431"/>
      <c r="B177" s="418" t="s">
        <v>286</v>
      </c>
      <c r="C177" s="437"/>
      <c r="D177" s="437"/>
      <c r="E177" s="436">
        <v>15371</v>
      </c>
      <c r="F177" s="437"/>
      <c r="H177" s="436">
        <v>15371</v>
      </c>
      <c r="I177" s="437"/>
      <c r="K177" s="436">
        <v>15371</v>
      </c>
      <c r="L177" s="437"/>
      <c r="N177" s="839">
        <v>48667</v>
      </c>
      <c r="O177" s="437"/>
      <c r="Q177" s="40">
        <v>50726</v>
      </c>
      <c r="R177" s="437"/>
      <c r="T177" s="40">
        <v>50726</v>
      </c>
    </row>
    <row r="178" spans="1:20" outlineLevel="3" x14ac:dyDescent="0.25">
      <c r="A178" s="431"/>
      <c r="B178" s="418" t="s">
        <v>350</v>
      </c>
      <c r="C178" s="437"/>
      <c r="D178" s="437"/>
      <c r="E178" s="436">
        <v>3165</v>
      </c>
      <c r="F178" s="437"/>
      <c r="H178" s="436">
        <v>3165</v>
      </c>
      <c r="I178" s="437"/>
      <c r="K178" s="436">
        <v>3165</v>
      </c>
      <c r="L178" s="437"/>
      <c r="N178" s="839">
        <v>9490</v>
      </c>
      <c r="O178" s="437"/>
      <c r="Q178" s="40">
        <v>9638</v>
      </c>
      <c r="R178" s="437"/>
      <c r="T178" s="40">
        <v>9638</v>
      </c>
    </row>
    <row r="179" spans="1:20" outlineLevel="3" x14ac:dyDescent="0.25">
      <c r="A179" s="431"/>
      <c r="B179" s="418" t="s">
        <v>292</v>
      </c>
      <c r="C179" s="437"/>
      <c r="D179" s="437"/>
      <c r="E179" s="436">
        <v>96000</v>
      </c>
      <c r="F179" s="437"/>
      <c r="H179" s="436">
        <v>86000</v>
      </c>
      <c r="I179" s="437"/>
      <c r="K179" s="436">
        <v>86000</v>
      </c>
      <c r="L179" s="437"/>
      <c r="N179" s="839">
        <v>216540</v>
      </c>
      <c r="O179" s="437"/>
      <c r="Q179" s="40">
        <v>223000</v>
      </c>
      <c r="R179" s="437"/>
      <c r="T179" s="40">
        <v>223000</v>
      </c>
    </row>
    <row r="180" spans="1:20" outlineLevel="3" x14ac:dyDescent="0.25">
      <c r="A180" s="431"/>
      <c r="B180" s="418" t="s">
        <v>351</v>
      </c>
      <c r="C180" s="437"/>
      <c r="D180" s="437"/>
      <c r="E180" s="436">
        <v>0</v>
      </c>
      <c r="F180" s="437"/>
      <c r="H180" s="436">
        <v>0</v>
      </c>
      <c r="I180" s="437"/>
      <c r="K180" s="436">
        <v>0</v>
      </c>
      <c r="L180" s="437"/>
      <c r="O180" s="437"/>
      <c r="R180" s="437"/>
    </row>
    <row r="181" spans="1:20" hidden="1" outlineLevel="2" collapsed="1" x14ac:dyDescent="0.25">
      <c r="A181" s="431" t="s">
        <v>570</v>
      </c>
      <c r="B181" s="432" t="s">
        <v>1457</v>
      </c>
      <c r="C181" s="434">
        <v>13</v>
      </c>
      <c r="D181" s="434"/>
      <c r="E181" s="433">
        <v>186130</v>
      </c>
      <c r="F181" s="434">
        <v>13</v>
      </c>
      <c r="H181" s="433">
        <v>186130</v>
      </c>
      <c r="I181" s="434">
        <v>13</v>
      </c>
      <c r="K181" s="433">
        <v>186130</v>
      </c>
      <c r="L181" s="434">
        <v>13</v>
      </c>
      <c r="O181" s="434">
        <v>0</v>
      </c>
      <c r="Q181" s="339">
        <v>0</v>
      </c>
      <c r="R181" s="434">
        <v>0</v>
      </c>
      <c r="T181" s="339">
        <v>0</v>
      </c>
    </row>
    <row r="182" spans="1:20" hidden="1" outlineLevel="3" x14ac:dyDescent="0.25">
      <c r="A182" s="431"/>
      <c r="B182" s="418" t="s">
        <v>286</v>
      </c>
      <c r="C182" s="437"/>
      <c r="D182" s="437"/>
      <c r="E182" s="436">
        <v>34902</v>
      </c>
      <c r="F182" s="437"/>
      <c r="H182" s="436">
        <v>34902</v>
      </c>
      <c r="I182" s="437"/>
      <c r="K182" s="436">
        <v>34902</v>
      </c>
      <c r="L182" s="437"/>
      <c r="O182" s="437"/>
      <c r="R182" s="437"/>
    </row>
    <row r="183" spans="1:20" hidden="1" outlineLevel="3" x14ac:dyDescent="0.25">
      <c r="A183" s="431"/>
      <c r="B183" s="418" t="s">
        <v>350</v>
      </c>
      <c r="C183" s="437"/>
      <c r="D183" s="437"/>
      <c r="E183" s="436">
        <v>7186</v>
      </c>
      <c r="F183" s="437"/>
      <c r="H183" s="436">
        <v>7186</v>
      </c>
      <c r="I183" s="437"/>
      <c r="K183" s="436">
        <v>7186</v>
      </c>
      <c r="L183" s="437"/>
      <c r="O183" s="437"/>
      <c r="R183" s="437"/>
    </row>
    <row r="184" spans="1:20" hidden="1" outlineLevel="3" x14ac:dyDescent="0.25">
      <c r="A184" s="431"/>
      <c r="B184" s="418" t="s">
        <v>292</v>
      </c>
      <c r="C184" s="437"/>
      <c r="D184" s="437"/>
      <c r="E184" s="436">
        <v>143407</v>
      </c>
      <c r="F184" s="437"/>
      <c r="H184" s="436">
        <v>143407</v>
      </c>
      <c r="I184" s="437"/>
      <c r="K184" s="436">
        <v>143407</v>
      </c>
      <c r="L184" s="437"/>
      <c r="O184" s="437"/>
      <c r="R184" s="437"/>
    </row>
    <row r="185" spans="1:20" hidden="1" outlineLevel="3" x14ac:dyDescent="0.25">
      <c r="A185" s="431"/>
      <c r="B185" s="418" t="s">
        <v>351</v>
      </c>
      <c r="C185" s="437"/>
      <c r="D185" s="437"/>
      <c r="E185" s="436">
        <v>635</v>
      </c>
      <c r="F185" s="437"/>
      <c r="H185" s="436">
        <v>635</v>
      </c>
      <c r="I185" s="437"/>
      <c r="K185" s="436">
        <v>635</v>
      </c>
      <c r="L185" s="437"/>
      <c r="O185" s="437"/>
      <c r="R185" s="437"/>
    </row>
    <row r="186" spans="1:20" hidden="1" outlineLevel="1" x14ac:dyDescent="0.25">
      <c r="A186" s="666" t="s">
        <v>318</v>
      </c>
      <c r="B186" s="778" t="s">
        <v>353</v>
      </c>
      <c r="C186" s="405">
        <v>0</v>
      </c>
      <c r="D186" s="369">
        <v>0</v>
      </c>
      <c r="E186" s="369">
        <v>0</v>
      </c>
      <c r="F186" s="405">
        <v>0</v>
      </c>
      <c r="G186" s="369">
        <v>0</v>
      </c>
      <c r="H186" s="369">
        <v>0</v>
      </c>
      <c r="I186" s="405">
        <v>0</v>
      </c>
      <c r="J186" s="369">
        <v>0</v>
      </c>
      <c r="K186" s="369">
        <v>0</v>
      </c>
      <c r="L186" s="405">
        <v>0</v>
      </c>
      <c r="M186" s="369">
        <v>0</v>
      </c>
      <c r="N186" s="369">
        <v>0</v>
      </c>
      <c r="O186" s="405">
        <v>0</v>
      </c>
      <c r="P186" s="369">
        <v>0</v>
      </c>
      <c r="Q186" s="369">
        <v>0</v>
      </c>
      <c r="R186" s="405">
        <v>0</v>
      </c>
      <c r="S186" s="369">
        <v>0</v>
      </c>
      <c r="T186" s="369">
        <v>0</v>
      </c>
    </row>
    <row r="187" spans="1:20" ht="14.95" x14ac:dyDescent="0.25">
      <c r="C187" s="470"/>
      <c r="D187" s="470"/>
      <c r="E187" s="469"/>
      <c r="H187" s="425"/>
      <c r="K187" s="425"/>
    </row>
    <row r="191" spans="1:20" x14ac:dyDescent="0.25">
      <c r="N191" s="40">
        <v>49334</v>
      </c>
    </row>
    <row r="192" spans="1:20" x14ac:dyDescent="0.25">
      <c r="N192" s="40">
        <v>223893</v>
      </c>
    </row>
    <row r="193" spans="2:20" x14ac:dyDescent="0.25">
      <c r="B193" s="42" t="s">
        <v>576</v>
      </c>
      <c r="D193" s="402"/>
      <c r="E193" s="40">
        <v>217607</v>
      </c>
      <c r="H193" s="40">
        <v>222607</v>
      </c>
      <c r="K193" s="40">
        <v>222607</v>
      </c>
      <c r="N193" s="40">
        <v>194799</v>
      </c>
      <c r="Q193" s="40">
        <v>231925.6</v>
      </c>
      <c r="T193" s="40">
        <f>T133+T138+T152+T157+T166+T172+T177+1</f>
        <v>231926</v>
      </c>
    </row>
    <row r="194" spans="2:20" x14ac:dyDescent="0.25">
      <c r="B194" s="42" t="s">
        <v>577</v>
      </c>
      <c r="D194" s="402"/>
      <c r="E194" s="40">
        <v>49404</v>
      </c>
      <c r="H194" s="40">
        <v>50379</v>
      </c>
      <c r="K194" s="40">
        <v>50379</v>
      </c>
      <c r="N194" s="40">
        <v>43513</v>
      </c>
      <c r="Q194" s="40">
        <v>44065.864000000001</v>
      </c>
      <c r="T194" s="40">
        <f>T134+T139+T153+T158+T167+T173+T178+T183</f>
        <v>44066</v>
      </c>
    </row>
    <row r="195" spans="2:20" x14ac:dyDescent="0.25">
      <c r="B195" s="42" t="s">
        <v>578</v>
      </c>
      <c r="D195" s="402"/>
      <c r="E195" s="40">
        <v>475727.19999999995</v>
      </c>
      <c r="H195" s="40">
        <v>488013</v>
      </c>
      <c r="K195" s="40">
        <v>488013</v>
      </c>
      <c r="N195" s="40">
        <v>437880</v>
      </c>
      <c r="Q195" s="40">
        <v>463777.77535433078</v>
      </c>
      <c r="T195" s="40">
        <f>T135+T140+T143+T146+T149+T154+T159+T162+T168+T174+T179+T184-1</f>
        <v>469129</v>
      </c>
    </row>
    <row r="196" spans="2:20" x14ac:dyDescent="0.25">
      <c r="B196" s="42" t="s">
        <v>1512</v>
      </c>
      <c r="D196" s="402"/>
      <c r="E196" s="40">
        <v>0</v>
      </c>
      <c r="H196" s="40">
        <v>4953</v>
      </c>
      <c r="K196" s="40">
        <v>4953</v>
      </c>
      <c r="N196" s="40">
        <v>4953</v>
      </c>
      <c r="Q196" s="40">
        <v>0</v>
      </c>
      <c r="T196" s="40">
        <v>0</v>
      </c>
    </row>
    <row r="197" spans="2:20" x14ac:dyDescent="0.25">
      <c r="B197" s="42" t="s">
        <v>579</v>
      </c>
      <c r="D197" s="402"/>
      <c r="E197" s="40">
        <v>4572</v>
      </c>
      <c r="H197" s="40">
        <v>14550</v>
      </c>
      <c r="K197" s="40">
        <v>14550</v>
      </c>
      <c r="N197" s="40">
        <v>29037</v>
      </c>
      <c r="Q197" s="40">
        <v>14320</v>
      </c>
      <c r="T197" s="40">
        <f>T136+T141+T144+T147+T150+T155+T160+T163+T170+T175+T180+T185</f>
        <v>15590</v>
      </c>
    </row>
    <row r="198" spans="2:20" x14ac:dyDescent="0.25">
      <c r="B198" s="42" t="s">
        <v>580</v>
      </c>
      <c r="D198" s="402"/>
      <c r="E198" s="40">
        <v>0</v>
      </c>
      <c r="H198" s="40">
        <v>0</v>
      </c>
      <c r="K198" s="40">
        <v>0</v>
      </c>
      <c r="N198" s="40">
        <v>0</v>
      </c>
      <c r="Q198" s="40">
        <v>0</v>
      </c>
      <c r="T198" s="40">
        <v>0</v>
      </c>
    </row>
    <row r="199" spans="2:20" x14ac:dyDescent="0.25">
      <c r="B199" s="42" t="s">
        <v>581</v>
      </c>
      <c r="D199" s="402"/>
      <c r="E199" s="40">
        <v>747310.2</v>
      </c>
      <c r="H199" s="40">
        <v>780502</v>
      </c>
      <c r="K199" s="40">
        <v>780502</v>
      </c>
      <c r="N199" s="40">
        <v>710182</v>
      </c>
      <c r="Q199" s="40">
        <v>754089.23935433081</v>
      </c>
      <c r="T199" s="40">
        <f>SUM(T193:T198)</f>
        <v>760711</v>
      </c>
    </row>
  </sheetData>
  <mergeCells count="26">
    <mergeCell ref="F2:F3"/>
    <mergeCell ref="G2:G3"/>
    <mergeCell ref="H2:H3"/>
    <mergeCell ref="F4:H4"/>
    <mergeCell ref="A2:A4"/>
    <mergeCell ref="C2:C3"/>
    <mergeCell ref="D2:D3"/>
    <mergeCell ref="E2:E3"/>
    <mergeCell ref="C4:E4"/>
    <mergeCell ref="B2:B4"/>
    <mergeCell ref="R2:R3"/>
    <mergeCell ref="S2:S3"/>
    <mergeCell ref="T2:T3"/>
    <mergeCell ref="R4:T4"/>
    <mergeCell ref="I2:I3"/>
    <mergeCell ref="J2:J3"/>
    <mergeCell ref="K2:K3"/>
    <mergeCell ref="I4:K4"/>
    <mergeCell ref="O2:O3"/>
    <mergeCell ref="P2:P3"/>
    <mergeCell ref="Q2:Q3"/>
    <mergeCell ref="O4:Q4"/>
    <mergeCell ref="L2:L3"/>
    <mergeCell ref="M2:M3"/>
    <mergeCell ref="N2:N3"/>
    <mergeCell ref="L4:N4"/>
  </mergeCells>
  <printOptions horizontalCentered="1" gridLines="1"/>
  <pageMargins left="0.19685039370078741" right="0.19685039370078741" top="0.78740157480314965" bottom="0.43307086614173229" header="0.15748031496062992" footer="0.15748031496062992"/>
  <pageSetup paperSize="9" scale="59" fitToWidth="0" fitToHeight="6" pageOrder="overThenDown" orientation="portrait" r:id="rId1"/>
  <headerFooter>
    <oddHeader>&amp;L5.  melléklet a ...../2019. (.......) önkormányzati rendelethez&amp;C&amp;"-,Félkövér"&amp;16
A gazdasági szervezettel nem rendelkező költségvetési szervek 2019. évi kiadásai költségvetési szervenként és feladatonként részletes bontásban</oddHeader>
    <oddFooter>&amp;C&amp;P</oddFooter>
  </headerFooter>
  <rowBreaks count="2" manualBreakCount="2">
    <brk id="91" max="19" man="1"/>
    <brk id="186" max="2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19"/>
  <sheetViews>
    <sheetView showZeros="0" view="pageBreakPreview" zoomScale="74" zoomScaleNormal="100" zoomScaleSheetLayoutView="74" workbookViewId="0">
      <selection activeCell="G15" sqref="G15"/>
    </sheetView>
  </sheetViews>
  <sheetFormatPr defaultColWidth="12.375" defaultRowHeight="12.9" x14ac:dyDescent="0.2"/>
  <cols>
    <col min="1" max="1" width="57" style="305" customWidth="1"/>
    <col min="2" max="3" width="10.125" style="307" hidden="1" customWidth="1"/>
    <col min="4" max="4" width="14" style="305" customWidth="1"/>
    <col min="5" max="5" width="14" style="305" hidden="1" customWidth="1"/>
    <col min="6" max="7" width="12.375" style="305" customWidth="1"/>
    <col min="8" max="16384" width="12.375" style="305"/>
  </cols>
  <sheetData>
    <row r="1" spans="1:9" s="304" customFormat="1" ht="42.65" customHeight="1" x14ac:dyDescent="0.25">
      <c r="A1" s="930" t="s">
        <v>1249</v>
      </c>
      <c r="B1" s="930"/>
      <c r="C1" s="930"/>
      <c r="D1" s="930"/>
      <c r="E1" s="930"/>
      <c r="F1" s="930"/>
      <c r="G1" s="930"/>
      <c r="H1" s="930"/>
      <c r="I1" s="930"/>
    </row>
    <row r="2" spans="1:9" ht="39.75" customHeight="1" x14ac:dyDescent="0.2">
      <c r="A2" s="931" t="s">
        <v>1250</v>
      </c>
      <c r="B2" s="929" t="s">
        <v>1299</v>
      </c>
      <c r="C2" s="929"/>
      <c r="D2" s="929" t="s">
        <v>1384</v>
      </c>
      <c r="E2" s="929" t="s">
        <v>1487</v>
      </c>
      <c r="F2" s="929" t="s">
        <v>1680</v>
      </c>
      <c r="G2" s="929"/>
      <c r="H2" s="929" t="s">
        <v>1251</v>
      </c>
      <c r="I2" s="929" t="s">
        <v>1256</v>
      </c>
    </row>
    <row r="3" spans="1:9" s="307" customFormat="1" ht="25.85" x14ac:dyDescent="0.25">
      <c r="A3" s="931"/>
      <c r="B3" s="306" t="s">
        <v>1252</v>
      </c>
      <c r="C3" s="306" t="s">
        <v>1253</v>
      </c>
      <c r="D3" s="929"/>
      <c r="E3" s="929"/>
      <c r="F3" s="645" t="s">
        <v>1252</v>
      </c>
      <c r="G3" s="645" t="s">
        <v>1253</v>
      </c>
      <c r="H3" s="929"/>
      <c r="I3" s="929"/>
    </row>
    <row r="4" spans="1:9" s="307" customFormat="1" x14ac:dyDescent="0.25">
      <c r="A4" s="308"/>
      <c r="B4" s="306"/>
      <c r="C4" s="306"/>
      <c r="D4" s="309" t="s">
        <v>1661</v>
      </c>
      <c r="E4" s="309" t="s">
        <v>1488</v>
      </c>
      <c r="F4" s="645"/>
      <c r="G4" s="645"/>
      <c r="H4" s="309" t="s">
        <v>1661</v>
      </c>
      <c r="I4" s="309" t="s">
        <v>1661</v>
      </c>
    </row>
    <row r="5" spans="1:9" s="311" customFormat="1" ht="23.95" customHeight="1" x14ac:dyDescent="0.25">
      <c r="A5" s="310" t="s">
        <v>1254</v>
      </c>
      <c r="B5" s="310"/>
      <c r="C5" s="310"/>
      <c r="D5" s="310"/>
      <c r="E5" s="310"/>
      <c r="F5" s="310"/>
      <c r="G5" s="310"/>
      <c r="H5" s="310"/>
      <c r="I5" s="310"/>
    </row>
    <row r="6" spans="1:9" s="311" customFormat="1" ht="23.3" customHeight="1" x14ac:dyDescent="0.25">
      <c r="A6" s="312" t="s">
        <v>1227</v>
      </c>
      <c r="B6" s="419">
        <v>7</v>
      </c>
      <c r="C6" s="419">
        <v>1</v>
      </c>
      <c r="D6" s="313">
        <f>'2B Önk kiad'!V5</f>
        <v>16</v>
      </c>
      <c r="E6" s="313">
        <v>16</v>
      </c>
      <c r="F6" s="646">
        <v>16</v>
      </c>
      <c r="G6" s="646"/>
      <c r="H6" s="313">
        <f>'2B Önk kiad'!V6</f>
        <v>10</v>
      </c>
      <c r="I6" s="313">
        <v>0</v>
      </c>
    </row>
    <row r="7" spans="1:9" s="311" customFormat="1" ht="23.3" customHeight="1" x14ac:dyDescent="0.25">
      <c r="A7" s="312" t="s">
        <v>992</v>
      </c>
      <c r="B7" s="419">
        <v>69</v>
      </c>
      <c r="C7" s="419">
        <v>2</v>
      </c>
      <c r="D7" s="313">
        <f>'3A PH'!V5</f>
        <v>79</v>
      </c>
      <c r="E7" s="313">
        <v>79</v>
      </c>
      <c r="F7" s="646">
        <v>78</v>
      </c>
      <c r="G7" s="646">
        <v>2</v>
      </c>
      <c r="H7" s="313">
        <f>'3A PH'!V6</f>
        <v>0</v>
      </c>
      <c r="I7" s="313">
        <f>'3A PH'!V7</f>
        <v>7</v>
      </c>
    </row>
    <row r="8" spans="1:9" s="318" customFormat="1" ht="23.3" customHeight="1" x14ac:dyDescent="0.25">
      <c r="A8" s="315" t="s">
        <v>1026</v>
      </c>
      <c r="B8" s="317">
        <f t="shared" ref="B8:H8" si="0">SUM(B6:B7)</f>
        <v>76</v>
      </c>
      <c r="C8" s="317">
        <f t="shared" si="0"/>
        <v>3</v>
      </c>
      <c r="D8" s="316">
        <f t="shared" si="0"/>
        <v>95</v>
      </c>
      <c r="E8" s="316">
        <f t="shared" si="0"/>
        <v>95</v>
      </c>
      <c r="F8" s="317">
        <f t="shared" si="0"/>
        <v>94</v>
      </c>
      <c r="G8" s="317">
        <f t="shared" si="0"/>
        <v>2</v>
      </c>
      <c r="H8" s="316">
        <f t="shared" si="0"/>
        <v>10</v>
      </c>
      <c r="I8" s="316">
        <f>SUM(I7:I7)</f>
        <v>7</v>
      </c>
    </row>
    <row r="9" spans="1:9" s="311" customFormat="1" ht="23.3" customHeight="1" x14ac:dyDescent="0.25">
      <c r="A9" s="310" t="s">
        <v>1228</v>
      </c>
      <c r="B9" s="310"/>
      <c r="C9" s="310"/>
      <c r="D9" s="310"/>
      <c r="E9" s="310"/>
      <c r="F9" s="310"/>
      <c r="G9" s="310"/>
      <c r="H9" s="310"/>
      <c r="I9" s="310"/>
    </row>
    <row r="10" spans="1:9" s="304" customFormat="1" ht="23.3" customHeight="1" x14ac:dyDescent="0.25">
      <c r="A10" s="314" t="s">
        <v>347</v>
      </c>
      <c r="B10" s="419">
        <v>12</v>
      </c>
      <c r="C10" s="419">
        <v>1</v>
      </c>
      <c r="D10" s="319">
        <f>'4A Walla'!Q6</f>
        <v>13</v>
      </c>
      <c r="E10" s="319">
        <v>13</v>
      </c>
      <c r="F10" s="646">
        <v>13</v>
      </c>
      <c r="G10" s="646"/>
      <c r="H10" s="319">
        <f>'4A Walla'!I7</f>
        <v>0</v>
      </c>
      <c r="I10" s="319">
        <v>0</v>
      </c>
    </row>
    <row r="11" spans="1:9" s="304" customFormat="1" ht="23.3" customHeight="1" x14ac:dyDescent="0.25">
      <c r="A11" s="314" t="s">
        <v>354</v>
      </c>
      <c r="B11" s="419">
        <v>28</v>
      </c>
      <c r="C11" s="419">
        <v>1</v>
      </c>
      <c r="D11" s="319">
        <f>'4B Nyitnikék'!Q6</f>
        <v>32</v>
      </c>
      <c r="E11" s="319">
        <v>32</v>
      </c>
      <c r="F11" s="646">
        <v>30</v>
      </c>
      <c r="G11" s="646">
        <v>4</v>
      </c>
      <c r="H11" s="320">
        <f>'4B Nyitnikék'!I7</f>
        <v>0</v>
      </c>
      <c r="I11" s="320">
        <v>0</v>
      </c>
    </row>
    <row r="12" spans="1:9" s="304" customFormat="1" ht="23.3" customHeight="1" x14ac:dyDescent="0.25">
      <c r="A12" s="314" t="s">
        <v>355</v>
      </c>
      <c r="B12" s="419">
        <v>53</v>
      </c>
      <c r="C12" s="419">
        <v>4</v>
      </c>
      <c r="D12" s="319">
        <f>'4C Bóbita'!Q6</f>
        <v>56</v>
      </c>
      <c r="E12" s="319">
        <v>56</v>
      </c>
      <c r="F12" s="646">
        <v>54</v>
      </c>
      <c r="G12" s="646">
        <v>4</v>
      </c>
      <c r="H12" s="319">
        <f>'4C Bóbita'!I7</f>
        <v>0</v>
      </c>
      <c r="I12" s="319">
        <v>0</v>
      </c>
    </row>
    <row r="13" spans="1:9" s="304" customFormat="1" ht="23.3" customHeight="1" x14ac:dyDescent="0.25">
      <c r="A13" s="314" t="s">
        <v>356</v>
      </c>
      <c r="B13" s="419">
        <v>11</v>
      </c>
      <c r="C13" s="419">
        <v>3</v>
      </c>
      <c r="D13" s="319">
        <f>+'4D MMMH'!Q6</f>
        <v>17</v>
      </c>
      <c r="E13" s="319">
        <v>15</v>
      </c>
      <c r="F13" s="646">
        <v>17</v>
      </c>
      <c r="G13" s="646">
        <v>0</v>
      </c>
      <c r="H13" s="320">
        <f>'4D MMMH'!I7</f>
        <v>0</v>
      </c>
      <c r="I13" s="320">
        <v>0</v>
      </c>
    </row>
    <row r="14" spans="1:9" s="304" customFormat="1" ht="23.3" customHeight="1" x14ac:dyDescent="0.25">
      <c r="A14" s="314" t="s">
        <v>1234</v>
      </c>
      <c r="B14" s="419">
        <v>4</v>
      </c>
      <c r="C14" s="419">
        <v>1</v>
      </c>
      <c r="D14" s="319">
        <f>+'4E Könyvtár'!Q6</f>
        <v>5.5</v>
      </c>
      <c r="E14" s="319">
        <v>5</v>
      </c>
      <c r="F14" s="646">
        <v>5</v>
      </c>
      <c r="G14" s="646">
        <v>1</v>
      </c>
      <c r="H14" s="320">
        <f>'4E Könyvtár'!I7</f>
        <v>0</v>
      </c>
      <c r="I14" s="320">
        <v>0</v>
      </c>
    </row>
    <row r="15" spans="1:9" s="304" customFormat="1" ht="23.3" customHeight="1" x14ac:dyDescent="0.25">
      <c r="A15" s="314" t="s">
        <v>362</v>
      </c>
      <c r="B15" s="419">
        <v>13</v>
      </c>
      <c r="C15" s="419">
        <v>4</v>
      </c>
      <c r="D15" s="319">
        <f>'4F Segítő Kéz'!Q6</f>
        <v>17</v>
      </c>
      <c r="E15" s="319">
        <v>17</v>
      </c>
      <c r="F15" s="646">
        <v>15</v>
      </c>
      <c r="G15" s="646">
        <v>4</v>
      </c>
      <c r="H15" s="319">
        <f>'4F Segítő Kéz'!I7</f>
        <v>0</v>
      </c>
      <c r="I15" s="319">
        <v>0</v>
      </c>
    </row>
    <row r="16" spans="1:9" s="304" customFormat="1" ht="23.3" customHeight="1" x14ac:dyDescent="0.25">
      <c r="A16" s="314" t="s">
        <v>1301</v>
      </c>
      <c r="B16" s="419">
        <v>22</v>
      </c>
      <c r="C16" s="419"/>
      <c r="D16" s="319">
        <f>+'4G Szérüskert'!Q6</f>
        <v>24</v>
      </c>
      <c r="E16" s="319">
        <v>24</v>
      </c>
      <c r="F16" s="646">
        <v>24</v>
      </c>
      <c r="G16" s="646"/>
      <c r="H16" s="319"/>
      <c r="I16" s="319"/>
    </row>
    <row r="17" spans="1:9" s="304" customFormat="1" ht="23.3" customHeight="1" x14ac:dyDescent="0.25">
      <c r="A17" s="314" t="s">
        <v>995</v>
      </c>
      <c r="B17" s="837"/>
      <c r="C17" s="837"/>
      <c r="D17" s="838">
        <v>69.5</v>
      </c>
      <c r="E17" s="838"/>
      <c r="F17" s="837">
        <v>67</v>
      </c>
      <c r="G17" s="837">
        <v>5</v>
      </c>
      <c r="H17" s="838"/>
      <c r="I17" s="838"/>
    </row>
    <row r="18" spans="1:9" s="318" customFormat="1" ht="23.3" customHeight="1" x14ac:dyDescent="0.25">
      <c r="A18" s="315" t="s">
        <v>1026</v>
      </c>
      <c r="B18" s="472">
        <f>SUM(B10:B16)</f>
        <v>143</v>
      </c>
      <c r="C18" s="472">
        <f>SUM(C10:C15)</f>
        <v>14</v>
      </c>
      <c r="D18" s="321">
        <f>SUM(D10:D17)</f>
        <v>234</v>
      </c>
      <c r="E18" s="321">
        <f>SUM(E10:E16)</f>
        <v>162</v>
      </c>
      <c r="F18" s="472">
        <f>SUM(F10:F17)</f>
        <v>225</v>
      </c>
      <c r="G18" s="472">
        <f>SUM(G10:G17)</f>
        <v>18</v>
      </c>
      <c r="H18" s="321">
        <f t="shared" ref="H18:I18" si="1">SUM(H10:H15)</f>
        <v>0</v>
      </c>
      <c r="I18" s="321">
        <f t="shared" si="1"/>
        <v>0</v>
      </c>
    </row>
    <row r="19" spans="1:9" s="324" customFormat="1" ht="23.3" customHeight="1" x14ac:dyDescent="0.25">
      <c r="A19" s="322" t="s">
        <v>1255</v>
      </c>
      <c r="B19" s="471">
        <f>B18+B8</f>
        <v>219</v>
      </c>
      <c r="C19" s="471">
        <f>C18+C8</f>
        <v>17</v>
      </c>
      <c r="D19" s="323">
        <f>D18+D8</f>
        <v>329</v>
      </c>
      <c r="E19" s="323">
        <f t="shared" ref="E19" si="2">E18+E8</f>
        <v>257</v>
      </c>
      <c r="F19" s="471">
        <f>F18+F8</f>
        <v>319</v>
      </c>
      <c r="G19" s="471">
        <f>G18+G8</f>
        <v>20</v>
      </c>
      <c r="H19" s="323">
        <f>H18+H8</f>
        <v>10</v>
      </c>
      <c r="I19" s="323">
        <f>I18+I8</f>
        <v>7</v>
      </c>
    </row>
  </sheetData>
  <mergeCells count="8">
    <mergeCell ref="D2:D3"/>
    <mergeCell ref="F2:G2"/>
    <mergeCell ref="H2:H3"/>
    <mergeCell ref="I2:I3"/>
    <mergeCell ref="A1:I1"/>
    <mergeCell ref="A2:A3"/>
    <mergeCell ref="B2:C2"/>
    <mergeCell ref="E2:E3"/>
  </mergeCells>
  <pageMargins left="0.78740157480314965" right="0.78740157480314965" top="1.0236220472440944" bottom="1.0236220472440944" header="0.78740157480314965" footer="0.78740157480314965"/>
  <pageSetup paperSize="9" scale="70" firstPageNumber="0" orientation="portrait" r:id="rId1"/>
  <headerFooter alignWithMargins="0">
    <oddHeader>&amp;L 6. melléklet a ...../2019. (.......) önkormányzati rendelethez</oddHeader>
    <oddFooter>&amp;C&amp;10&amp;P&amp;R&amp;10&amp;D 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topLeftCell="A25" zoomScale="75" zoomScaleNormal="100" zoomScaleSheetLayoutView="75" workbookViewId="0">
      <selection activeCell="A30" sqref="A30"/>
    </sheetView>
  </sheetViews>
  <sheetFormatPr defaultColWidth="9.125" defaultRowHeight="15.65" x14ac:dyDescent="0.25"/>
  <cols>
    <col min="1" max="1" width="5.75" style="476" bestFit="1" customWidth="1"/>
    <col min="2" max="2" width="57.875" style="477" customWidth="1"/>
    <col min="3" max="7" width="15" style="477" customWidth="1"/>
    <col min="8" max="11" width="15.625" style="477" hidden="1" customWidth="1"/>
    <col min="12" max="12" width="12.375" style="477" hidden="1" customWidth="1"/>
    <col min="13" max="13" width="9.625" style="490" customWidth="1"/>
    <col min="14" max="14" width="13.25" style="751" customWidth="1"/>
    <col min="15" max="15" width="18.125" style="480" customWidth="1"/>
    <col min="16" max="16" width="10.625" style="477" customWidth="1"/>
    <col min="17" max="17" width="12" style="477" customWidth="1"/>
    <col min="18" max="18" width="9.125" style="477" customWidth="1"/>
    <col min="19" max="19" width="9.875" style="477" customWidth="1"/>
    <col min="20" max="16384" width="9.125" style="477"/>
  </cols>
  <sheetData>
    <row r="1" spans="1:19" s="475" customFormat="1" ht="21.1" x14ac:dyDescent="0.35">
      <c r="A1" s="932" t="s">
        <v>984</v>
      </c>
      <c r="B1" s="932"/>
      <c r="C1" s="932"/>
      <c r="D1" s="496"/>
      <c r="E1" s="525"/>
      <c r="F1" s="689"/>
      <c r="G1" s="647"/>
      <c r="H1" s="691"/>
      <c r="I1" s="725"/>
      <c r="J1" s="749"/>
      <c r="K1" s="773"/>
      <c r="L1" s="749"/>
      <c r="M1" s="473"/>
      <c r="N1" s="750"/>
      <c r="O1" s="474"/>
      <c r="S1" s="503"/>
    </row>
    <row r="3" spans="1:19" x14ac:dyDescent="0.25">
      <c r="D3" s="478"/>
      <c r="E3" s="478"/>
      <c r="F3" s="478"/>
      <c r="G3" s="478" t="s">
        <v>302</v>
      </c>
      <c r="H3" s="478"/>
      <c r="I3" s="478"/>
      <c r="K3" s="478"/>
      <c r="L3" s="478" t="s">
        <v>302</v>
      </c>
      <c r="M3" s="479"/>
      <c r="N3" s="752"/>
    </row>
    <row r="4" spans="1:19" s="482" customFormat="1" ht="50.3" customHeight="1" x14ac:dyDescent="0.25">
      <c r="A4" s="693" t="s">
        <v>985</v>
      </c>
      <c r="B4" s="694" t="s">
        <v>306</v>
      </c>
      <c r="C4" s="695" t="s">
        <v>1461</v>
      </c>
      <c r="D4" s="695" t="s">
        <v>1489</v>
      </c>
      <c r="E4" s="695" t="s">
        <v>1530</v>
      </c>
      <c r="F4" s="695" t="s">
        <v>1498</v>
      </c>
      <c r="G4" s="695" t="s">
        <v>1501</v>
      </c>
      <c r="H4" s="695" t="s">
        <v>1502</v>
      </c>
      <c r="I4" s="695" t="s">
        <v>1508</v>
      </c>
      <c r="J4" s="695" t="s">
        <v>1509</v>
      </c>
      <c r="K4" s="695" t="s">
        <v>1510</v>
      </c>
      <c r="L4" s="695" t="s">
        <v>1472</v>
      </c>
      <c r="M4" s="385" t="s">
        <v>1260</v>
      </c>
      <c r="N4" s="753" t="s">
        <v>989</v>
      </c>
      <c r="O4" s="481" t="s">
        <v>986</v>
      </c>
      <c r="P4" s="482" t="s">
        <v>987</v>
      </c>
      <c r="Q4" s="482" t="s">
        <v>988</v>
      </c>
    </row>
    <row r="5" spans="1:19" s="482" customFormat="1" x14ac:dyDescent="0.25">
      <c r="A5" s="696" t="s">
        <v>309</v>
      </c>
      <c r="B5" s="697" t="s">
        <v>990</v>
      </c>
      <c r="C5" s="698">
        <f>C6+C23+C33+C38+C42+C60+C63+C80+C77+C62+C78+C92+1</f>
        <v>1500085.24</v>
      </c>
      <c r="D5" s="698">
        <f t="shared" ref="D5:L5" si="0">D6+D23+D33+D38+D42+D60+D63+D80+D77+D62+D78+D92</f>
        <v>1707200.5</v>
      </c>
      <c r="E5" s="698">
        <f t="shared" si="0"/>
        <v>1707200.5</v>
      </c>
      <c r="F5" s="698">
        <f t="shared" si="0"/>
        <v>0</v>
      </c>
      <c r="G5" s="698">
        <f t="shared" si="0"/>
        <v>0</v>
      </c>
      <c r="H5" s="698">
        <f t="shared" si="0"/>
        <v>0</v>
      </c>
      <c r="I5" s="698">
        <f t="shared" si="0"/>
        <v>0</v>
      </c>
      <c r="J5" s="698">
        <f t="shared" si="0"/>
        <v>0</v>
      </c>
      <c r="K5" s="698">
        <f t="shared" si="0"/>
        <v>0</v>
      </c>
      <c r="L5" s="698">
        <f t="shared" si="0"/>
        <v>0</v>
      </c>
      <c r="M5" s="385"/>
      <c r="N5" s="753"/>
      <c r="O5" s="761" t="s">
        <v>1473</v>
      </c>
      <c r="P5" s="770"/>
      <c r="R5" s="770"/>
    </row>
    <row r="6" spans="1:19" s="482" customFormat="1" x14ac:dyDescent="0.25">
      <c r="A6" s="699" t="s">
        <v>311</v>
      </c>
      <c r="B6" s="700" t="s">
        <v>1144</v>
      </c>
      <c r="C6" s="701">
        <f t="shared" ref="C6" si="1">SUM(C7:C21)</f>
        <v>238245</v>
      </c>
      <c r="D6" s="701">
        <f t="shared" ref="D6:E6" si="2">SUM(D7:D22)</f>
        <v>175688</v>
      </c>
      <c r="E6" s="701">
        <f t="shared" si="2"/>
        <v>175688</v>
      </c>
      <c r="F6" s="701">
        <f t="shared" ref="F6:L6" si="3">SUM(F7:F21)</f>
        <v>0</v>
      </c>
      <c r="G6" s="701">
        <f t="shared" si="3"/>
        <v>0</v>
      </c>
      <c r="H6" s="701">
        <f t="shared" si="3"/>
        <v>0</v>
      </c>
      <c r="I6" s="701">
        <f t="shared" si="3"/>
        <v>0</v>
      </c>
      <c r="J6" s="701">
        <f>SUM(J7:J22)</f>
        <v>0</v>
      </c>
      <c r="K6" s="701">
        <f>SUM(K7:K22)</f>
        <v>0</v>
      </c>
      <c r="L6" s="701">
        <f t="shared" si="3"/>
        <v>0</v>
      </c>
      <c r="M6" s="386"/>
      <c r="N6" s="754"/>
      <c r="O6" s="761"/>
      <c r="P6" s="737"/>
      <c r="Q6" s="202"/>
    </row>
    <row r="7" spans="1:19" s="482" customFormat="1" x14ac:dyDescent="0.25">
      <c r="A7" s="702"/>
      <c r="B7" s="703" t="s">
        <v>1324</v>
      </c>
      <c r="C7" s="705">
        <f>92384+4978+8974+406+921+249+3000+1016+15000</f>
        <v>126928</v>
      </c>
      <c r="D7" s="704">
        <f t="shared" ref="D7:E7" si="4">88809-10279</f>
        <v>78530</v>
      </c>
      <c r="E7" s="704">
        <f t="shared" si="4"/>
        <v>78530</v>
      </c>
      <c r="F7" s="705"/>
      <c r="G7" s="705"/>
      <c r="H7" s="704">
        <f t="shared" ref="H7:H15" si="5">+G7</f>
        <v>0</v>
      </c>
      <c r="I7" s="704"/>
      <c r="J7" s="704"/>
      <c r="K7" s="704"/>
      <c r="L7" s="704"/>
      <c r="M7" s="387" t="s">
        <v>1284</v>
      </c>
      <c r="N7" s="755" t="s">
        <v>1294</v>
      </c>
      <c r="O7" s="761">
        <v>18595</v>
      </c>
      <c r="P7" s="410"/>
      <c r="Q7" s="410"/>
    </row>
    <row r="8" spans="1:19" s="482" customFormat="1" ht="27.2" x14ac:dyDescent="0.25">
      <c r="A8" s="702"/>
      <c r="B8" s="703" t="s">
        <v>1362</v>
      </c>
      <c r="C8" s="705">
        <v>8828</v>
      </c>
      <c r="D8" s="704">
        <v>8828</v>
      </c>
      <c r="E8" s="704">
        <v>8828</v>
      </c>
      <c r="F8" s="705"/>
      <c r="G8" s="705"/>
      <c r="H8" s="704">
        <f t="shared" si="5"/>
        <v>0</v>
      </c>
      <c r="I8" s="704"/>
      <c r="J8" s="704"/>
      <c r="K8" s="704"/>
      <c r="L8" s="704"/>
      <c r="M8" s="387" t="s">
        <v>1284</v>
      </c>
      <c r="N8" s="755" t="s">
        <v>1342</v>
      </c>
      <c r="O8" s="761"/>
      <c r="P8" s="410"/>
      <c r="Q8" s="410"/>
    </row>
    <row r="9" spans="1:19" s="482" customFormat="1" x14ac:dyDescent="0.25">
      <c r="A9" s="702"/>
      <c r="B9" s="703" t="s">
        <v>1363</v>
      </c>
      <c r="C9" s="705">
        <v>6985</v>
      </c>
      <c r="D9" s="704">
        <f t="shared" ref="D9:E9" si="6">6985+635</f>
        <v>7620</v>
      </c>
      <c r="E9" s="704">
        <f t="shared" si="6"/>
        <v>7620</v>
      </c>
      <c r="F9" s="705"/>
      <c r="G9" s="705"/>
      <c r="H9" s="704">
        <f t="shared" si="5"/>
        <v>0</v>
      </c>
      <c r="I9" s="704"/>
      <c r="J9" s="704"/>
      <c r="K9" s="704"/>
      <c r="L9" s="704"/>
      <c r="M9" s="387" t="s">
        <v>1284</v>
      </c>
      <c r="N9" s="755" t="s">
        <v>1393</v>
      </c>
      <c r="O9" s="761">
        <v>351</v>
      </c>
      <c r="P9" s="410"/>
      <c r="Q9" s="410"/>
    </row>
    <row r="10" spans="1:19" s="482" customFormat="1" x14ac:dyDescent="0.25">
      <c r="A10" s="702"/>
      <c r="B10" s="703" t="s">
        <v>1325</v>
      </c>
      <c r="C10" s="705">
        <v>2540</v>
      </c>
      <c r="D10" s="704">
        <v>2540</v>
      </c>
      <c r="E10" s="704">
        <v>2540</v>
      </c>
      <c r="F10" s="705"/>
      <c r="G10" s="705"/>
      <c r="H10" s="704">
        <f t="shared" si="5"/>
        <v>0</v>
      </c>
      <c r="I10" s="704"/>
      <c r="J10" s="704"/>
      <c r="K10" s="704"/>
      <c r="L10" s="704"/>
      <c r="M10" s="387" t="s">
        <v>1284</v>
      </c>
      <c r="N10" s="755" t="s">
        <v>1344</v>
      </c>
      <c r="O10" s="761"/>
      <c r="P10" s="410"/>
      <c r="Q10" s="410"/>
    </row>
    <row r="11" spans="1:19" s="482" customFormat="1" x14ac:dyDescent="0.25">
      <c r="A11" s="699"/>
      <c r="B11" s="707" t="s">
        <v>1326</v>
      </c>
      <c r="C11" s="705">
        <v>3000</v>
      </c>
      <c r="D11" s="704">
        <f t="shared" ref="D11:E11" si="7">3000-3000</f>
        <v>0</v>
      </c>
      <c r="E11" s="704">
        <f t="shared" si="7"/>
        <v>0</v>
      </c>
      <c r="F11" s="705"/>
      <c r="G11" s="705"/>
      <c r="H11" s="704">
        <f t="shared" si="5"/>
        <v>0</v>
      </c>
      <c r="I11" s="704"/>
      <c r="J11" s="704"/>
      <c r="K11" s="704"/>
      <c r="L11" s="704"/>
      <c r="M11" s="387" t="s">
        <v>1351</v>
      </c>
      <c r="N11" s="755" t="s">
        <v>1285</v>
      </c>
      <c r="O11" s="761"/>
      <c r="P11" s="242"/>
      <c r="Q11" s="242"/>
    </row>
    <row r="12" spans="1:19" s="482" customFormat="1" x14ac:dyDescent="0.25">
      <c r="A12" s="699"/>
      <c r="B12" s="707" t="s">
        <v>1333</v>
      </c>
      <c r="C12" s="705">
        <f>4191</f>
        <v>4191</v>
      </c>
      <c r="D12" s="704">
        <v>4191</v>
      </c>
      <c r="E12" s="704">
        <v>4191</v>
      </c>
      <c r="F12" s="705"/>
      <c r="G12" s="705"/>
      <c r="H12" s="704">
        <f t="shared" si="5"/>
        <v>0</v>
      </c>
      <c r="I12" s="704"/>
      <c r="J12" s="704"/>
      <c r="K12" s="704"/>
      <c r="L12" s="704"/>
      <c r="M12" s="387" t="s">
        <v>1284</v>
      </c>
      <c r="N12" s="755" t="s">
        <v>1343</v>
      </c>
      <c r="O12" s="761"/>
      <c r="P12" s="242"/>
      <c r="Q12" s="242"/>
    </row>
    <row r="13" spans="1:19" s="482" customFormat="1" ht="27.2" x14ac:dyDescent="0.25">
      <c r="A13" s="699"/>
      <c r="B13" s="707" t="s">
        <v>1364</v>
      </c>
      <c r="C13" s="705">
        <v>28598</v>
      </c>
      <c r="D13" s="704">
        <v>28598</v>
      </c>
      <c r="E13" s="704">
        <v>28598</v>
      </c>
      <c r="F13" s="705"/>
      <c r="G13" s="705"/>
      <c r="H13" s="704">
        <f t="shared" si="5"/>
        <v>0</v>
      </c>
      <c r="I13" s="704"/>
      <c r="J13" s="704"/>
      <c r="K13" s="704"/>
      <c r="L13" s="704"/>
      <c r="M13" s="387" t="s">
        <v>1284</v>
      </c>
      <c r="N13" s="755" t="s">
        <v>1396</v>
      </c>
      <c r="O13" s="761"/>
      <c r="P13" s="242"/>
      <c r="Q13" s="242"/>
    </row>
    <row r="14" spans="1:19" s="654" customFormat="1" ht="28.55" customHeight="1" x14ac:dyDescent="0.25">
      <c r="A14" s="693"/>
      <c r="B14" s="708" t="s">
        <v>1494</v>
      </c>
      <c r="C14" s="705">
        <f>5000+20000</f>
        <v>25000</v>
      </c>
      <c r="D14" s="704">
        <f t="shared" ref="D14:E14" si="8">25000+1983</f>
        <v>26983</v>
      </c>
      <c r="E14" s="704">
        <f t="shared" si="8"/>
        <v>26983</v>
      </c>
      <c r="F14" s="705"/>
      <c r="G14" s="705"/>
      <c r="H14" s="704">
        <f t="shared" si="5"/>
        <v>0</v>
      </c>
      <c r="I14" s="704"/>
      <c r="J14" s="704"/>
      <c r="K14" s="704"/>
      <c r="L14" s="704"/>
      <c r="M14" s="652" t="s">
        <v>1284</v>
      </c>
      <c r="N14" s="756" t="s">
        <v>1343</v>
      </c>
      <c r="O14" s="762"/>
      <c r="P14" s="653"/>
      <c r="Q14" s="653"/>
    </row>
    <row r="15" spans="1:19" s="482" customFormat="1" ht="27.2" x14ac:dyDescent="0.25">
      <c r="A15" s="699"/>
      <c r="B15" s="707" t="s">
        <v>1432</v>
      </c>
      <c r="C15" s="705">
        <v>175</v>
      </c>
      <c r="D15" s="704">
        <v>175</v>
      </c>
      <c r="E15" s="704">
        <v>175</v>
      </c>
      <c r="F15" s="705"/>
      <c r="G15" s="705"/>
      <c r="H15" s="704">
        <f t="shared" si="5"/>
        <v>0</v>
      </c>
      <c r="I15" s="704"/>
      <c r="J15" s="704"/>
      <c r="K15" s="704"/>
      <c r="L15" s="704"/>
      <c r="M15" s="387"/>
      <c r="N15" s="755" t="s">
        <v>1391</v>
      </c>
      <c r="O15" s="761"/>
      <c r="P15" s="242"/>
      <c r="Q15" s="242"/>
    </row>
    <row r="16" spans="1:19" s="482" customFormat="1" ht="18" customHeight="1" x14ac:dyDescent="0.25">
      <c r="A16" s="699"/>
      <c r="B16" s="707"/>
      <c r="C16" s="705"/>
      <c r="D16" s="704">
        <f t="shared" ref="D16:E16" si="9">+C16</f>
        <v>0</v>
      </c>
      <c r="E16" s="704">
        <f t="shared" si="9"/>
        <v>0</v>
      </c>
      <c r="F16" s="705"/>
      <c r="G16" s="705"/>
      <c r="H16" s="704"/>
      <c r="I16" s="704"/>
      <c r="J16" s="704"/>
      <c r="K16" s="704"/>
      <c r="L16" s="704"/>
      <c r="M16" s="387"/>
      <c r="N16" s="755" t="s">
        <v>1390</v>
      </c>
      <c r="O16" s="761"/>
      <c r="P16" s="242"/>
      <c r="Q16" s="242"/>
    </row>
    <row r="17" spans="1:17" s="657" customFormat="1" x14ac:dyDescent="0.25">
      <c r="A17" s="709"/>
      <c r="B17" s="707" t="s">
        <v>1433</v>
      </c>
      <c r="C17" s="705">
        <v>6000</v>
      </c>
      <c r="D17" s="704">
        <f t="shared" ref="D17:E17" si="10">6000+318+1905</f>
        <v>8223</v>
      </c>
      <c r="E17" s="704">
        <f t="shared" si="10"/>
        <v>8223</v>
      </c>
      <c r="F17" s="705"/>
      <c r="G17" s="705"/>
      <c r="H17" s="704"/>
      <c r="I17" s="704"/>
      <c r="J17" s="704"/>
      <c r="K17" s="704"/>
      <c r="L17" s="704"/>
      <c r="M17" s="655" t="s">
        <v>1284</v>
      </c>
      <c r="N17" s="757"/>
      <c r="O17" s="763"/>
      <c r="P17" s="656"/>
      <c r="Q17" s="656"/>
    </row>
    <row r="18" spans="1:17" s="657" customFormat="1" x14ac:dyDescent="0.25">
      <c r="A18" s="709">
        <v>1901</v>
      </c>
      <c r="B18" s="707" t="s">
        <v>1434</v>
      </c>
      <c r="C18" s="706">
        <v>26000</v>
      </c>
      <c r="D18" s="704">
        <f t="shared" ref="D18:E18" si="11">26000-25000-1000</f>
        <v>0</v>
      </c>
      <c r="E18" s="704">
        <f t="shared" si="11"/>
        <v>0</v>
      </c>
      <c r="F18" s="706"/>
      <c r="G18" s="706"/>
      <c r="H18" s="704"/>
      <c r="I18" s="704"/>
      <c r="J18" s="704"/>
      <c r="K18" s="704"/>
      <c r="L18" s="704"/>
      <c r="M18" s="655"/>
      <c r="N18" s="757"/>
      <c r="O18" s="763"/>
      <c r="P18" s="656"/>
      <c r="Q18" s="656"/>
    </row>
    <row r="19" spans="1:17" s="482" customFormat="1" x14ac:dyDescent="0.25">
      <c r="A19" s="699"/>
      <c r="B19" s="707"/>
      <c r="C19" s="705"/>
      <c r="D19" s="705"/>
      <c r="E19" s="705"/>
      <c r="F19" s="706"/>
      <c r="G19" s="705"/>
      <c r="H19" s="705"/>
      <c r="I19" s="705"/>
      <c r="J19" s="705"/>
      <c r="K19" s="705"/>
      <c r="L19" s="705"/>
      <c r="M19" s="686"/>
      <c r="N19" s="755"/>
      <c r="O19" s="761"/>
      <c r="P19" s="242"/>
      <c r="Q19" s="242"/>
    </row>
    <row r="20" spans="1:17" s="482" customFormat="1" x14ac:dyDescent="0.25">
      <c r="A20" s="699"/>
      <c r="B20" s="707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387"/>
      <c r="N20" s="755"/>
      <c r="O20" s="761"/>
      <c r="P20" s="242"/>
      <c r="Q20" s="242"/>
    </row>
    <row r="21" spans="1:17" s="482" customFormat="1" x14ac:dyDescent="0.25">
      <c r="A21" s="699"/>
      <c r="B21" s="707"/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387"/>
      <c r="N21" s="755"/>
      <c r="O21" s="761"/>
      <c r="P21" s="242"/>
      <c r="Q21" s="242"/>
    </row>
    <row r="22" spans="1:17" s="482" customFormat="1" x14ac:dyDescent="0.25">
      <c r="A22" s="699"/>
      <c r="B22" s="707" t="s">
        <v>1481</v>
      </c>
      <c r="C22" s="706"/>
      <c r="D22" s="706">
        <v>10000</v>
      </c>
      <c r="E22" s="706">
        <v>10000</v>
      </c>
      <c r="F22" s="706"/>
      <c r="G22" s="706"/>
      <c r="H22" s="706"/>
      <c r="I22" s="706"/>
      <c r="J22" s="706"/>
      <c r="K22" s="706"/>
      <c r="L22" s="706"/>
      <c r="M22" s="387" t="s">
        <v>1482</v>
      </c>
      <c r="N22" s="755" t="s">
        <v>1483</v>
      </c>
      <c r="O22" s="761"/>
      <c r="P22" s="242"/>
      <c r="Q22" s="242"/>
    </row>
    <row r="23" spans="1:17" s="482" customFormat="1" x14ac:dyDescent="0.25">
      <c r="A23" s="699" t="s">
        <v>322</v>
      </c>
      <c r="B23" s="700" t="s">
        <v>1145</v>
      </c>
      <c r="C23" s="711">
        <f>SUM(C24:C29)</f>
        <v>783316.74</v>
      </c>
      <c r="D23" s="711">
        <f t="shared" ref="D23:E23" si="12">SUM(D24:D32)</f>
        <v>1045910</v>
      </c>
      <c r="E23" s="711">
        <f t="shared" si="12"/>
        <v>1045910</v>
      </c>
      <c r="F23" s="711">
        <f>SUM(F24:F27)</f>
        <v>0</v>
      </c>
      <c r="G23" s="711">
        <f>SUM(G24:G29)</f>
        <v>0</v>
      </c>
      <c r="H23" s="711">
        <f>SUM(H24:H29)</f>
        <v>0</v>
      </c>
      <c r="I23" s="711">
        <f>SUM(I24:I30)</f>
        <v>0</v>
      </c>
      <c r="J23" s="711">
        <f>SUM(J24:J31)</f>
        <v>0</v>
      </c>
      <c r="K23" s="711">
        <f>SUM(K24:K32)</f>
        <v>0</v>
      </c>
      <c r="L23" s="711">
        <f>SUM(L24:L30)</f>
        <v>0</v>
      </c>
      <c r="M23" s="386"/>
      <c r="N23" s="754"/>
      <c r="O23" s="761"/>
      <c r="P23" s="242"/>
      <c r="Q23" s="242"/>
    </row>
    <row r="24" spans="1:17" s="482" customFormat="1" x14ac:dyDescent="0.25">
      <c r="A24" s="699"/>
      <c r="B24" s="70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387" t="s">
        <v>1284</v>
      </c>
      <c r="N24" s="755" t="s">
        <v>1286</v>
      </c>
      <c r="O24" s="761"/>
      <c r="P24" s="242"/>
      <c r="Q24" s="242"/>
    </row>
    <row r="25" spans="1:17" s="482" customFormat="1" x14ac:dyDescent="0.25">
      <c r="A25" s="702"/>
      <c r="B25" s="703" t="s">
        <v>1435</v>
      </c>
      <c r="C25" s="705">
        <f>757058+7087+2286+2032+7815+1905+140</f>
        <v>778323</v>
      </c>
      <c r="D25" s="704">
        <f t="shared" ref="D25:E25" si="13">935821-90506+81599+46228</f>
        <v>973142</v>
      </c>
      <c r="E25" s="704">
        <f t="shared" si="13"/>
        <v>973142</v>
      </c>
      <c r="F25" s="705"/>
      <c r="G25" s="705"/>
      <c r="H25" s="704"/>
      <c r="I25" s="704"/>
      <c r="J25" s="704"/>
      <c r="K25" s="704"/>
      <c r="L25" s="704"/>
      <c r="M25" s="387" t="s">
        <v>1351</v>
      </c>
      <c r="N25" s="755" t="s">
        <v>1287</v>
      </c>
      <c r="O25" s="761">
        <v>40496</v>
      </c>
      <c r="P25" s="410"/>
      <c r="Q25" s="410"/>
    </row>
    <row r="26" spans="1:17" s="482" customFormat="1" x14ac:dyDescent="0.25">
      <c r="A26" s="702"/>
      <c r="B26" s="703"/>
      <c r="C26" s="705"/>
      <c r="D26" s="704">
        <f t="shared" ref="D26:E26" si="14">+C26</f>
        <v>0</v>
      </c>
      <c r="E26" s="704">
        <f t="shared" si="14"/>
        <v>0</v>
      </c>
      <c r="F26" s="705"/>
      <c r="G26" s="705"/>
      <c r="H26" s="704"/>
      <c r="I26" s="704"/>
      <c r="J26" s="704"/>
      <c r="K26" s="704"/>
      <c r="L26" s="704"/>
      <c r="M26" s="387" t="s">
        <v>1284</v>
      </c>
      <c r="N26" s="755" t="s">
        <v>1395</v>
      </c>
      <c r="O26" s="761"/>
      <c r="P26" s="410"/>
      <c r="Q26" s="410"/>
    </row>
    <row r="27" spans="1:17" s="482" customFormat="1" ht="27.2" x14ac:dyDescent="0.25">
      <c r="A27" s="702"/>
      <c r="B27" s="703" t="s">
        <v>1436</v>
      </c>
      <c r="C27" s="705">
        <f>3562*1.27</f>
        <v>4523.74</v>
      </c>
      <c r="D27" s="704">
        <f t="shared" ref="D27:E27" si="15">3606-626</f>
        <v>2980</v>
      </c>
      <c r="E27" s="704">
        <f t="shared" si="15"/>
        <v>2980</v>
      </c>
      <c r="F27" s="705"/>
      <c r="G27" s="705"/>
      <c r="H27" s="704"/>
      <c r="I27" s="704"/>
      <c r="J27" s="704"/>
      <c r="K27" s="704"/>
      <c r="L27" s="704"/>
      <c r="M27" s="387" t="s">
        <v>1351</v>
      </c>
      <c r="N27" s="755" t="s">
        <v>1288</v>
      </c>
      <c r="O27" s="761">
        <v>1027</v>
      </c>
      <c r="P27" s="410"/>
      <c r="Q27" s="410"/>
    </row>
    <row r="28" spans="1:17" s="654" customFormat="1" x14ac:dyDescent="0.25">
      <c r="A28" s="712"/>
      <c r="B28" s="713"/>
      <c r="C28" s="705"/>
      <c r="D28" s="704">
        <f t="shared" ref="D28:E28" si="16">+C28</f>
        <v>0</v>
      </c>
      <c r="E28" s="704">
        <f t="shared" si="16"/>
        <v>0</v>
      </c>
      <c r="F28" s="705"/>
      <c r="G28" s="705"/>
      <c r="H28" s="704"/>
      <c r="I28" s="704"/>
      <c r="J28" s="704"/>
      <c r="K28" s="704"/>
      <c r="L28" s="704"/>
      <c r="M28" s="652"/>
      <c r="N28" s="756"/>
      <c r="O28" s="762"/>
      <c r="P28" s="658"/>
      <c r="Q28" s="658"/>
    </row>
    <row r="29" spans="1:17" s="482" customFormat="1" x14ac:dyDescent="0.25">
      <c r="A29" s="836">
        <v>1919</v>
      </c>
      <c r="B29" s="703" t="s">
        <v>1493</v>
      </c>
      <c r="C29" s="705">
        <v>470</v>
      </c>
      <c r="D29" s="704">
        <f t="shared" ref="D29:E29" si="17">1423+5987</f>
        <v>7410</v>
      </c>
      <c r="E29" s="704">
        <f t="shared" si="17"/>
        <v>7410</v>
      </c>
      <c r="F29" s="705"/>
      <c r="G29" s="705"/>
      <c r="H29" s="704"/>
      <c r="I29" s="704"/>
      <c r="J29" s="704"/>
      <c r="K29" s="704"/>
      <c r="L29" s="704"/>
      <c r="M29" s="387"/>
      <c r="N29" s="755" t="s">
        <v>1415</v>
      </c>
      <c r="O29" s="761"/>
      <c r="P29" s="410"/>
      <c r="Q29" s="410"/>
    </row>
    <row r="30" spans="1:17" s="482" customFormat="1" ht="40.75" x14ac:dyDescent="0.25">
      <c r="A30" s="702"/>
      <c r="B30" s="735" t="s">
        <v>1469</v>
      </c>
      <c r="C30" s="705"/>
      <c r="D30" s="704">
        <f t="shared" ref="D30:E30" si="18">49097-1197+4445</f>
        <v>52345</v>
      </c>
      <c r="E30" s="704">
        <f t="shared" si="18"/>
        <v>52345</v>
      </c>
      <c r="F30" s="705"/>
      <c r="G30" s="705"/>
      <c r="H30" s="704"/>
      <c r="I30" s="704"/>
      <c r="J30" s="704"/>
      <c r="K30" s="704"/>
      <c r="L30" s="704"/>
      <c r="M30" s="387"/>
      <c r="N30" s="755"/>
      <c r="O30" s="761">
        <v>18647</v>
      </c>
      <c r="P30" s="410"/>
      <c r="Q30" s="410"/>
    </row>
    <row r="31" spans="1:17" s="482" customFormat="1" ht="27.2" x14ac:dyDescent="0.25">
      <c r="A31" s="702"/>
      <c r="B31" s="735" t="s">
        <v>1485</v>
      </c>
      <c r="C31" s="705"/>
      <c r="D31" s="704">
        <v>6223</v>
      </c>
      <c r="E31" s="704">
        <v>6223</v>
      </c>
      <c r="F31" s="705"/>
      <c r="G31" s="705"/>
      <c r="H31" s="704"/>
      <c r="I31" s="704"/>
      <c r="J31" s="704"/>
      <c r="K31" s="704"/>
      <c r="L31" s="704"/>
      <c r="M31" s="387"/>
      <c r="N31" s="755" t="s">
        <v>1486</v>
      </c>
      <c r="O31" s="761"/>
      <c r="P31" s="410"/>
      <c r="Q31" s="410"/>
    </row>
    <row r="32" spans="1:17" s="482" customFormat="1" x14ac:dyDescent="0.25">
      <c r="A32" s="702"/>
      <c r="B32" s="735" t="s">
        <v>1491</v>
      </c>
      <c r="C32" s="705"/>
      <c r="D32" s="704">
        <v>3810</v>
      </c>
      <c r="E32" s="704">
        <v>3810</v>
      </c>
      <c r="F32" s="705"/>
      <c r="G32" s="705"/>
      <c r="H32" s="704"/>
      <c r="I32" s="704"/>
      <c r="J32" s="704"/>
      <c r="K32" s="704"/>
      <c r="L32" s="704"/>
      <c r="M32" s="387"/>
      <c r="N32" s="755"/>
      <c r="O32" s="761"/>
      <c r="P32" s="410"/>
      <c r="Q32" s="410"/>
    </row>
    <row r="33" spans="1:17" s="482" customFormat="1" x14ac:dyDescent="0.25">
      <c r="A33" s="699" t="s">
        <v>315</v>
      </c>
      <c r="B33" s="700" t="s">
        <v>1146</v>
      </c>
      <c r="C33" s="710">
        <f>C34+C35+C36+C37</f>
        <v>9500</v>
      </c>
      <c r="D33" s="701">
        <f t="shared" ref="D33:E33" si="19">+C33</f>
        <v>9500</v>
      </c>
      <c r="E33" s="701">
        <f t="shared" si="19"/>
        <v>9500</v>
      </c>
      <c r="F33" s="710">
        <f>F34+F35+F36+F37</f>
        <v>0</v>
      </c>
      <c r="G33" s="710">
        <f>G34+G35+G36+G37</f>
        <v>0</v>
      </c>
      <c r="H33" s="701">
        <f>+G33</f>
        <v>0</v>
      </c>
      <c r="I33" s="701">
        <f>+H33</f>
        <v>0</v>
      </c>
      <c r="J33" s="701">
        <f>+I33</f>
        <v>0</v>
      </c>
      <c r="K33" s="701">
        <f>+J33</f>
        <v>0</v>
      </c>
      <c r="L33" s="701">
        <f>+L37</f>
        <v>0</v>
      </c>
      <c r="M33" s="386"/>
      <c r="N33" s="754"/>
      <c r="O33" s="761"/>
      <c r="P33" s="242"/>
      <c r="Q33" s="242"/>
    </row>
    <row r="34" spans="1:17" s="482" customFormat="1" x14ac:dyDescent="0.25">
      <c r="A34" s="702"/>
      <c r="B34" s="707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387" t="s">
        <v>1284</v>
      </c>
      <c r="N34" s="755" t="s">
        <v>1289</v>
      </c>
      <c r="O34" s="761"/>
      <c r="P34" s="410"/>
      <c r="Q34" s="410"/>
    </row>
    <row r="35" spans="1:17" s="482" customFormat="1" x14ac:dyDescent="0.25">
      <c r="A35" s="702"/>
      <c r="B35" s="714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387" t="s">
        <v>1284</v>
      </c>
      <c r="N35" s="755" t="s">
        <v>1295</v>
      </c>
      <c r="O35" s="761"/>
      <c r="P35" s="410"/>
      <c r="Q35" s="410"/>
    </row>
    <row r="36" spans="1:17" s="482" customFormat="1" x14ac:dyDescent="0.25">
      <c r="A36" s="702"/>
      <c r="B36" s="714"/>
      <c r="C36" s="705"/>
      <c r="D36" s="705"/>
      <c r="E36" s="705"/>
      <c r="F36" s="705"/>
      <c r="G36" s="705"/>
      <c r="H36" s="705"/>
      <c r="I36" s="705"/>
      <c r="J36" s="705"/>
      <c r="K36" s="705"/>
      <c r="L36" s="705"/>
      <c r="M36" s="387" t="s">
        <v>1284</v>
      </c>
      <c r="N36" s="755" t="s">
        <v>1345</v>
      </c>
      <c r="O36" s="761"/>
      <c r="P36" s="410"/>
      <c r="Q36" s="410"/>
    </row>
    <row r="37" spans="1:17" s="482" customFormat="1" ht="27.2" x14ac:dyDescent="0.25">
      <c r="A37" s="702"/>
      <c r="B37" s="715" t="s">
        <v>1418</v>
      </c>
      <c r="C37" s="705">
        <v>9500</v>
      </c>
      <c r="D37" s="704">
        <v>9500</v>
      </c>
      <c r="E37" s="704">
        <v>9500</v>
      </c>
      <c r="F37" s="705"/>
      <c r="G37" s="705"/>
      <c r="H37" s="704"/>
      <c r="I37" s="704"/>
      <c r="J37" s="704"/>
      <c r="K37" s="704"/>
      <c r="L37" s="704"/>
      <c r="M37" s="387" t="s">
        <v>1284</v>
      </c>
      <c r="N37" s="755" t="s">
        <v>1346</v>
      </c>
      <c r="O37" s="761"/>
      <c r="P37" s="410"/>
      <c r="Q37" s="410"/>
    </row>
    <row r="38" spans="1:17" s="482" customFormat="1" x14ac:dyDescent="0.25">
      <c r="A38" s="699" t="s">
        <v>336</v>
      </c>
      <c r="B38" s="700" t="s">
        <v>1147</v>
      </c>
      <c r="C38" s="710">
        <f>C40+C41</f>
        <v>45764</v>
      </c>
      <c r="D38" s="701">
        <f t="shared" ref="D38:E38" si="20">SUM(D40:D41)</f>
        <v>43799</v>
      </c>
      <c r="E38" s="701">
        <f t="shared" si="20"/>
        <v>43799</v>
      </c>
      <c r="F38" s="710">
        <f>F40+F41</f>
        <v>0</v>
      </c>
      <c r="G38" s="710">
        <f>G40+G41</f>
        <v>0</v>
      </c>
      <c r="H38" s="701">
        <f>+G38</f>
        <v>0</v>
      </c>
      <c r="I38" s="701">
        <f>SUM(I40:I41)</f>
        <v>0</v>
      </c>
      <c r="J38" s="701">
        <f>SUM(J40:J41)</f>
        <v>0</v>
      </c>
      <c r="K38" s="701">
        <f>SUM(K40:K41)</f>
        <v>0</v>
      </c>
      <c r="L38" s="701">
        <f>SUM(L40:L41)</f>
        <v>0</v>
      </c>
      <c r="M38" s="386"/>
      <c r="N38" s="754"/>
      <c r="O38" s="764"/>
      <c r="P38" s="242"/>
      <c r="Q38" s="242"/>
    </row>
    <row r="39" spans="1:17" s="482" customFormat="1" x14ac:dyDescent="0.25">
      <c r="A39" s="702"/>
      <c r="B39" s="715"/>
      <c r="C39" s="705"/>
      <c r="D39" s="705"/>
      <c r="E39" s="705"/>
      <c r="F39" s="705">
        <v>0</v>
      </c>
      <c r="G39" s="705"/>
      <c r="H39" s="705"/>
      <c r="I39" s="705"/>
      <c r="J39" s="705"/>
      <c r="K39" s="705"/>
      <c r="L39" s="705"/>
      <c r="M39" s="387"/>
      <c r="N39" s="755"/>
      <c r="O39" s="481"/>
      <c r="P39" s="410"/>
      <c r="Q39" s="410"/>
    </row>
    <row r="40" spans="1:17" s="483" customFormat="1" x14ac:dyDescent="0.25">
      <c r="A40" s="702"/>
      <c r="B40" s="703" t="s">
        <v>1327</v>
      </c>
      <c r="C40" s="705">
        <v>25764</v>
      </c>
      <c r="D40" s="704">
        <f t="shared" ref="D40:E40" si="21">25764+3009-5685</f>
        <v>23088</v>
      </c>
      <c r="E40" s="704">
        <f t="shared" si="21"/>
        <v>23088</v>
      </c>
      <c r="F40" s="705"/>
      <c r="G40" s="705"/>
      <c r="H40" s="704"/>
      <c r="I40" s="704"/>
      <c r="J40" s="704"/>
      <c r="K40" s="704"/>
      <c r="L40" s="704"/>
      <c r="M40" s="387" t="s">
        <v>1351</v>
      </c>
      <c r="N40" s="755" t="s">
        <v>1347</v>
      </c>
      <c r="O40" s="761"/>
      <c r="P40" s="410"/>
      <c r="Q40" s="410"/>
    </row>
    <row r="41" spans="1:17" s="482" customFormat="1" x14ac:dyDescent="0.25">
      <c r="A41" s="699"/>
      <c r="B41" s="707" t="s">
        <v>1148</v>
      </c>
      <c r="C41" s="705">
        <v>20000</v>
      </c>
      <c r="D41" s="704">
        <f t="shared" ref="D41:E41" si="22">20000+13+698</f>
        <v>20711</v>
      </c>
      <c r="E41" s="704">
        <f t="shared" si="22"/>
        <v>20711</v>
      </c>
      <c r="F41" s="705"/>
      <c r="G41" s="705"/>
      <c r="H41" s="704"/>
      <c r="I41" s="704"/>
      <c r="J41" s="704"/>
      <c r="K41" s="704"/>
      <c r="L41" s="704"/>
      <c r="M41" s="387" t="s">
        <v>1351</v>
      </c>
      <c r="N41" s="755" t="s">
        <v>1399</v>
      </c>
      <c r="O41" s="761"/>
      <c r="P41" s="242"/>
      <c r="Q41" s="242"/>
    </row>
    <row r="42" spans="1:17" s="482" customFormat="1" x14ac:dyDescent="0.25">
      <c r="A42" s="699" t="s">
        <v>338</v>
      </c>
      <c r="B42" s="700" t="s">
        <v>1149</v>
      </c>
      <c r="C42" s="711">
        <f>SUM(C43:C58)</f>
        <v>328054.5</v>
      </c>
      <c r="D42" s="701">
        <f t="shared" ref="D42:E42" si="23">SUM(D43:D51)+D59</f>
        <v>310119.5</v>
      </c>
      <c r="E42" s="701">
        <f t="shared" si="23"/>
        <v>310119.5</v>
      </c>
      <c r="F42" s="711">
        <f>SUM(F43:F58)</f>
        <v>0</v>
      </c>
      <c r="G42" s="711">
        <f>SUM(G43:G58)</f>
        <v>0</v>
      </c>
      <c r="H42" s="701">
        <f>+G42</f>
        <v>0</v>
      </c>
      <c r="I42" s="701">
        <f>SUM(I43:I51)</f>
        <v>0</v>
      </c>
      <c r="J42" s="701">
        <f>SUM(J43:J51)</f>
        <v>0</v>
      </c>
      <c r="K42" s="701">
        <f>SUM(K43:K51)+K59</f>
        <v>0</v>
      </c>
      <c r="L42" s="701">
        <f>SUM(L43:L51)</f>
        <v>0</v>
      </c>
      <c r="M42" s="386"/>
      <c r="N42" s="754"/>
      <c r="O42" s="761"/>
      <c r="P42" s="242"/>
      <c r="Q42" s="242"/>
    </row>
    <row r="43" spans="1:17" s="482" customFormat="1" x14ac:dyDescent="0.25">
      <c r="A43" s="702"/>
      <c r="B43" s="703" t="s">
        <v>1420</v>
      </c>
      <c r="C43" s="705">
        <f>290812+5000+11000+965</f>
        <v>307777</v>
      </c>
      <c r="D43" s="704">
        <f t="shared" ref="D43:E43" si="24">271478+8893-4229</f>
        <v>276142</v>
      </c>
      <c r="E43" s="704">
        <f t="shared" si="24"/>
        <v>276142</v>
      </c>
      <c r="F43" s="705"/>
      <c r="G43" s="705"/>
      <c r="H43" s="704"/>
      <c r="I43" s="704"/>
      <c r="J43" s="704"/>
      <c r="K43" s="704"/>
      <c r="L43" s="704"/>
      <c r="M43" s="387" t="s">
        <v>1351</v>
      </c>
      <c r="N43" s="755" t="s">
        <v>1402</v>
      </c>
      <c r="O43" s="761">
        <v>545</v>
      </c>
      <c r="P43" s="410"/>
      <c r="Q43" s="410"/>
    </row>
    <row r="44" spans="1:17" s="482" customFormat="1" ht="27.2" x14ac:dyDescent="0.25">
      <c r="A44" s="702"/>
      <c r="B44" s="703" t="s">
        <v>1460</v>
      </c>
      <c r="C44" s="705">
        <v>4000</v>
      </c>
      <c r="D44" s="704">
        <f t="shared" ref="D44:E44" si="25">4000+128</f>
        <v>4128</v>
      </c>
      <c r="E44" s="704">
        <f t="shared" si="25"/>
        <v>4128</v>
      </c>
      <c r="F44" s="705"/>
      <c r="G44" s="705"/>
      <c r="H44" s="704"/>
      <c r="I44" s="704"/>
      <c r="J44" s="704"/>
      <c r="K44" s="704"/>
      <c r="L44" s="704"/>
      <c r="M44" s="387" t="s">
        <v>1284</v>
      </c>
      <c r="N44" s="755" t="s">
        <v>1349</v>
      </c>
      <c r="O44" s="761"/>
      <c r="P44" s="410"/>
      <c r="Q44" s="410"/>
    </row>
    <row r="45" spans="1:17" s="482" customFormat="1" x14ac:dyDescent="0.25">
      <c r="A45" s="702"/>
      <c r="B45" s="707" t="s">
        <v>1241</v>
      </c>
      <c r="C45" s="705">
        <v>33</v>
      </c>
      <c r="D45" s="704">
        <f t="shared" ref="D45:D50" si="26">+C45</f>
        <v>33</v>
      </c>
      <c r="E45" s="704">
        <f t="shared" ref="E45:E50" si="27">+D45</f>
        <v>33</v>
      </c>
      <c r="F45" s="705"/>
      <c r="G45" s="705"/>
      <c r="H45" s="704"/>
      <c r="I45" s="704"/>
      <c r="J45" s="704"/>
      <c r="K45" s="704"/>
      <c r="L45" s="704"/>
      <c r="M45" s="387" t="s">
        <v>1284</v>
      </c>
      <c r="N45" s="755" t="s">
        <v>1343</v>
      </c>
      <c r="O45" s="761"/>
      <c r="P45" s="410"/>
      <c r="Q45" s="410"/>
    </row>
    <row r="46" spans="1:17" s="482" customFormat="1" ht="27.2" x14ac:dyDescent="0.25">
      <c r="A46" s="702"/>
      <c r="B46" s="703" t="s">
        <v>1365</v>
      </c>
      <c r="C46" s="705">
        <v>616</v>
      </c>
      <c r="D46" s="704">
        <f t="shared" si="26"/>
        <v>616</v>
      </c>
      <c r="E46" s="704">
        <f t="shared" si="27"/>
        <v>616</v>
      </c>
      <c r="F46" s="705"/>
      <c r="G46" s="705"/>
      <c r="H46" s="704"/>
      <c r="I46" s="704"/>
      <c r="J46" s="704"/>
      <c r="K46" s="704"/>
      <c r="L46" s="704"/>
      <c r="M46" s="387" t="s">
        <v>1351</v>
      </c>
      <c r="N46" s="755" t="s">
        <v>1348</v>
      </c>
      <c r="O46" s="761"/>
      <c r="P46" s="410"/>
      <c r="Q46" s="410"/>
    </row>
    <row r="47" spans="1:17" s="482" customFormat="1" x14ac:dyDescent="0.25">
      <c r="A47" s="702"/>
      <c r="B47" s="703"/>
      <c r="C47" s="705"/>
      <c r="D47" s="704">
        <f t="shared" si="26"/>
        <v>0</v>
      </c>
      <c r="E47" s="704">
        <f t="shared" si="27"/>
        <v>0</v>
      </c>
      <c r="F47" s="705"/>
      <c r="G47" s="705"/>
      <c r="H47" s="704"/>
      <c r="I47" s="704"/>
      <c r="J47" s="704"/>
      <c r="K47" s="704"/>
      <c r="L47" s="704"/>
      <c r="M47" s="387" t="s">
        <v>1284</v>
      </c>
      <c r="N47" s="755" t="s">
        <v>1290</v>
      </c>
      <c r="O47" s="761"/>
      <c r="P47" s="410"/>
      <c r="Q47" s="410"/>
    </row>
    <row r="48" spans="1:17" s="482" customFormat="1" x14ac:dyDescent="0.25">
      <c r="A48" s="836">
        <v>1920</v>
      </c>
      <c r="B48" s="707" t="s">
        <v>1442</v>
      </c>
      <c r="C48" s="705">
        <f>63.5+3147</f>
        <v>3210.5</v>
      </c>
      <c r="D48" s="704">
        <f t="shared" si="26"/>
        <v>3210.5</v>
      </c>
      <c r="E48" s="704">
        <f t="shared" si="27"/>
        <v>3210.5</v>
      </c>
      <c r="F48" s="705"/>
      <c r="G48" s="705"/>
      <c r="H48" s="704"/>
      <c r="I48" s="704"/>
      <c r="J48" s="704"/>
      <c r="K48" s="704"/>
      <c r="L48" s="704"/>
      <c r="M48" s="387" t="s">
        <v>1284</v>
      </c>
      <c r="N48" s="755" t="s">
        <v>1296</v>
      </c>
      <c r="O48" s="761"/>
      <c r="P48" s="410"/>
      <c r="Q48" s="410"/>
    </row>
    <row r="49" spans="1:17" s="482" customFormat="1" x14ac:dyDescent="0.25">
      <c r="A49" s="702"/>
      <c r="B49" s="713"/>
      <c r="C49" s="705"/>
      <c r="D49" s="704">
        <f t="shared" si="26"/>
        <v>0</v>
      </c>
      <c r="E49" s="704">
        <f t="shared" si="27"/>
        <v>0</v>
      </c>
      <c r="F49" s="705"/>
      <c r="G49" s="705"/>
      <c r="H49" s="704"/>
      <c r="I49" s="704"/>
      <c r="J49" s="704"/>
      <c r="K49" s="704"/>
      <c r="L49" s="704"/>
      <c r="M49" s="387"/>
      <c r="N49" s="755"/>
      <c r="O49" s="761"/>
      <c r="P49" s="410"/>
      <c r="Q49" s="410"/>
    </row>
    <row r="50" spans="1:17" s="482" customFormat="1" x14ac:dyDescent="0.25">
      <c r="A50" s="702"/>
      <c r="B50" s="708" t="s">
        <v>1339</v>
      </c>
      <c r="C50" s="705">
        <f>3401+1600</f>
        <v>5001</v>
      </c>
      <c r="D50" s="704">
        <f t="shared" si="26"/>
        <v>5001</v>
      </c>
      <c r="E50" s="704">
        <f t="shared" si="27"/>
        <v>5001</v>
      </c>
      <c r="F50" s="705"/>
      <c r="G50" s="705"/>
      <c r="H50" s="704"/>
      <c r="I50" s="704"/>
      <c r="J50" s="704"/>
      <c r="K50" s="704"/>
      <c r="L50" s="704"/>
      <c r="M50" s="387" t="s">
        <v>1351</v>
      </c>
      <c r="N50" s="755" t="s">
        <v>1348</v>
      </c>
      <c r="O50" s="761"/>
      <c r="P50" s="410"/>
      <c r="Q50" s="410"/>
    </row>
    <row r="51" spans="1:17" s="482" customFormat="1" x14ac:dyDescent="0.25">
      <c r="A51" s="702"/>
      <c r="B51" s="708" t="s">
        <v>1419</v>
      </c>
      <c r="C51" s="705">
        <v>7417</v>
      </c>
      <c r="D51" s="704">
        <f t="shared" ref="D51:E51" si="28">7417+965</f>
        <v>8382</v>
      </c>
      <c r="E51" s="704">
        <f t="shared" si="28"/>
        <v>8382</v>
      </c>
      <c r="F51" s="705"/>
      <c r="G51" s="705"/>
      <c r="H51" s="704"/>
      <c r="I51" s="704"/>
      <c r="J51" s="704"/>
      <c r="K51" s="704"/>
      <c r="L51" s="704"/>
      <c r="M51" s="387"/>
      <c r="N51" s="755"/>
      <c r="O51" s="761"/>
      <c r="P51" s="410"/>
      <c r="Q51" s="410"/>
    </row>
    <row r="52" spans="1:17" s="482" customFormat="1" x14ac:dyDescent="0.25">
      <c r="A52" s="702"/>
      <c r="B52" s="708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387" t="s">
        <v>1351</v>
      </c>
      <c r="N52" s="755" t="s">
        <v>1403</v>
      </c>
      <c r="O52" s="761"/>
      <c r="P52" s="410"/>
      <c r="Q52" s="410"/>
    </row>
    <row r="53" spans="1:17" s="482" customFormat="1" x14ac:dyDescent="0.25">
      <c r="A53" s="702"/>
      <c r="B53" s="708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387" t="s">
        <v>1351</v>
      </c>
      <c r="N53" s="755" t="s">
        <v>1374</v>
      </c>
      <c r="O53" s="761"/>
      <c r="P53" s="410"/>
      <c r="Q53" s="410"/>
    </row>
    <row r="54" spans="1:17" s="482" customFormat="1" x14ac:dyDescent="0.25">
      <c r="A54" s="702"/>
      <c r="B54" s="708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387" t="s">
        <v>1284</v>
      </c>
      <c r="N54" s="755" t="s">
        <v>1404</v>
      </c>
      <c r="O54" s="761"/>
      <c r="P54" s="410"/>
      <c r="Q54" s="410"/>
    </row>
    <row r="55" spans="1:17" s="482" customFormat="1" x14ac:dyDescent="0.25">
      <c r="A55" s="702"/>
      <c r="B55" s="708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387"/>
      <c r="N55" s="755"/>
      <c r="O55" s="761"/>
      <c r="P55" s="410"/>
      <c r="Q55" s="410"/>
    </row>
    <row r="56" spans="1:17" s="482" customFormat="1" x14ac:dyDescent="0.25">
      <c r="A56" s="702"/>
      <c r="B56" s="707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387"/>
      <c r="N56" s="755" t="s">
        <v>1398</v>
      </c>
      <c r="O56" s="761"/>
      <c r="P56" s="410"/>
      <c r="Q56" s="410"/>
    </row>
    <row r="57" spans="1:17" s="482" customFormat="1" x14ac:dyDescent="0.25">
      <c r="A57" s="702"/>
      <c r="B57" s="707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387"/>
      <c r="N57" s="755" t="s">
        <v>1380</v>
      </c>
      <c r="O57" s="761"/>
      <c r="P57" s="410"/>
      <c r="Q57" s="410"/>
    </row>
    <row r="58" spans="1:17" s="482" customFormat="1" x14ac:dyDescent="0.25">
      <c r="A58" s="702"/>
      <c r="B58" s="776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387"/>
      <c r="N58" s="755" t="s">
        <v>1394</v>
      </c>
      <c r="O58" s="761"/>
      <c r="P58" s="410"/>
      <c r="Q58" s="410"/>
    </row>
    <row r="59" spans="1:17" s="482" customFormat="1" x14ac:dyDescent="0.25">
      <c r="A59" s="702"/>
      <c r="B59" s="776" t="s">
        <v>1492</v>
      </c>
      <c r="C59" s="705"/>
      <c r="D59" s="705">
        <v>12607</v>
      </c>
      <c r="E59" s="705">
        <v>12607</v>
      </c>
      <c r="F59" s="705"/>
      <c r="G59" s="705"/>
      <c r="H59" s="705"/>
      <c r="I59" s="705"/>
      <c r="J59" s="705"/>
      <c r="K59" s="705"/>
      <c r="L59" s="705"/>
      <c r="M59" s="387"/>
      <c r="N59" s="755"/>
      <c r="O59" s="761"/>
      <c r="P59" s="410"/>
      <c r="Q59" s="410"/>
    </row>
    <row r="60" spans="1:17" s="482" customFormat="1" x14ac:dyDescent="0.25">
      <c r="A60" s="699" t="s">
        <v>560</v>
      </c>
      <c r="B60" s="700" t="s">
        <v>1150</v>
      </c>
      <c r="C60" s="710">
        <f>SUM(C61:C61)</f>
        <v>2794</v>
      </c>
      <c r="D60" s="701">
        <f t="shared" ref="D60:E60" si="29">D61</f>
        <v>2794</v>
      </c>
      <c r="E60" s="701">
        <f t="shared" si="29"/>
        <v>2794</v>
      </c>
      <c r="F60" s="710">
        <f>SUM(F61:F61)</f>
        <v>0</v>
      </c>
      <c r="G60" s="710">
        <f>SUM(G61:G61)</f>
        <v>0</v>
      </c>
      <c r="H60" s="701">
        <f>+G60</f>
        <v>0</v>
      </c>
      <c r="I60" s="701">
        <f>I61</f>
        <v>0</v>
      </c>
      <c r="J60" s="701">
        <f>J61</f>
        <v>0</v>
      </c>
      <c r="K60" s="701">
        <f>K61</f>
        <v>0</v>
      </c>
      <c r="L60" s="701">
        <f>L61</f>
        <v>0</v>
      </c>
      <c r="M60" s="386"/>
      <c r="N60" s="754"/>
      <c r="O60" s="761"/>
      <c r="P60" s="242"/>
      <c r="Q60" s="242"/>
    </row>
    <row r="61" spans="1:17" s="482" customFormat="1" x14ac:dyDescent="0.25">
      <c r="A61" s="699"/>
      <c r="B61" s="707" t="s">
        <v>1151</v>
      </c>
      <c r="C61" s="705">
        <f>4445-4445+2200*1.27+700-700</f>
        <v>2794</v>
      </c>
      <c r="D61" s="704">
        <f>2794</f>
        <v>2794</v>
      </c>
      <c r="E61" s="704">
        <f>2794</f>
        <v>2794</v>
      </c>
      <c r="F61" s="705"/>
      <c r="G61" s="705"/>
      <c r="H61" s="704"/>
      <c r="I61" s="704"/>
      <c r="J61" s="704"/>
      <c r="K61" s="704"/>
      <c r="L61" s="704"/>
      <c r="M61" s="387" t="s">
        <v>1351</v>
      </c>
      <c r="N61" s="755" t="s">
        <v>1293</v>
      </c>
      <c r="O61" s="761"/>
      <c r="P61" s="242"/>
      <c r="Q61" s="242"/>
    </row>
    <row r="62" spans="1:17" s="482" customFormat="1" x14ac:dyDescent="0.25">
      <c r="A62" s="699" t="s">
        <v>562</v>
      </c>
      <c r="B62" s="700" t="s">
        <v>1155</v>
      </c>
      <c r="C62" s="710">
        <v>0</v>
      </c>
      <c r="D62" s="710">
        <f t="shared" ref="D62:E62" si="30">13000+17500+1000</f>
        <v>31500</v>
      </c>
      <c r="E62" s="710">
        <f t="shared" si="30"/>
        <v>31500</v>
      </c>
      <c r="F62" s="710">
        <v>0</v>
      </c>
      <c r="G62" s="710">
        <v>0</v>
      </c>
      <c r="H62" s="710"/>
      <c r="I62" s="710"/>
      <c r="J62" s="710"/>
      <c r="K62" s="710"/>
      <c r="L62" s="710"/>
      <c r="M62" s="386"/>
      <c r="N62" s="754"/>
      <c r="O62" s="761"/>
      <c r="P62" s="242"/>
      <c r="Q62" s="242"/>
    </row>
    <row r="63" spans="1:17" s="482" customFormat="1" x14ac:dyDescent="0.25">
      <c r="A63" s="699" t="s">
        <v>564</v>
      </c>
      <c r="B63" s="700" t="s">
        <v>1366</v>
      </c>
      <c r="C63" s="710">
        <f>C64+C70+C71+C72+C73+C74+C75</f>
        <v>58452</v>
      </c>
      <c r="D63" s="701">
        <f t="shared" ref="D63:E63" si="31">D64+D71+D72+D74+D75+D76</f>
        <v>44049</v>
      </c>
      <c r="E63" s="701">
        <f t="shared" si="31"/>
        <v>44049</v>
      </c>
      <c r="F63" s="710">
        <f>F64+F70+F71+F72+F73</f>
        <v>0</v>
      </c>
      <c r="G63" s="710">
        <f>G64+G70+G71+G72+G73+G74+G75</f>
        <v>0</v>
      </c>
      <c r="H63" s="701">
        <f>+G63</f>
        <v>0</v>
      </c>
      <c r="I63" s="701">
        <f>I64+I71+I72+I74+I75</f>
        <v>0</v>
      </c>
      <c r="J63" s="701">
        <f>J64+J71+J72+J74+J75</f>
        <v>0</v>
      </c>
      <c r="K63" s="701">
        <f>K64+K71+K72+K74+K75+K76</f>
        <v>0</v>
      </c>
      <c r="L63" s="701">
        <f>L64+L71+L72+L74+L75</f>
        <v>0</v>
      </c>
      <c r="M63" s="386"/>
      <c r="N63" s="754"/>
      <c r="O63" s="764"/>
      <c r="P63" s="242"/>
      <c r="Q63" s="242"/>
    </row>
    <row r="64" spans="1:17" s="483" customFormat="1" x14ac:dyDescent="0.25">
      <c r="A64" s="699"/>
      <c r="B64" s="707" t="s">
        <v>1156</v>
      </c>
      <c r="C64" s="705">
        <f>SUM(C65:C69)</f>
        <v>17402</v>
      </c>
      <c r="D64" s="704">
        <f t="shared" ref="D64:D74" si="32">+C64</f>
        <v>17402</v>
      </c>
      <c r="E64" s="704">
        <f t="shared" ref="E64:E74" si="33">+D64</f>
        <v>17402</v>
      </c>
      <c r="F64" s="705"/>
      <c r="G64" s="705"/>
      <c r="H64" s="704"/>
      <c r="I64" s="704"/>
      <c r="J64" s="704"/>
      <c r="K64" s="704"/>
      <c r="L64" s="704"/>
      <c r="M64" s="387" t="s">
        <v>1351</v>
      </c>
      <c r="N64" s="755" t="s">
        <v>1291</v>
      </c>
      <c r="O64" s="761">
        <v>100</v>
      </c>
      <c r="P64" s="242"/>
      <c r="Q64" s="242"/>
    </row>
    <row r="65" spans="1:17" s="484" customFormat="1" ht="14.3" x14ac:dyDescent="0.25">
      <c r="A65" s="699"/>
      <c r="B65" s="707"/>
      <c r="C65" s="705"/>
      <c r="D65" s="704">
        <f t="shared" si="32"/>
        <v>0</v>
      </c>
      <c r="E65" s="704">
        <f t="shared" si="33"/>
        <v>0</v>
      </c>
      <c r="F65" s="705"/>
      <c r="G65" s="705"/>
      <c r="H65" s="704">
        <f t="shared" ref="H65:I66" si="34">+G65</f>
        <v>0</v>
      </c>
      <c r="I65" s="704">
        <f t="shared" si="34"/>
        <v>0</v>
      </c>
      <c r="J65" s="704">
        <f t="shared" ref="J65:K66" si="35">+I65</f>
        <v>0</v>
      </c>
      <c r="K65" s="704">
        <f t="shared" si="35"/>
        <v>0</v>
      </c>
      <c r="L65" s="704">
        <f>+I65</f>
        <v>0</v>
      </c>
      <c r="M65" s="387"/>
      <c r="N65" s="755"/>
      <c r="O65" s="712"/>
      <c r="P65" s="242"/>
      <c r="Q65" s="242"/>
    </row>
    <row r="66" spans="1:17" s="484" customFormat="1" ht="14.3" x14ac:dyDescent="0.25">
      <c r="A66" s="699"/>
      <c r="B66" s="707"/>
      <c r="C66" s="705"/>
      <c r="D66" s="704">
        <f t="shared" si="32"/>
        <v>0</v>
      </c>
      <c r="E66" s="704">
        <f t="shared" si="33"/>
        <v>0</v>
      </c>
      <c r="F66" s="705"/>
      <c r="G66" s="705"/>
      <c r="H66" s="704">
        <f t="shared" si="34"/>
        <v>0</v>
      </c>
      <c r="I66" s="704">
        <f t="shared" si="34"/>
        <v>0</v>
      </c>
      <c r="J66" s="704">
        <f t="shared" si="35"/>
        <v>0</v>
      </c>
      <c r="K66" s="704">
        <f t="shared" si="35"/>
        <v>0</v>
      </c>
      <c r="L66" s="704">
        <f>+I66</f>
        <v>0</v>
      </c>
      <c r="M66" s="387"/>
      <c r="N66" s="755" t="s">
        <v>1400</v>
      </c>
      <c r="O66" s="712"/>
      <c r="P66" s="242"/>
      <c r="Q66" s="242"/>
    </row>
    <row r="67" spans="1:17" s="484" customFormat="1" ht="14.3" x14ac:dyDescent="0.25">
      <c r="A67" s="699"/>
      <c r="B67" s="776"/>
      <c r="C67" s="705"/>
      <c r="D67" s="704">
        <f t="shared" si="32"/>
        <v>0</v>
      </c>
      <c r="E67" s="704">
        <f t="shared" si="33"/>
        <v>0</v>
      </c>
      <c r="F67" s="705"/>
      <c r="G67" s="705"/>
      <c r="H67" s="704"/>
      <c r="I67" s="704"/>
      <c r="J67" s="704"/>
      <c r="K67" s="704"/>
      <c r="L67" s="704"/>
      <c r="M67" s="387"/>
      <c r="N67" s="755" t="s">
        <v>1400</v>
      </c>
      <c r="O67" s="712"/>
      <c r="P67" s="242"/>
      <c r="Q67" s="242"/>
    </row>
    <row r="68" spans="1:17" s="484" customFormat="1" ht="14.3" x14ac:dyDescent="0.25">
      <c r="A68" s="699"/>
      <c r="B68" s="707" t="s">
        <v>1443</v>
      </c>
      <c r="C68" s="705">
        <v>17402</v>
      </c>
      <c r="D68" s="704">
        <f t="shared" si="32"/>
        <v>17402</v>
      </c>
      <c r="E68" s="704">
        <f t="shared" si="33"/>
        <v>17402</v>
      </c>
      <c r="F68" s="705"/>
      <c r="G68" s="705"/>
      <c r="H68" s="704"/>
      <c r="I68" s="704"/>
      <c r="J68" s="704"/>
      <c r="K68" s="704"/>
      <c r="L68" s="704"/>
      <c r="M68" s="387"/>
      <c r="N68" s="755"/>
      <c r="O68" s="712"/>
      <c r="P68" s="242"/>
      <c r="Q68" s="242"/>
    </row>
    <row r="69" spans="1:17" s="484" customFormat="1" ht="14.3" x14ac:dyDescent="0.25">
      <c r="A69" s="699"/>
      <c r="B69" s="707"/>
      <c r="C69" s="705"/>
      <c r="D69" s="704">
        <f t="shared" si="32"/>
        <v>0</v>
      </c>
      <c r="E69" s="704">
        <f t="shared" si="33"/>
        <v>0</v>
      </c>
      <c r="F69" s="705"/>
      <c r="G69" s="705"/>
      <c r="H69" s="704"/>
      <c r="I69" s="704"/>
      <c r="J69" s="704"/>
      <c r="K69" s="704"/>
      <c r="L69" s="704"/>
      <c r="M69" s="387"/>
      <c r="N69" s="755" t="s">
        <v>1376</v>
      </c>
      <c r="O69" s="712"/>
      <c r="P69" s="242"/>
      <c r="Q69" s="242"/>
    </row>
    <row r="70" spans="1:17" s="484" customFormat="1" ht="14.3" x14ac:dyDescent="0.25">
      <c r="A70" s="699"/>
      <c r="B70" s="707"/>
      <c r="C70" s="705"/>
      <c r="D70" s="704">
        <f t="shared" si="32"/>
        <v>0</v>
      </c>
      <c r="E70" s="704">
        <f t="shared" si="33"/>
        <v>0</v>
      </c>
      <c r="F70" s="705"/>
      <c r="G70" s="705"/>
      <c r="H70" s="704"/>
      <c r="I70" s="704"/>
      <c r="J70" s="704"/>
      <c r="K70" s="704"/>
      <c r="L70" s="704"/>
      <c r="M70" s="387"/>
      <c r="N70" s="755" t="s">
        <v>1392</v>
      </c>
      <c r="O70" s="712"/>
      <c r="P70" s="242"/>
      <c r="Q70" s="242"/>
    </row>
    <row r="71" spans="1:17" s="482" customFormat="1" x14ac:dyDescent="0.25">
      <c r="A71" s="699"/>
      <c r="B71" s="707" t="s">
        <v>1334</v>
      </c>
      <c r="C71" s="705">
        <v>16800</v>
      </c>
      <c r="D71" s="704">
        <f t="shared" si="32"/>
        <v>16800</v>
      </c>
      <c r="E71" s="704">
        <f t="shared" si="33"/>
        <v>16800</v>
      </c>
      <c r="F71" s="705"/>
      <c r="G71" s="705"/>
      <c r="H71" s="704"/>
      <c r="I71" s="704"/>
      <c r="J71" s="704"/>
      <c r="K71" s="704"/>
      <c r="L71" s="704"/>
      <c r="M71" s="387" t="s">
        <v>1351</v>
      </c>
      <c r="N71" s="755" t="s">
        <v>1405</v>
      </c>
      <c r="O71" s="761"/>
      <c r="P71" s="242"/>
      <c r="Q71" s="242"/>
    </row>
    <row r="72" spans="1:17" s="482" customFormat="1" x14ac:dyDescent="0.25">
      <c r="A72" s="699"/>
      <c r="B72" s="707" t="s">
        <v>1335</v>
      </c>
      <c r="C72" s="705">
        <v>7040</v>
      </c>
      <c r="D72" s="704">
        <f t="shared" si="32"/>
        <v>7040</v>
      </c>
      <c r="E72" s="704">
        <f t="shared" si="33"/>
        <v>7040</v>
      </c>
      <c r="F72" s="705"/>
      <c r="G72" s="704"/>
      <c r="H72" s="704"/>
      <c r="I72" s="704"/>
      <c r="J72" s="704"/>
      <c r="K72" s="704"/>
      <c r="L72" s="704"/>
      <c r="M72" s="387" t="s">
        <v>1351</v>
      </c>
      <c r="N72" s="755" t="s">
        <v>1291</v>
      </c>
      <c r="O72" s="761"/>
      <c r="P72" s="242"/>
      <c r="Q72" s="242"/>
    </row>
    <row r="73" spans="1:17" s="482" customFormat="1" x14ac:dyDescent="0.25">
      <c r="A73" s="699"/>
      <c r="B73" s="707"/>
      <c r="C73" s="705"/>
      <c r="D73" s="704">
        <f t="shared" si="32"/>
        <v>0</v>
      </c>
      <c r="E73" s="704">
        <f t="shared" si="33"/>
        <v>0</v>
      </c>
      <c r="F73" s="705"/>
      <c r="G73" s="705"/>
      <c r="H73" s="704"/>
      <c r="I73" s="704"/>
      <c r="J73" s="704"/>
      <c r="K73" s="704"/>
      <c r="L73" s="704"/>
      <c r="M73" s="387"/>
      <c r="N73" s="755"/>
      <c r="O73" s="761"/>
      <c r="P73" s="242"/>
      <c r="Q73" s="242"/>
    </row>
    <row r="74" spans="1:17" s="482" customFormat="1" x14ac:dyDescent="0.25">
      <c r="A74" s="699"/>
      <c r="B74" s="707" t="s">
        <v>1444</v>
      </c>
      <c r="C74" s="705">
        <v>2210</v>
      </c>
      <c r="D74" s="704">
        <f t="shared" si="32"/>
        <v>2210</v>
      </c>
      <c r="E74" s="704">
        <f t="shared" si="33"/>
        <v>2210</v>
      </c>
      <c r="F74" s="705"/>
      <c r="G74" s="705"/>
      <c r="H74" s="704"/>
      <c r="I74" s="704"/>
      <c r="J74" s="704"/>
      <c r="K74" s="704"/>
      <c r="L74" s="704"/>
      <c r="M74" s="387"/>
      <c r="N74" s="755"/>
      <c r="O74" s="761"/>
      <c r="P74" s="242"/>
      <c r="Q74" s="242"/>
    </row>
    <row r="75" spans="1:17" s="482" customFormat="1" ht="27.2" x14ac:dyDescent="0.25">
      <c r="A75" s="699"/>
      <c r="B75" s="707" t="s">
        <v>1445</v>
      </c>
      <c r="C75" s="705">
        <v>15000</v>
      </c>
      <c r="D75" s="704">
        <f t="shared" ref="D75:E75" si="36">15000-14403</f>
        <v>597</v>
      </c>
      <c r="E75" s="704">
        <f t="shared" si="36"/>
        <v>597</v>
      </c>
      <c r="F75" s="705"/>
      <c r="G75" s="705"/>
      <c r="H75" s="704"/>
      <c r="I75" s="704"/>
      <c r="J75" s="704"/>
      <c r="K75" s="704"/>
      <c r="L75" s="704"/>
      <c r="M75" s="387" t="s">
        <v>1284</v>
      </c>
      <c r="N75" s="755"/>
      <c r="O75" s="761"/>
      <c r="P75" s="242"/>
      <c r="Q75" s="242"/>
    </row>
    <row r="76" spans="1:17" s="482" customFormat="1" x14ac:dyDescent="0.25">
      <c r="A76" s="699"/>
      <c r="B76" s="707" t="s">
        <v>1490</v>
      </c>
      <c r="C76" s="705"/>
      <c r="D76" s="704"/>
      <c r="E76" s="704"/>
      <c r="F76" s="705"/>
      <c r="G76" s="705"/>
      <c r="H76" s="704"/>
      <c r="I76" s="704"/>
      <c r="J76" s="704"/>
      <c r="K76" s="704"/>
      <c r="L76" s="704"/>
      <c r="M76" s="387"/>
      <c r="N76" s="755"/>
      <c r="O76" s="761"/>
      <c r="P76" s="242"/>
      <c r="Q76" s="242"/>
    </row>
    <row r="77" spans="1:17" s="482" customFormat="1" x14ac:dyDescent="0.25">
      <c r="A77" s="699" t="s">
        <v>565</v>
      </c>
      <c r="B77" s="700" t="s">
        <v>1157</v>
      </c>
      <c r="C77" s="710"/>
      <c r="D77" s="704">
        <f t="shared" ref="D77:E77" si="37">+C77</f>
        <v>0</v>
      </c>
      <c r="E77" s="704">
        <f t="shared" si="37"/>
        <v>0</v>
      </c>
      <c r="F77" s="710">
        <v>0</v>
      </c>
      <c r="G77" s="710"/>
      <c r="H77" s="704">
        <f t="shared" ref="H77:I80" si="38">+G77</f>
        <v>0</v>
      </c>
      <c r="I77" s="704">
        <f t="shared" si="38"/>
        <v>0</v>
      </c>
      <c r="J77" s="704">
        <f>+I77</f>
        <v>0</v>
      </c>
      <c r="K77" s="704">
        <f>+J77</f>
        <v>0</v>
      </c>
      <c r="L77" s="704">
        <f>+I77</f>
        <v>0</v>
      </c>
      <c r="M77" s="386"/>
      <c r="N77" s="754"/>
      <c r="O77" s="764"/>
      <c r="P77" s="242"/>
      <c r="Q77" s="242"/>
    </row>
    <row r="78" spans="1:17" s="483" customFormat="1" x14ac:dyDescent="0.25">
      <c r="A78" s="699" t="s">
        <v>567</v>
      </c>
      <c r="B78" s="700" t="s">
        <v>1161</v>
      </c>
      <c r="C78" s="710">
        <f>SUM(C79:C79)</f>
        <v>1500</v>
      </c>
      <c r="D78" s="701">
        <f t="shared" ref="D78:E78" si="39">D79</f>
        <v>0</v>
      </c>
      <c r="E78" s="701">
        <f t="shared" si="39"/>
        <v>0</v>
      </c>
      <c r="F78" s="710">
        <f>SUM(F79:F79)</f>
        <v>0</v>
      </c>
      <c r="G78" s="710">
        <f>SUM(G79:G79)</f>
        <v>0</v>
      </c>
      <c r="H78" s="701">
        <f t="shared" si="38"/>
        <v>0</v>
      </c>
      <c r="I78" s="701">
        <f>I79</f>
        <v>0</v>
      </c>
      <c r="J78" s="701">
        <f>J79</f>
        <v>0</v>
      </c>
      <c r="K78" s="701">
        <f>K79</f>
        <v>0</v>
      </c>
      <c r="L78" s="701">
        <f>L79</f>
        <v>0</v>
      </c>
      <c r="M78" s="386"/>
      <c r="N78" s="754"/>
      <c r="O78" s="761"/>
      <c r="P78" s="242"/>
      <c r="Q78" s="242"/>
    </row>
    <row r="79" spans="1:17" s="482" customFormat="1" x14ac:dyDescent="0.25">
      <c r="A79" s="699"/>
      <c r="B79" s="716" t="s">
        <v>1328</v>
      </c>
      <c r="C79" s="705">
        <v>1500</v>
      </c>
      <c r="D79" s="704">
        <f t="shared" ref="D79:E79" si="40">1500-1500</f>
        <v>0</v>
      </c>
      <c r="E79" s="704">
        <f t="shared" si="40"/>
        <v>0</v>
      </c>
      <c r="F79" s="705">
        <v>0</v>
      </c>
      <c r="G79" s="705"/>
      <c r="H79" s="704"/>
      <c r="I79" s="704">
        <f>1500-1500</f>
        <v>0</v>
      </c>
      <c r="J79" s="704">
        <f>1500-1500</f>
        <v>0</v>
      </c>
      <c r="K79" s="704">
        <f>1500-1500</f>
        <v>0</v>
      </c>
      <c r="L79" s="704">
        <f>1500-1500</f>
        <v>0</v>
      </c>
      <c r="M79" s="387" t="s">
        <v>1351</v>
      </c>
      <c r="N79" s="755" t="s">
        <v>1297</v>
      </c>
      <c r="O79" s="761"/>
      <c r="P79" s="242"/>
      <c r="Q79" s="242"/>
    </row>
    <row r="80" spans="1:17" s="482" customFormat="1" x14ac:dyDescent="0.25">
      <c r="A80" s="699" t="s">
        <v>569</v>
      </c>
      <c r="B80" s="700" t="s">
        <v>1152</v>
      </c>
      <c r="C80" s="710">
        <f>SUM(C81:C89)</f>
        <v>5755</v>
      </c>
      <c r="D80" s="701">
        <f t="shared" ref="D80:E80" si="41">SUM(D89:D91)</f>
        <v>30253</v>
      </c>
      <c r="E80" s="701">
        <f t="shared" si="41"/>
        <v>30253</v>
      </c>
      <c r="F80" s="710">
        <f>SUM(F81:F89)</f>
        <v>0</v>
      </c>
      <c r="G80" s="710">
        <f>SUM(G81:G89)</f>
        <v>0</v>
      </c>
      <c r="H80" s="701">
        <f t="shared" si="38"/>
        <v>0</v>
      </c>
      <c r="I80" s="701">
        <f>SUM(I89:I91)</f>
        <v>0</v>
      </c>
      <c r="J80" s="701">
        <f>SUM(J89:J91)</f>
        <v>0</v>
      </c>
      <c r="K80" s="701">
        <f>SUM(K89:K91)</f>
        <v>0</v>
      </c>
      <c r="L80" s="701">
        <f>SUM(L89:L91)</f>
        <v>0</v>
      </c>
      <c r="M80" s="386"/>
      <c r="N80" s="754"/>
      <c r="O80" s="764"/>
      <c r="P80" s="242"/>
      <c r="Q80" s="242">
        <f>126930-106742</f>
        <v>20188</v>
      </c>
    </row>
    <row r="81" spans="1:17" s="483" customFormat="1" x14ac:dyDescent="0.25">
      <c r="A81" s="699"/>
      <c r="B81" s="707" t="s">
        <v>1168</v>
      </c>
      <c r="C81" s="705">
        <f>+'2C Önk bev kiad fel'!M32+'2C Önk bev kiad fel'!M109</f>
        <v>0</v>
      </c>
      <c r="D81" s="705"/>
      <c r="E81" s="705"/>
      <c r="F81" s="705"/>
      <c r="G81" s="705">
        <f>+'2C Önk bev kiad fel'!Q32+'2C Önk bev kiad fel'!Q109</f>
        <v>0</v>
      </c>
      <c r="H81" s="705"/>
      <c r="I81" s="705"/>
      <c r="J81" s="705"/>
      <c r="K81" s="705"/>
      <c r="L81" s="705"/>
      <c r="M81" s="387" t="s">
        <v>1351</v>
      </c>
      <c r="N81" s="755" t="s">
        <v>1292</v>
      </c>
      <c r="O81" s="761"/>
      <c r="P81" s="242"/>
      <c r="Q81" s="242">
        <f>306812-292445</f>
        <v>14367</v>
      </c>
    </row>
    <row r="82" spans="1:17" s="482" customFormat="1" x14ac:dyDescent="0.25">
      <c r="A82" s="699"/>
      <c r="B82" s="717" t="s">
        <v>1329</v>
      </c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387" t="s">
        <v>1284</v>
      </c>
      <c r="N82" s="755" t="s">
        <v>1298</v>
      </c>
      <c r="O82" s="765"/>
      <c r="P82" s="242"/>
      <c r="Q82" s="242">
        <v>9500</v>
      </c>
    </row>
    <row r="83" spans="1:17" s="476" customFormat="1" x14ac:dyDescent="0.25">
      <c r="A83" s="699"/>
      <c r="B83" s="703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387" t="s">
        <v>1284</v>
      </c>
      <c r="N83" s="755" t="s">
        <v>1397</v>
      </c>
      <c r="O83" s="765"/>
      <c r="P83" s="242"/>
      <c r="Q83" s="242">
        <f>5001-3401</f>
        <v>1600</v>
      </c>
    </row>
    <row r="84" spans="1:17" s="476" customFormat="1" x14ac:dyDescent="0.25">
      <c r="A84" s="699"/>
      <c r="B84" s="717"/>
      <c r="C84" s="705"/>
      <c r="D84" s="705"/>
      <c r="E84" s="705"/>
      <c r="F84" s="705"/>
      <c r="G84" s="705"/>
      <c r="H84" s="705"/>
      <c r="I84" s="705"/>
      <c r="J84" s="705"/>
      <c r="K84" s="705"/>
      <c r="L84" s="705"/>
      <c r="M84" s="387" t="s">
        <v>1284</v>
      </c>
      <c r="N84" s="755" t="s">
        <v>1343</v>
      </c>
      <c r="O84" s="765"/>
      <c r="P84" s="242"/>
      <c r="Q84" s="242">
        <v>3210</v>
      </c>
    </row>
    <row r="85" spans="1:17" s="476" customFormat="1" x14ac:dyDescent="0.25">
      <c r="A85" s="699"/>
      <c r="B85" s="717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387" t="s">
        <v>1284</v>
      </c>
      <c r="N85" s="755" t="s">
        <v>1350</v>
      </c>
      <c r="O85" s="765"/>
      <c r="P85" s="242"/>
      <c r="Q85" s="242">
        <v>15000</v>
      </c>
    </row>
    <row r="86" spans="1:17" s="476" customFormat="1" x14ac:dyDescent="0.25">
      <c r="A86" s="699"/>
      <c r="B86" s="717"/>
      <c r="C86" s="705"/>
      <c r="D86" s="705"/>
      <c r="E86" s="705"/>
      <c r="F86" s="705"/>
      <c r="G86" s="705"/>
      <c r="H86" s="705"/>
      <c r="I86" s="705"/>
      <c r="J86" s="705"/>
      <c r="K86" s="705"/>
      <c r="L86" s="705"/>
      <c r="M86" s="387" t="s">
        <v>1284</v>
      </c>
      <c r="N86" s="755" t="s">
        <v>1343</v>
      </c>
      <c r="O86" s="765"/>
      <c r="P86" s="242"/>
      <c r="Q86" s="242">
        <v>17402</v>
      </c>
    </row>
    <row r="87" spans="1:17" s="476" customFormat="1" x14ac:dyDescent="0.25">
      <c r="A87" s="699"/>
      <c r="B87" s="707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387"/>
      <c r="N87" s="755" t="s">
        <v>1375</v>
      </c>
      <c r="O87" s="765">
        <v>122526</v>
      </c>
      <c r="P87" s="242"/>
      <c r="Q87" s="242">
        <f>SUM(Q80:Q86)</f>
        <v>81267</v>
      </c>
    </row>
    <row r="88" spans="1:17" s="476" customFormat="1" x14ac:dyDescent="0.25">
      <c r="A88" s="699"/>
      <c r="B88" s="717"/>
      <c r="C88" s="705"/>
      <c r="D88" s="705"/>
      <c r="E88" s="705"/>
      <c r="F88" s="705"/>
      <c r="G88" s="705"/>
      <c r="H88" s="705"/>
      <c r="I88" s="705"/>
      <c r="J88" s="705"/>
      <c r="K88" s="705"/>
      <c r="L88" s="705"/>
      <c r="M88" s="387"/>
      <c r="N88" s="755" t="s">
        <v>1401</v>
      </c>
      <c r="O88" s="765"/>
      <c r="P88" s="242"/>
      <c r="Q88" s="242"/>
    </row>
    <row r="89" spans="1:17" s="476" customFormat="1" x14ac:dyDescent="0.25">
      <c r="A89" s="699"/>
      <c r="B89" s="717" t="s">
        <v>1446</v>
      </c>
      <c r="C89" s="705">
        <f>3850+1905</f>
        <v>5755</v>
      </c>
      <c r="D89" s="704">
        <f t="shared" ref="D89:E89" si="42">+C89</f>
        <v>5755</v>
      </c>
      <c r="E89" s="704">
        <f t="shared" si="42"/>
        <v>5755</v>
      </c>
      <c r="F89" s="705"/>
      <c r="G89" s="705"/>
      <c r="H89" s="704"/>
      <c r="I89" s="704"/>
      <c r="J89" s="704"/>
      <c r="K89" s="704"/>
      <c r="L89" s="704"/>
      <c r="M89" s="387"/>
      <c r="N89" s="755" t="s">
        <v>1407</v>
      </c>
      <c r="O89" s="765"/>
      <c r="P89" s="242"/>
      <c r="Q89" s="242"/>
    </row>
    <row r="90" spans="1:17" s="476" customFormat="1" x14ac:dyDescent="0.25">
      <c r="A90" s="699"/>
      <c r="B90" s="717" t="s">
        <v>1462</v>
      </c>
      <c r="C90" s="705"/>
      <c r="D90" s="704">
        <f t="shared" ref="D90:E90" si="43">4101+97+14200</f>
        <v>18398</v>
      </c>
      <c r="E90" s="704">
        <f t="shared" si="43"/>
        <v>18398</v>
      </c>
      <c r="F90" s="705"/>
      <c r="G90" s="705"/>
      <c r="H90" s="704"/>
      <c r="I90" s="704"/>
      <c r="J90" s="704"/>
      <c r="K90" s="704"/>
      <c r="L90" s="704"/>
      <c r="M90" s="387"/>
      <c r="N90" s="755"/>
      <c r="O90" s="765"/>
      <c r="P90" s="242"/>
      <c r="Q90" s="242"/>
    </row>
    <row r="91" spans="1:17" s="476" customFormat="1" x14ac:dyDescent="0.25">
      <c r="A91" s="699"/>
      <c r="B91" s="717" t="s">
        <v>1463</v>
      </c>
      <c r="C91" s="705"/>
      <c r="D91" s="704">
        <v>6100</v>
      </c>
      <c r="E91" s="704">
        <v>6100</v>
      </c>
      <c r="F91" s="705"/>
      <c r="G91" s="705"/>
      <c r="H91" s="704"/>
      <c r="I91" s="704"/>
      <c r="J91" s="704"/>
      <c r="K91" s="704"/>
      <c r="L91" s="704"/>
      <c r="M91" s="387"/>
      <c r="N91" s="755"/>
      <c r="O91" s="765"/>
      <c r="P91" s="242"/>
      <c r="Q91" s="242"/>
    </row>
    <row r="92" spans="1:17" s="476" customFormat="1" x14ac:dyDescent="0.25">
      <c r="A92" s="699" t="s">
        <v>570</v>
      </c>
      <c r="B92" s="700" t="s">
        <v>1421</v>
      </c>
      <c r="C92" s="710">
        <f>23853+2850</f>
        <v>26703</v>
      </c>
      <c r="D92" s="701">
        <f t="shared" ref="D92:E92" si="44">22148-2804-5756</f>
        <v>13588</v>
      </c>
      <c r="E92" s="701">
        <f t="shared" si="44"/>
        <v>13588</v>
      </c>
      <c r="F92" s="705"/>
      <c r="G92" s="710"/>
      <c r="H92" s="701"/>
      <c r="I92" s="701"/>
      <c r="J92" s="701"/>
      <c r="K92" s="701"/>
      <c r="L92" s="701"/>
      <c r="M92" s="387"/>
      <c r="N92" s="755"/>
      <c r="O92" s="765">
        <v>3661</v>
      </c>
      <c r="P92" s="242"/>
      <c r="Q92" s="242"/>
    </row>
    <row r="93" spans="1:17" s="476" customFormat="1" x14ac:dyDescent="0.25">
      <c r="A93" s="696" t="s">
        <v>318</v>
      </c>
      <c r="B93" s="697" t="s">
        <v>341</v>
      </c>
      <c r="C93" s="698">
        <f>C94+C99+C103+C105+C107+C109+C111+C114+C116+C117</f>
        <v>38884</v>
      </c>
      <c r="D93" s="698">
        <f>D94+D99+D103+D105+D107+D109+D111+D114+D116+D117</f>
        <v>55489</v>
      </c>
      <c r="E93" s="698">
        <f>E94+E99+E103+E105+E107+E109+E111+E114+E116+E117</f>
        <v>55489</v>
      </c>
      <c r="F93" s="698">
        <f>F94+F99+F103+F105+F107+F109+F111+F114+F116+F117</f>
        <v>0</v>
      </c>
      <c r="G93" s="698">
        <f>G94+G99+G103+G105+G107+G109+G111+G114+G116+G117</f>
        <v>22533.65</v>
      </c>
      <c r="H93" s="698">
        <f t="shared" ref="H93:I93" si="45">H94+H99+H103+H105+H107+H109+H111+H114+H116+H117</f>
        <v>22533.65</v>
      </c>
      <c r="I93" s="698">
        <f t="shared" si="45"/>
        <v>21512.65</v>
      </c>
      <c r="J93" s="698">
        <f t="shared" ref="J93:K93" si="46">J94+J99+J103+J105+J107+J109+J111+J114+J116+J117</f>
        <v>4755</v>
      </c>
      <c r="K93" s="698">
        <f t="shared" si="46"/>
        <v>1770</v>
      </c>
      <c r="L93" s="698">
        <f t="shared" ref="L93" si="47">L94+L99+L103+L105+L107+L109+L111+L114+L116+L117</f>
        <v>0</v>
      </c>
      <c r="M93" s="387"/>
      <c r="N93" s="755"/>
      <c r="O93" s="765"/>
      <c r="P93" s="242"/>
      <c r="Q93" s="242"/>
    </row>
    <row r="94" spans="1:17" s="476" customFormat="1" x14ac:dyDescent="0.25">
      <c r="A94" s="693" t="s">
        <v>311</v>
      </c>
      <c r="B94" s="718" t="s">
        <v>992</v>
      </c>
      <c r="C94" s="711">
        <f t="shared" ref="C94:G94" si="48">SUM(C95:C98)</f>
        <v>12750</v>
      </c>
      <c r="D94" s="711">
        <f t="shared" si="48"/>
        <v>27985</v>
      </c>
      <c r="E94" s="711">
        <f t="shared" si="48"/>
        <v>27985</v>
      </c>
      <c r="F94" s="711">
        <f t="shared" si="48"/>
        <v>0</v>
      </c>
      <c r="G94" s="711">
        <f t="shared" si="48"/>
        <v>0</v>
      </c>
      <c r="H94" s="701">
        <f t="shared" ref="H94:I94" si="49">+G94</f>
        <v>0</v>
      </c>
      <c r="I94" s="701">
        <f t="shared" si="49"/>
        <v>0</v>
      </c>
      <c r="J94" s="701">
        <f t="shared" ref="J94:K94" si="50">+I94</f>
        <v>0</v>
      </c>
      <c r="K94" s="701">
        <f t="shared" si="50"/>
        <v>0</v>
      </c>
      <c r="L94" s="701">
        <f>SUM(L95:L98)</f>
        <v>0</v>
      </c>
      <c r="M94" s="388"/>
      <c r="N94" s="758"/>
      <c r="O94" s="765"/>
    </row>
    <row r="95" spans="1:17" s="476" customFormat="1" x14ac:dyDescent="0.25">
      <c r="A95" s="719"/>
      <c r="B95" s="720" t="s">
        <v>1322</v>
      </c>
      <c r="C95" s="706">
        <v>2540</v>
      </c>
      <c r="D95" s="706">
        <f>4000*1.27</f>
        <v>5080</v>
      </c>
      <c r="E95" s="706">
        <f>4000*1.27</f>
        <v>5080</v>
      </c>
      <c r="F95" s="706"/>
      <c r="G95" s="706"/>
      <c r="H95" s="704"/>
      <c r="I95" s="704"/>
      <c r="J95" s="704"/>
      <c r="K95" s="704"/>
      <c r="L95" s="704"/>
      <c r="M95" s="387"/>
      <c r="N95" s="755"/>
      <c r="O95" s="765"/>
    </row>
    <row r="96" spans="1:17" s="476" customFormat="1" x14ac:dyDescent="0.25">
      <c r="A96" s="719"/>
      <c r="B96" s="720" t="s">
        <v>993</v>
      </c>
      <c r="C96" s="706">
        <v>4445</v>
      </c>
      <c r="D96" s="706">
        <f>3500*1.27</f>
        <v>4445</v>
      </c>
      <c r="E96" s="706">
        <f>3500*1.27</f>
        <v>4445</v>
      </c>
      <c r="F96" s="706"/>
      <c r="G96" s="706"/>
      <c r="H96" s="704"/>
      <c r="I96" s="704"/>
      <c r="J96" s="704"/>
      <c r="K96" s="704"/>
      <c r="L96" s="704"/>
      <c r="M96" s="387"/>
      <c r="N96" s="755"/>
      <c r="O96" s="765"/>
    </row>
    <row r="97" spans="1:17" s="476" customFormat="1" x14ac:dyDescent="0.25">
      <c r="A97" s="719"/>
      <c r="B97" s="720" t="s">
        <v>1323</v>
      </c>
      <c r="C97" s="706">
        <v>4445</v>
      </c>
      <c r="D97" s="706">
        <f>3500*1.27</f>
        <v>4445</v>
      </c>
      <c r="E97" s="706">
        <f>3500*1.27</f>
        <v>4445</v>
      </c>
      <c r="F97" s="706"/>
      <c r="G97" s="706"/>
      <c r="H97" s="704"/>
      <c r="I97" s="704"/>
      <c r="J97" s="704"/>
      <c r="K97" s="704"/>
      <c r="L97" s="704"/>
      <c r="M97" s="387"/>
      <c r="N97" s="755"/>
      <c r="O97" s="765"/>
    </row>
    <row r="98" spans="1:17" s="476" customFormat="1" x14ac:dyDescent="0.25">
      <c r="A98" s="719"/>
      <c r="B98" s="720" t="s">
        <v>994</v>
      </c>
      <c r="C98" s="706">
        <v>1320</v>
      </c>
      <c r="D98" s="706">
        <f>45+11000*1.27</f>
        <v>14015</v>
      </c>
      <c r="E98" s="706">
        <f>45+11000*1.27</f>
        <v>14015</v>
      </c>
      <c r="F98" s="706"/>
      <c r="G98" s="706"/>
      <c r="H98" s="704"/>
      <c r="I98" s="704"/>
      <c r="J98" s="704"/>
      <c r="K98" s="704"/>
      <c r="L98" s="704"/>
      <c r="M98" s="387"/>
      <c r="N98" s="755"/>
      <c r="O98" s="765"/>
    </row>
    <row r="99" spans="1:17" s="476" customFormat="1" x14ac:dyDescent="0.25">
      <c r="A99" s="693" t="s">
        <v>322</v>
      </c>
      <c r="B99" s="718" t="s">
        <v>995</v>
      </c>
      <c r="C99" s="710">
        <f>SUM(C101)</f>
        <v>16875</v>
      </c>
      <c r="D99" s="710">
        <f>SUM(D100:D101)</f>
        <v>14550</v>
      </c>
      <c r="E99" s="710">
        <f>SUM(E100:E102)</f>
        <v>14550</v>
      </c>
      <c r="F99" s="710">
        <f>SUM(F100:F102)</f>
        <v>0</v>
      </c>
      <c r="G99" s="710">
        <f>SUM(G100:G102)</f>
        <v>0</v>
      </c>
      <c r="H99" s="701">
        <f>SUM(H101)</f>
        <v>0</v>
      </c>
      <c r="I99" s="701">
        <f>SUM(I101)</f>
        <v>0</v>
      </c>
      <c r="J99" s="701">
        <f>SUM(J101)</f>
        <v>0</v>
      </c>
      <c r="K99" s="701">
        <f>SUM(K101)</f>
        <v>0</v>
      </c>
      <c r="L99" s="701">
        <f>SUM(L101)</f>
        <v>0</v>
      </c>
      <c r="M99" s="388"/>
      <c r="N99" s="758"/>
      <c r="O99" s="765"/>
    </row>
    <row r="100" spans="1:17" s="476" customFormat="1" x14ac:dyDescent="0.25">
      <c r="A100" s="712"/>
      <c r="B100" s="720"/>
      <c r="C100" s="705"/>
      <c r="D100" s="705"/>
      <c r="E100" s="705"/>
      <c r="F100" s="705"/>
      <c r="G100" s="705"/>
      <c r="H100" s="705"/>
      <c r="I100" s="705"/>
      <c r="J100" s="705"/>
      <c r="K100" s="705"/>
      <c r="L100" s="705"/>
      <c r="M100" s="519"/>
      <c r="N100" s="759"/>
      <c r="O100" s="765"/>
    </row>
    <row r="101" spans="1:17" s="476" customFormat="1" x14ac:dyDescent="0.25">
      <c r="A101" s="719"/>
      <c r="B101" s="720" t="s">
        <v>994</v>
      </c>
      <c r="C101" s="704">
        <f>18527-1016-635-1</f>
        <v>16875</v>
      </c>
      <c r="D101" s="704">
        <f>4572+3121+6857</f>
        <v>14550</v>
      </c>
      <c r="E101" s="704">
        <f>4572+3121+6857</f>
        <v>14550</v>
      </c>
      <c r="F101" s="704"/>
      <c r="G101" s="704"/>
      <c r="H101" s="704"/>
      <c r="I101" s="704"/>
      <c r="J101" s="704"/>
      <c r="K101" s="704"/>
      <c r="L101" s="704"/>
      <c r="M101" s="387"/>
      <c r="N101" s="755"/>
      <c r="O101" s="765"/>
    </row>
    <row r="102" spans="1:17" s="476" customFormat="1" x14ac:dyDescent="0.25">
      <c r="A102" s="719"/>
      <c r="B102" s="720"/>
      <c r="C102" s="704"/>
      <c r="D102" s="704"/>
      <c r="E102" s="704"/>
      <c r="F102" s="704"/>
      <c r="G102" s="704"/>
      <c r="H102" s="704"/>
      <c r="I102" s="704"/>
      <c r="J102" s="704"/>
      <c r="K102" s="704"/>
      <c r="L102" s="704"/>
      <c r="M102" s="387"/>
      <c r="N102" s="755"/>
      <c r="O102" s="765"/>
    </row>
    <row r="103" spans="1:17" s="476" customFormat="1" x14ac:dyDescent="0.25">
      <c r="A103" s="693" t="s">
        <v>315</v>
      </c>
      <c r="B103" s="718" t="s">
        <v>347</v>
      </c>
      <c r="C103" s="710">
        <f>SUM(C104)</f>
        <v>845</v>
      </c>
      <c r="D103" s="710">
        <f>SUM(D104)</f>
        <v>0</v>
      </c>
      <c r="E103" s="710">
        <f>SUM(E104)</f>
        <v>0</v>
      </c>
      <c r="F103" s="710">
        <f>SUM(F104)</f>
        <v>0</v>
      </c>
      <c r="G103" s="710">
        <f>SUM(G104)</f>
        <v>1470</v>
      </c>
      <c r="H103" s="701">
        <f t="shared" ref="H103:I115" si="51">+G103</f>
        <v>1470</v>
      </c>
      <c r="I103" s="701">
        <f t="shared" si="51"/>
        <v>1470</v>
      </c>
      <c r="J103" s="701">
        <f>+I103</f>
        <v>1470</v>
      </c>
      <c r="K103" s="701">
        <f>+J103</f>
        <v>1470</v>
      </c>
      <c r="L103" s="701">
        <f>+L104</f>
        <v>0</v>
      </c>
      <c r="M103" s="388"/>
      <c r="N103" s="758"/>
      <c r="O103" s="765"/>
    </row>
    <row r="104" spans="1:17" s="476" customFormat="1" x14ac:dyDescent="0.25">
      <c r="A104" s="719"/>
      <c r="B104" s="720" t="s">
        <v>1169</v>
      </c>
      <c r="C104" s="704">
        <v>845</v>
      </c>
      <c r="D104" s="704"/>
      <c r="E104" s="704"/>
      <c r="F104" s="704"/>
      <c r="G104" s="704">
        <f>+'5 GSZNR fel'!Q13+'5 GSZNR fel'!Q18</f>
        <v>1470</v>
      </c>
      <c r="H104" s="704">
        <f t="shared" si="51"/>
        <v>1470</v>
      </c>
      <c r="I104" s="704">
        <f t="shared" si="51"/>
        <v>1470</v>
      </c>
      <c r="J104" s="704">
        <f>+I104</f>
        <v>1470</v>
      </c>
      <c r="K104" s="704">
        <f>+J104</f>
        <v>1470</v>
      </c>
      <c r="L104" s="704"/>
      <c r="M104" s="387"/>
      <c r="N104" s="755"/>
      <c r="O104" s="765"/>
    </row>
    <row r="105" spans="1:17" s="476" customFormat="1" x14ac:dyDescent="0.25">
      <c r="A105" s="721" t="s">
        <v>336</v>
      </c>
      <c r="B105" s="718" t="s">
        <v>996</v>
      </c>
      <c r="C105" s="710">
        <f>SUM(C106)</f>
        <v>762</v>
      </c>
      <c r="D105" s="710">
        <f>SUM(D106)</f>
        <v>1103</v>
      </c>
      <c r="E105" s="710">
        <f>SUM(E106)</f>
        <v>1103</v>
      </c>
      <c r="F105" s="710">
        <f>SUM(F106)</f>
        <v>0</v>
      </c>
      <c r="G105" s="710">
        <f>SUM(G106)</f>
        <v>0</v>
      </c>
      <c r="H105" s="701">
        <f t="shared" si="51"/>
        <v>0</v>
      </c>
      <c r="I105" s="701">
        <f t="shared" si="51"/>
        <v>0</v>
      </c>
      <c r="J105" s="701">
        <f>J106</f>
        <v>0</v>
      </c>
      <c r="K105" s="701">
        <f>K106</f>
        <v>0</v>
      </c>
      <c r="L105" s="701">
        <f>+L106</f>
        <v>0</v>
      </c>
      <c r="M105" s="386"/>
      <c r="N105" s="754"/>
      <c r="O105" s="766"/>
      <c r="P105" s="486"/>
      <c r="Q105" s="486"/>
    </row>
    <row r="106" spans="1:17" s="476" customFormat="1" x14ac:dyDescent="0.25">
      <c r="A106" s="719"/>
      <c r="B106" s="720" t="s">
        <v>1169</v>
      </c>
      <c r="C106" s="704">
        <v>762</v>
      </c>
      <c r="D106" s="704">
        <f>635+368+100</f>
        <v>1103</v>
      </c>
      <c r="E106" s="704">
        <f>635+368+100</f>
        <v>1103</v>
      </c>
      <c r="F106" s="704"/>
      <c r="G106" s="704">
        <f>+'5 GSZNR fel'!Q27+'5 GSZNR fel'!Q32</f>
        <v>0</v>
      </c>
      <c r="H106" s="704">
        <f t="shared" si="51"/>
        <v>0</v>
      </c>
      <c r="I106" s="704">
        <f t="shared" si="51"/>
        <v>0</v>
      </c>
      <c r="J106" s="704"/>
      <c r="K106" s="704"/>
      <c r="L106" s="704"/>
      <c r="M106" s="387"/>
      <c r="N106" s="755"/>
      <c r="O106" s="765"/>
    </row>
    <row r="107" spans="1:17" s="486" customFormat="1" x14ac:dyDescent="0.25">
      <c r="A107" s="721" t="s">
        <v>338</v>
      </c>
      <c r="B107" s="718" t="s">
        <v>997</v>
      </c>
      <c r="C107" s="710">
        <f>SUM(C108)</f>
        <v>635</v>
      </c>
      <c r="D107" s="710">
        <f>SUM(D108)</f>
        <v>0</v>
      </c>
      <c r="E107" s="710">
        <f>SUM(E108)</f>
        <v>0</v>
      </c>
      <c r="F107" s="710">
        <f>SUM(F108)</f>
        <v>0</v>
      </c>
      <c r="G107" s="710">
        <f>SUM(G108)</f>
        <v>300</v>
      </c>
      <c r="H107" s="701">
        <f t="shared" si="51"/>
        <v>300</v>
      </c>
      <c r="I107" s="701">
        <f t="shared" si="51"/>
        <v>300</v>
      </c>
      <c r="J107" s="701">
        <f>+I107</f>
        <v>300</v>
      </c>
      <c r="K107" s="701">
        <f>+J107</f>
        <v>300</v>
      </c>
      <c r="L107" s="701">
        <f>+L108</f>
        <v>0</v>
      </c>
      <c r="M107" s="386"/>
      <c r="N107" s="754"/>
      <c r="O107" s="766"/>
    </row>
    <row r="108" spans="1:17" s="476" customFormat="1" x14ac:dyDescent="0.25">
      <c r="A108" s="719"/>
      <c r="B108" s="720" t="s">
        <v>1169</v>
      </c>
      <c r="C108" s="704">
        <v>635</v>
      </c>
      <c r="D108" s="704"/>
      <c r="E108" s="704"/>
      <c r="F108" s="704"/>
      <c r="G108" s="704">
        <f>+'5 GSZNR fel'!Q41+'5 GSZNR fel'!Q46</f>
        <v>300</v>
      </c>
      <c r="H108" s="704">
        <f t="shared" si="51"/>
        <v>300</v>
      </c>
      <c r="I108" s="704">
        <f t="shared" si="51"/>
        <v>300</v>
      </c>
      <c r="J108" s="704">
        <f>+I108</f>
        <v>300</v>
      </c>
      <c r="K108" s="704">
        <f>+J108</f>
        <v>300</v>
      </c>
      <c r="L108" s="704"/>
      <c r="M108" s="387"/>
      <c r="N108" s="755"/>
      <c r="O108" s="765"/>
    </row>
    <row r="109" spans="1:17" s="486" customFormat="1" x14ac:dyDescent="0.25">
      <c r="A109" s="721" t="s">
        <v>560</v>
      </c>
      <c r="B109" s="718" t="s">
        <v>356</v>
      </c>
      <c r="C109" s="710">
        <f>SUM(C110)</f>
        <v>2464</v>
      </c>
      <c r="D109" s="710">
        <f>SUM(D110)</f>
        <v>5216</v>
      </c>
      <c r="E109" s="710">
        <f>SUM(E110)</f>
        <v>5216</v>
      </c>
      <c r="F109" s="710">
        <f>SUM(F110)</f>
        <v>0</v>
      </c>
      <c r="G109" s="710">
        <f>SUM(G110)</f>
        <v>16757.650000000001</v>
      </c>
      <c r="H109" s="701">
        <f t="shared" si="51"/>
        <v>16757.650000000001</v>
      </c>
      <c r="I109" s="701">
        <f t="shared" si="51"/>
        <v>16757.650000000001</v>
      </c>
      <c r="J109" s="701">
        <f>J110</f>
        <v>0</v>
      </c>
      <c r="K109" s="701">
        <f>K110</f>
        <v>0</v>
      </c>
      <c r="L109" s="701">
        <f>+L110</f>
        <v>0</v>
      </c>
      <c r="M109" s="386"/>
      <c r="N109" s="754"/>
      <c r="O109" s="766"/>
    </row>
    <row r="110" spans="1:17" s="476" customFormat="1" x14ac:dyDescent="0.25">
      <c r="A110" s="719"/>
      <c r="B110" s="720" t="s">
        <v>1169</v>
      </c>
      <c r="C110" s="704">
        <v>2464</v>
      </c>
      <c r="D110" s="704">
        <f>5525-243-66</f>
        <v>5216</v>
      </c>
      <c r="E110" s="704">
        <f>5525-243-66</f>
        <v>5216</v>
      </c>
      <c r="F110" s="704"/>
      <c r="G110" s="704">
        <f>+'5 GSZNR fel'!Q55+'5 GSZNR fel'!Q61+'5 GSZNR fel'!Q66</f>
        <v>16757.650000000001</v>
      </c>
      <c r="H110" s="704">
        <f t="shared" si="51"/>
        <v>16757.650000000001</v>
      </c>
      <c r="I110" s="704">
        <f t="shared" si="51"/>
        <v>16757.650000000001</v>
      </c>
      <c r="J110" s="704"/>
      <c r="K110" s="704"/>
      <c r="L110" s="704"/>
      <c r="M110" s="387"/>
      <c r="N110" s="755"/>
      <c r="O110" s="765"/>
    </row>
    <row r="111" spans="1:17" s="486" customFormat="1" x14ac:dyDescent="0.25">
      <c r="A111" s="721" t="s">
        <v>562</v>
      </c>
      <c r="B111" s="718" t="s">
        <v>359</v>
      </c>
      <c r="C111" s="710">
        <f t="shared" ref="C111:G111" si="52">SUM(C112:C113)</f>
        <v>2711</v>
      </c>
      <c r="D111" s="710">
        <f t="shared" si="52"/>
        <v>3760</v>
      </c>
      <c r="E111" s="710">
        <f t="shared" si="52"/>
        <v>3760</v>
      </c>
      <c r="F111" s="710">
        <f t="shared" si="52"/>
        <v>0</v>
      </c>
      <c r="G111" s="710">
        <f t="shared" si="52"/>
        <v>771</v>
      </c>
      <c r="H111" s="701">
        <f t="shared" si="51"/>
        <v>771</v>
      </c>
      <c r="I111" s="701">
        <f>I112+I113</f>
        <v>0</v>
      </c>
      <c r="J111" s="701">
        <f>J112+J113</f>
        <v>0</v>
      </c>
      <c r="K111" s="701">
        <f>K112+K113</f>
        <v>0</v>
      </c>
      <c r="L111" s="701">
        <f>L112+L113</f>
        <v>0</v>
      </c>
      <c r="M111" s="386"/>
      <c r="N111" s="754"/>
      <c r="O111" s="766"/>
    </row>
    <row r="112" spans="1:17" s="476" customFormat="1" x14ac:dyDescent="0.25">
      <c r="A112" s="719"/>
      <c r="B112" s="720" t="s">
        <v>1072</v>
      </c>
      <c r="C112" s="704">
        <v>2000</v>
      </c>
      <c r="D112" s="704">
        <f>2000+100</f>
        <v>2100</v>
      </c>
      <c r="E112" s="704">
        <f>2000+100</f>
        <v>2100</v>
      </c>
      <c r="F112" s="704"/>
      <c r="G112" s="704">
        <f>+'5 GSZNR fel'!Q85</f>
        <v>0</v>
      </c>
      <c r="H112" s="704">
        <f t="shared" si="51"/>
        <v>0</v>
      </c>
      <c r="I112" s="704"/>
      <c r="J112" s="704"/>
      <c r="K112" s="704"/>
      <c r="L112" s="704"/>
      <c r="M112" s="387"/>
      <c r="N112" s="755"/>
      <c r="O112" s="765"/>
    </row>
    <row r="113" spans="1:17" s="486" customFormat="1" x14ac:dyDescent="0.25">
      <c r="A113" s="719"/>
      <c r="B113" s="720" t="s">
        <v>1169</v>
      </c>
      <c r="C113" s="704">
        <v>711</v>
      </c>
      <c r="D113" s="704">
        <f>1661-1</f>
        <v>1660</v>
      </c>
      <c r="E113" s="704">
        <f>1661-1</f>
        <v>1660</v>
      </c>
      <c r="F113" s="704"/>
      <c r="G113" s="704">
        <f>+'5 GSZNR fel'!Q80+'5 GSZNR fel'!Q85+'5 GSZNR fel'!Q91</f>
        <v>771</v>
      </c>
      <c r="H113" s="704">
        <f t="shared" si="51"/>
        <v>771</v>
      </c>
      <c r="I113" s="704"/>
      <c r="J113" s="704"/>
      <c r="K113" s="704"/>
      <c r="L113" s="704"/>
      <c r="M113" s="387"/>
      <c r="N113" s="755"/>
      <c r="O113" s="765"/>
      <c r="P113" s="476"/>
      <c r="Q113" s="476"/>
    </row>
    <row r="114" spans="1:17" s="476" customFormat="1" x14ac:dyDescent="0.25">
      <c r="A114" s="693" t="s">
        <v>564</v>
      </c>
      <c r="B114" s="718" t="s">
        <v>362</v>
      </c>
      <c r="C114" s="710">
        <f>SUM(C115)</f>
        <v>1385</v>
      </c>
      <c r="D114" s="710">
        <f>SUM(D115)</f>
        <v>1095</v>
      </c>
      <c r="E114" s="710">
        <f>SUM(E115)</f>
        <v>1095</v>
      </c>
      <c r="F114" s="710">
        <f>SUM(F115)</f>
        <v>0</v>
      </c>
      <c r="G114" s="710">
        <f>SUM(G115)</f>
        <v>250</v>
      </c>
      <c r="H114" s="701">
        <f t="shared" si="51"/>
        <v>250</v>
      </c>
      <c r="I114" s="701">
        <f>I115</f>
        <v>0</v>
      </c>
      <c r="J114" s="701">
        <f>J115</f>
        <v>0</v>
      </c>
      <c r="K114" s="701">
        <f>K115</f>
        <v>0</v>
      </c>
      <c r="L114" s="701">
        <f>L115</f>
        <v>0</v>
      </c>
      <c r="M114" s="388"/>
      <c r="N114" s="758"/>
      <c r="O114" s="485"/>
    </row>
    <row r="115" spans="1:17" s="476" customFormat="1" x14ac:dyDescent="0.25">
      <c r="A115" s="719"/>
      <c r="B115" s="720" t="s">
        <v>1169</v>
      </c>
      <c r="C115" s="704">
        <v>1385</v>
      </c>
      <c r="D115" s="704">
        <f>1345+250-200-300</f>
        <v>1095</v>
      </c>
      <c r="E115" s="704">
        <f>1345+250-200-300</f>
        <v>1095</v>
      </c>
      <c r="F115" s="704"/>
      <c r="G115" s="704">
        <f>+'5 GSZNR fel'!Q99+'5 GSZNR fel'!Q104+'5 GSZNR fel'!Q109</f>
        <v>250</v>
      </c>
      <c r="H115" s="704">
        <f t="shared" si="51"/>
        <v>250</v>
      </c>
      <c r="I115" s="704"/>
      <c r="J115" s="704"/>
      <c r="K115" s="704"/>
      <c r="L115" s="704"/>
      <c r="M115" s="387"/>
      <c r="N115" s="755"/>
      <c r="O115" s="485"/>
    </row>
    <row r="116" spans="1:17" s="476" customFormat="1" hidden="1" x14ac:dyDescent="0.25">
      <c r="A116" s="719"/>
      <c r="B116" s="720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387"/>
      <c r="N116" s="755"/>
      <c r="O116" s="485"/>
    </row>
    <row r="117" spans="1:17" s="476" customFormat="1" x14ac:dyDescent="0.25">
      <c r="A117" s="719" t="s">
        <v>1321</v>
      </c>
      <c r="B117" s="718" t="s">
        <v>1301</v>
      </c>
      <c r="C117" s="710">
        <f>SUM(C118)</f>
        <v>457</v>
      </c>
      <c r="D117" s="710">
        <f>SUM(D118)</f>
        <v>1780</v>
      </c>
      <c r="E117" s="710">
        <f>SUM(E118)</f>
        <v>1780</v>
      </c>
      <c r="F117" s="710">
        <f>SUM(F118)</f>
        <v>0</v>
      </c>
      <c r="G117" s="710">
        <f>SUM(G118)</f>
        <v>2985</v>
      </c>
      <c r="H117" s="701">
        <f t="shared" ref="H117:I118" si="53">+G117</f>
        <v>2985</v>
      </c>
      <c r="I117" s="701">
        <f t="shared" si="53"/>
        <v>2985</v>
      </c>
      <c r="J117" s="701">
        <f>+I117</f>
        <v>2985</v>
      </c>
      <c r="K117" s="701">
        <f>K118</f>
        <v>0</v>
      </c>
      <c r="L117" s="701">
        <f>+L118</f>
        <v>0</v>
      </c>
      <c r="M117" s="387"/>
      <c r="N117" s="755"/>
      <c r="O117" s="485"/>
    </row>
    <row r="118" spans="1:17" s="476" customFormat="1" x14ac:dyDescent="0.25">
      <c r="A118" s="719"/>
      <c r="B118" s="720" t="s">
        <v>1169</v>
      </c>
      <c r="C118" s="704">
        <v>457</v>
      </c>
      <c r="D118" s="704">
        <f>1612+79+39+50</f>
        <v>1780</v>
      </c>
      <c r="E118" s="704">
        <f>1612+79+39+50</f>
        <v>1780</v>
      </c>
      <c r="F118" s="704"/>
      <c r="G118" s="704">
        <f>+'5 GSZNR fel'!Q123+'5 GSZNR fel'!Q128</f>
        <v>2985</v>
      </c>
      <c r="H118" s="704">
        <f t="shared" si="53"/>
        <v>2985</v>
      </c>
      <c r="I118" s="704">
        <f t="shared" si="53"/>
        <v>2985</v>
      </c>
      <c r="J118" s="704">
        <f>+I118</f>
        <v>2985</v>
      </c>
      <c r="K118" s="704"/>
      <c r="L118" s="704"/>
      <c r="M118" s="387"/>
      <c r="N118" s="755"/>
      <c r="O118" s="485"/>
    </row>
    <row r="119" spans="1:17" s="489" customFormat="1" x14ac:dyDescent="0.25">
      <c r="A119" s="722"/>
      <c r="B119" s="723" t="s">
        <v>553</v>
      </c>
      <c r="C119" s="724">
        <f t="shared" ref="C119:L119" si="54">C5+C93</f>
        <v>1538969.24</v>
      </c>
      <c r="D119" s="724">
        <f t="shared" si="54"/>
        <v>1762689.5</v>
      </c>
      <c r="E119" s="724">
        <f t="shared" si="54"/>
        <v>1762689.5</v>
      </c>
      <c r="F119" s="724">
        <f t="shared" si="54"/>
        <v>0</v>
      </c>
      <c r="G119" s="724">
        <f t="shared" si="54"/>
        <v>22533.65</v>
      </c>
      <c r="H119" s="724">
        <f t="shared" si="54"/>
        <v>22533.65</v>
      </c>
      <c r="I119" s="724">
        <f t="shared" si="54"/>
        <v>21512.65</v>
      </c>
      <c r="J119" s="724">
        <f t="shared" si="54"/>
        <v>4755</v>
      </c>
      <c r="K119" s="724">
        <f t="shared" ref="K119" si="55">K5+K93</f>
        <v>1770</v>
      </c>
      <c r="L119" s="724">
        <f t="shared" si="54"/>
        <v>0</v>
      </c>
      <c r="M119" s="487"/>
      <c r="N119" s="760"/>
      <c r="O119" s="488"/>
    </row>
    <row r="120" spans="1:17" x14ac:dyDescent="0.25">
      <c r="D120" s="502"/>
      <c r="E120" s="502"/>
      <c r="F120" s="502"/>
      <c r="G120" s="502"/>
      <c r="H120" s="502"/>
      <c r="I120" s="502"/>
      <c r="J120" s="502"/>
      <c r="K120" s="502"/>
      <c r="L120" s="502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125" defaultRowHeight="15.65" x14ac:dyDescent="0.25"/>
  <cols>
    <col min="1" max="1" width="5.75" style="199" bestFit="1" customWidth="1"/>
    <col min="2" max="2" width="91.75" style="199" customWidth="1"/>
    <col min="3" max="3" width="14" style="414" customWidth="1"/>
    <col min="4" max="4" width="14.75" style="414" customWidth="1"/>
    <col min="5" max="5" width="14.125" style="199" customWidth="1"/>
    <col min="6" max="6" width="14.125" style="476" customWidth="1"/>
    <col min="7" max="7" width="14.125" style="199" customWidth="1"/>
    <col min="8" max="11" width="14.125" style="199" hidden="1" customWidth="1"/>
    <col min="12" max="12" width="9.625" style="199" hidden="1" customWidth="1"/>
    <col min="13" max="13" width="12.875" style="199" customWidth="1"/>
    <col min="14" max="17" width="9.125" style="199" customWidth="1"/>
    <col min="18" max="16384" width="9.125" style="199"/>
  </cols>
  <sheetData>
    <row r="2" spans="1:15" s="204" customFormat="1" ht="21.1" x14ac:dyDescent="0.25">
      <c r="A2" s="933" t="s">
        <v>998</v>
      </c>
      <c r="B2" s="933"/>
      <c r="C2" s="933"/>
      <c r="D2" s="389"/>
      <c r="F2" s="486"/>
    </row>
    <row r="3" spans="1:15" x14ac:dyDescent="0.2">
      <c r="D3" s="411"/>
      <c r="E3" s="411"/>
      <c r="F3" s="411"/>
      <c r="G3" s="411" t="s">
        <v>302</v>
      </c>
      <c r="I3" s="478"/>
      <c r="J3" s="478"/>
      <c r="K3" s="478" t="s">
        <v>302</v>
      </c>
      <c r="L3" s="478" t="s">
        <v>302</v>
      </c>
    </row>
    <row r="4" spans="1:15" s="200" customFormat="1" ht="56.25" customHeight="1" x14ac:dyDescent="0.25">
      <c r="A4" s="738" t="s">
        <v>985</v>
      </c>
      <c r="B4" s="738" t="s">
        <v>306</v>
      </c>
      <c r="C4" s="695" t="s">
        <v>1461</v>
      </c>
      <c r="D4" s="695" t="s">
        <v>1489</v>
      </c>
      <c r="E4" s="695" t="s">
        <v>1530</v>
      </c>
      <c r="F4" s="695" t="s">
        <v>1498</v>
      </c>
      <c r="G4" s="695" t="s">
        <v>1501</v>
      </c>
      <c r="H4" s="695" t="s">
        <v>1502</v>
      </c>
      <c r="I4" s="695" t="s">
        <v>1508</v>
      </c>
      <c r="J4" s="695" t="s">
        <v>1509</v>
      </c>
      <c r="K4" s="695" t="s">
        <v>1510</v>
      </c>
      <c r="L4" s="695" t="s">
        <v>1472</v>
      </c>
      <c r="N4" s="201"/>
    </row>
    <row r="5" spans="1:15" s="200" customFormat="1" ht="49.75" customHeight="1" x14ac:dyDescent="0.25">
      <c r="A5" s="696" t="s">
        <v>309</v>
      </c>
      <c r="B5" s="697" t="s">
        <v>999</v>
      </c>
      <c r="C5" s="739">
        <f t="shared" ref="C5:J5" si="0">SUM(C6,C7,C8,C21,C39,C43,C44)</f>
        <v>294748</v>
      </c>
      <c r="D5" s="739">
        <f t="shared" si="0"/>
        <v>247922</v>
      </c>
      <c r="E5" s="739">
        <f t="shared" si="0"/>
        <v>247922</v>
      </c>
      <c r="F5" s="739">
        <f t="shared" si="0"/>
        <v>0</v>
      </c>
      <c r="G5" s="739">
        <f t="shared" si="0"/>
        <v>0</v>
      </c>
      <c r="H5" s="739">
        <f t="shared" si="0"/>
        <v>0</v>
      </c>
      <c r="I5" s="739">
        <f t="shared" si="0"/>
        <v>0</v>
      </c>
      <c r="J5" s="739">
        <f t="shared" si="0"/>
        <v>0</v>
      </c>
      <c r="K5" s="739">
        <f t="shared" ref="K5" si="1">SUM(K6,K7,K8,K21,K39,K43,K44)</f>
        <v>0</v>
      </c>
      <c r="L5" s="739">
        <f>+L6+L7+L8+L21+L39</f>
        <v>0</v>
      </c>
      <c r="M5" s="737"/>
      <c r="N5" s="201"/>
      <c r="O5" s="767" t="s">
        <v>1474</v>
      </c>
    </row>
    <row r="6" spans="1:15" x14ac:dyDescent="0.25">
      <c r="A6" s="721" t="s">
        <v>311</v>
      </c>
      <c r="B6" s="718" t="s">
        <v>1000</v>
      </c>
      <c r="C6" s="740">
        <v>48890</v>
      </c>
      <c r="D6" s="740">
        <f t="shared" ref="D6:E6" si="2">+C6</f>
        <v>48890</v>
      </c>
      <c r="E6" s="740">
        <f t="shared" si="2"/>
        <v>48890</v>
      </c>
      <c r="F6" s="740"/>
      <c r="G6" s="740"/>
      <c r="H6" s="740"/>
      <c r="I6" s="740"/>
      <c r="J6" s="740"/>
      <c r="K6" s="740"/>
      <c r="L6" s="740"/>
      <c r="M6" s="199">
        <v>121011701</v>
      </c>
      <c r="N6" s="203"/>
      <c r="O6" s="768"/>
    </row>
    <row r="7" spans="1:15" x14ac:dyDescent="0.25">
      <c r="A7" s="721" t="s">
        <v>322</v>
      </c>
      <c r="B7" s="718" t="s">
        <v>1170</v>
      </c>
      <c r="C7" s="740">
        <v>25033</v>
      </c>
      <c r="D7" s="740">
        <f t="shared" ref="D7:E7" si="3">+C7</f>
        <v>25033</v>
      </c>
      <c r="E7" s="740">
        <f t="shared" si="3"/>
        <v>25033</v>
      </c>
      <c r="F7" s="740"/>
      <c r="G7" s="740"/>
      <c r="H7" s="740"/>
      <c r="I7" s="740"/>
      <c r="J7" s="740"/>
      <c r="K7" s="740"/>
      <c r="L7" s="740"/>
      <c r="N7" s="203"/>
      <c r="O7" s="768"/>
    </row>
    <row r="8" spans="1:15" x14ac:dyDescent="0.25">
      <c r="A8" s="721" t="s">
        <v>315</v>
      </c>
      <c r="B8" s="718" t="s">
        <v>1158</v>
      </c>
      <c r="C8" s="740">
        <f>SUM(C9:C19)</f>
        <v>14000</v>
      </c>
      <c r="D8" s="740">
        <f t="shared" ref="D8:E8" si="4">SUM(D18:D20)</f>
        <v>27087</v>
      </c>
      <c r="E8" s="740">
        <f t="shared" si="4"/>
        <v>27087</v>
      </c>
      <c r="F8" s="740">
        <f>SUM(F9:F17)</f>
        <v>0</v>
      </c>
      <c r="G8" s="740">
        <f>SUM(G9:G19)</f>
        <v>0</v>
      </c>
      <c r="H8" s="740">
        <f t="shared" ref="H8" si="5">+G8</f>
        <v>0</v>
      </c>
      <c r="I8" s="740">
        <f>+H8</f>
        <v>0</v>
      </c>
      <c r="J8" s="740">
        <f>SUM(J18:J20)</f>
        <v>0</v>
      </c>
      <c r="K8" s="740">
        <f>SUM(K18:K20)</f>
        <v>0</v>
      </c>
      <c r="L8" s="740">
        <f>+L18+L19</f>
        <v>0</v>
      </c>
      <c r="N8" s="203"/>
      <c r="O8" s="768"/>
    </row>
    <row r="9" spans="1:15" x14ac:dyDescent="0.25">
      <c r="A9" s="741"/>
      <c r="B9" s="720" t="s">
        <v>1367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199">
        <v>1227151</v>
      </c>
      <c r="N9" s="203"/>
      <c r="O9" s="768"/>
    </row>
    <row r="10" spans="1:15" x14ac:dyDescent="0.2">
      <c r="A10" s="741"/>
      <c r="B10" s="743" t="s">
        <v>1368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199">
        <v>1227152</v>
      </c>
      <c r="N10" s="203"/>
      <c r="O10" s="768"/>
    </row>
    <row r="11" spans="1:15" x14ac:dyDescent="0.2">
      <c r="A11" s="741"/>
      <c r="B11" s="743" t="s">
        <v>1340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199">
        <v>1227153</v>
      </c>
      <c r="N11" s="203"/>
      <c r="O11" s="768"/>
    </row>
    <row r="12" spans="1:15" ht="27.2" x14ac:dyDescent="0.2">
      <c r="A12" s="741"/>
      <c r="B12" s="743" t="s">
        <v>1341</v>
      </c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199">
        <v>1227154</v>
      </c>
      <c r="N12" s="203"/>
      <c r="O12" s="768"/>
    </row>
    <row r="13" spans="1:15" x14ac:dyDescent="0.2">
      <c r="A13" s="741"/>
      <c r="B13" s="743" t="s">
        <v>1429</v>
      </c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N13" s="203"/>
      <c r="O13" s="768"/>
    </row>
    <row r="14" spans="1:15" x14ac:dyDescent="0.2">
      <c r="A14" s="741"/>
      <c r="B14" s="743" t="s">
        <v>1382</v>
      </c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199">
        <v>1227156</v>
      </c>
      <c r="N14" s="203"/>
      <c r="O14" s="768"/>
    </row>
    <row r="15" spans="1:15" x14ac:dyDescent="0.2">
      <c r="A15" s="741"/>
      <c r="B15" s="743" t="s">
        <v>1428</v>
      </c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199">
        <v>1227155</v>
      </c>
      <c r="N15" s="203"/>
      <c r="O15" s="768"/>
    </row>
    <row r="16" spans="1:15" x14ac:dyDescent="0.2">
      <c r="A16" s="741"/>
      <c r="B16" s="743" t="s">
        <v>1430</v>
      </c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199">
        <v>121011715</v>
      </c>
      <c r="N16" s="203"/>
      <c r="O16" s="768"/>
    </row>
    <row r="17" spans="1:15" x14ac:dyDescent="0.2">
      <c r="A17" s="741"/>
      <c r="B17" s="743" t="s">
        <v>1431</v>
      </c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199">
        <v>121011715</v>
      </c>
      <c r="N17" s="203"/>
      <c r="O17" s="768"/>
    </row>
    <row r="18" spans="1:15" x14ac:dyDescent="0.2">
      <c r="A18" s="741"/>
      <c r="B18" s="743" t="s">
        <v>1437</v>
      </c>
      <c r="C18" s="742">
        <v>5000</v>
      </c>
      <c r="D18" s="742">
        <f t="shared" ref="D18:E18" si="6">5000+350</f>
        <v>5350</v>
      </c>
      <c r="E18" s="742">
        <f t="shared" si="6"/>
        <v>5350</v>
      </c>
      <c r="F18" s="742"/>
      <c r="G18" s="742"/>
      <c r="H18" s="742"/>
      <c r="I18" s="742"/>
      <c r="J18" s="742"/>
      <c r="K18" s="742"/>
      <c r="L18" s="742"/>
      <c r="M18" s="199" t="s">
        <v>1422</v>
      </c>
      <c r="N18" s="203"/>
      <c r="O18" s="768"/>
    </row>
    <row r="19" spans="1:15" x14ac:dyDescent="0.2">
      <c r="A19" s="741"/>
      <c r="B19" s="743" t="s">
        <v>1438</v>
      </c>
      <c r="C19" s="742">
        <v>9000</v>
      </c>
      <c r="D19" s="742">
        <f t="shared" ref="D19:E19" si="7">9000-906-350</f>
        <v>7744</v>
      </c>
      <c r="E19" s="742">
        <f t="shared" si="7"/>
        <v>7744</v>
      </c>
      <c r="F19" s="742"/>
      <c r="G19" s="742"/>
      <c r="H19" s="742"/>
      <c r="I19" s="742"/>
      <c r="J19" s="742"/>
      <c r="K19" s="742"/>
      <c r="L19" s="742"/>
      <c r="M19" s="199" t="s">
        <v>1422</v>
      </c>
      <c r="N19" s="203"/>
      <c r="O19" s="768"/>
    </row>
    <row r="20" spans="1:15" x14ac:dyDescent="0.2">
      <c r="A20" s="741"/>
      <c r="B20" s="743" t="s">
        <v>1484</v>
      </c>
      <c r="C20" s="742"/>
      <c r="D20" s="742">
        <v>13993</v>
      </c>
      <c r="E20" s="742">
        <v>13993</v>
      </c>
      <c r="F20" s="742"/>
      <c r="G20" s="742"/>
      <c r="H20" s="742"/>
      <c r="I20" s="742"/>
      <c r="J20" s="742"/>
      <c r="K20" s="742"/>
      <c r="L20" s="742"/>
      <c r="M20" s="199">
        <v>121011710</v>
      </c>
      <c r="N20" s="203"/>
      <c r="O20" s="768"/>
    </row>
    <row r="21" spans="1:15" x14ac:dyDescent="0.25">
      <c r="A21" s="721" t="s">
        <v>336</v>
      </c>
      <c r="B21" s="718" t="s">
        <v>1009</v>
      </c>
      <c r="C21" s="740">
        <f>SUM(C22:C37)</f>
        <v>113083</v>
      </c>
      <c r="D21" s="740">
        <f t="shared" ref="D21:E21" si="8">SUM(D22:D38)</f>
        <v>92690</v>
      </c>
      <c r="E21" s="740">
        <f t="shared" si="8"/>
        <v>92690</v>
      </c>
      <c r="F21" s="740">
        <f>SUM(F22:F37)</f>
        <v>0</v>
      </c>
      <c r="G21" s="740">
        <f>SUM(G22:G37)</f>
        <v>0</v>
      </c>
      <c r="H21" s="740">
        <f t="shared" ref="H21" si="9">+G21</f>
        <v>0</v>
      </c>
      <c r="I21" s="740">
        <f>I22</f>
        <v>0</v>
      </c>
      <c r="J21" s="740">
        <f>SUM(J22:J38)</f>
        <v>0</v>
      </c>
      <c r="K21" s="740">
        <f>SUM(K22:K38)</f>
        <v>0</v>
      </c>
      <c r="L21" s="740">
        <f>+L22</f>
        <v>0</v>
      </c>
      <c r="N21" s="203"/>
      <c r="O21" s="768"/>
    </row>
    <row r="22" spans="1:15" x14ac:dyDescent="0.25">
      <c r="A22" s="721"/>
      <c r="B22" s="720" t="s">
        <v>1330</v>
      </c>
      <c r="C22" s="742">
        <f>90628+22455</f>
        <v>113083</v>
      </c>
      <c r="D22" s="742">
        <f t="shared" ref="D22:E22" si="10">113083+795-113083+88804</f>
        <v>89599</v>
      </c>
      <c r="E22" s="742">
        <f t="shared" si="10"/>
        <v>89599</v>
      </c>
      <c r="F22" s="742"/>
      <c r="G22" s="742"/>
      <c r="H22" s="742"/>
      <c r="I22" s="742"/>
      <c r="J22" s="742"/>
      <c r="K22" s="742"/>
      <c r="L22" s="742"/>
      <c r="M22" s="199">
        <v>121011714</v>
      </c>
      <c r="N22" s="203"/>
      <c r="O22" s="768">
        <f>2286+798</f>
        <v>3084</v>
      </c>
    </row>
    <row r="23" spans="1:15" x14ac:dyDescent="0.25">
      <c r="A23" s="721"/>
      <c r="B23" s="703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N23" s="203"/>
      <c r="O23" s="768"/>
    </row>
    <row r="24" spans="1:15" x14ac:dyDescent="0.25">
      <c r="A24" s="721" t="s">
        <v>315</v>
      </c>
      <c r="B24" s="720" t="s">
        <v>1001</v>
      </c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O24" s="768"/>
    </row>
    <row r="25" spans="1:15" x14ac:dyDescent="0.25">
      <c r="A25" s="721" t="s">
        <v>336</v>
      </c>
      <c r="B25" s="744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O25" s="768"/>
    </row>
    <row r="26" spans="1:15" x14ac:dyDescent="0.25">
      <c r="A26" s="721" t="s">
        <v>338</v>
      </c>
      <c r="B26" s="744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O26" s="768"/>
    </row>
    <row r="27" spans="1:15" x14ac:dyDescent="0.25">
      <c r="A27" s="721" t="s">
        <v>560</v>
      </c>
      <c r="B27" s="744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O27" s="768"/>
    </row>
    <row r="28" spans="1:15" x14ac:dyDescent="0.25">
      <c r="A28" s="721" t="s">
        <v>336</v>
      </c>
      <c r="B28" s="744" t="s">
        <v>1002</v>
      </c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O28" s="768"/>
    </row>
    <row r="29" spans="1:15" x14ac:dyDescent="0.25">
      <c r="A29" s="721" t="s">
        <v>338</v>
      </c>
      <c r="B29" s="744" t="s">
        <v>1003</v>
      </c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O29" s="768"/>
    </row>
    <row r="30" spans="1:15" x14ac:dyDescent="0.25">
      <c r="A30" s="721" t="s">
        <v>560</v>
      </c>
      <c r="B30" s="744" t="s">
        <v>1004</v>
      </c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O30" s="768"/>
    </row>
    <row r="31" spans="1:15" x14ac:dyDescent="0.25">
      <c r="A31" s="721" t="s">
        <v>562</v>
      </c>
      <c r="B31" s="744" t="s">
        <v>1005</v>
      </c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O31" s="768"/>
    </row>
    <row r="32" spans="1:15" x14ac:dyDescent="0.25">
      <c r="A32" s="721" t="s">
        <v>564</v>
      </c>
      <c r="B32" s="744" t="s">
        <v>1006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O32" s="768"/>
    </row>
    <row r="33" spans="1:15" x14ac:dyDescent="0.25">
      <c r="A33" s="721" t="s">
        <v>565</v>
      </c>
      <c r="B33" s="744" t="s">
        <v>1007</v>
      </c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O33" s="768"/>
    </row>
    <row r="34" spans="1:15" x14ac:dyDescent="0.25">
      <c r="A34" s="721">
        <v>10</v>
      </c>
      <c r="B34" s="744" t="s">
        <v>1008</v>
      </c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O34" s="768"/>
    </row>
    <row r="35" spans="1:15" x14ac:dyDescent="0.25">
      <c r="A35" s="721"/>
      <c r="B35" s="744" t="s">
        <v>1331</v>
      </c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O35" s="768"/>
    </row>
    <row r="36" spans="1:15" x14ac:dyDescent="0.25">
      <c r="A36" s="721"/>
      <c r="B36" s="703" t="s">
        <v>1373</v>
      </c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O36" s="768"/>
    </row>
    <row r="37" spans="1:15" x14ac:dyDescent="0.25">
      <c r="A37" s="721"/>
      <c r="B37" s="703" t="s">
        <v>1381</v>
      </c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199" t="s">
        <v>1406</v>
      </c>
      <c r="O37" s="768"/>
    </row>
    <row r="38" spans="1:15" x14ac:dyDescent="0.25">
      <c r="A38" s="721"/>
      <c r="B38" s="720" t="s">
        <v>1478</v>
      </c>
      <c r="C38" s="742">
        <v>0</v>
      </c>
      <c r="D38" s="742">
        <v>3091</v>
      </c>
      <c r="E38" s="742">
        <v>3091</v>
      </c>
      <c r="F38" s="742"/>
      <c r="G38" s="742">
        <v>0</v>
      </c>
      <c r="H38" s="742">
        <v>0</v>
      </c>
      <c r="I38" s="742">
        <v>0</v>
      </c>
      <c r="J38" s="742"/>
      <c r="K38" s="742"/>
      <c r="L38" s="742"/>
      <c r="O38" s="768"/>
    </row>
    <row r="39" spans="1:15" x14ac:dyDescent="0.25">
      <c r="A39" s="721" t="s">
        <v>338</v>
      </c>
      <c r="B39" s="718" t="s">
        <v>1338</v>
      </c>
      <c r="C39" s="740">
        <f>SUM(C40:C42)</f>
        <v>93742</v>
      </c>
      <c r="D39" s="740">
        <f t="shared" ref="D39:E39" si="11">SUM(D40:D42)</f>
        <v>54222</v>
      </c>
      <c r="E39" s="740">
        <f t="shared" si="11"/>
        <v>54222</v>
      </c>
      <c r="F39" s="740">
        <f>SUM(F40:F41)</f>
        <v>0</v>
      </c>
      <c r="G39" s="740">
        <f>SUM(G40:G42)</f>
        <v>0</v>
      </c>
      <c r="H39" s="740">
        <f>SUM(H40:H42)</f>
        <v>0</v>
      </c>
      <c r="I39" s="740">
        <f>SUM(I40:I42)</f>
        <v>0</v>
      </c>
      <c r="J39" s="740">
        <f>SUM(J40:J42)</f>
        <v>0</v>
      </c>
      <c r="K39" s="740">
        <f>SUM(K40:K42)</f>
        <v>0</v>
      </c>
      <c r="L39" s="740">
        <f>+L40+L41+L42</f>
        <v>0</v>
      </c>
      <c r="O39" s="768"/>
    </row>
    <row r="40" spans="1:15" x14ac:dyDescent="0.25">
      <c r="A40" s="741"/>
      <c r="B40" s="720" t="s">
        <v>1439</v>
      </c>
      <c r="C40" s="742">
        <f>15854</f>
        <v>15854</v>
      </c>
      <c r="D40" s="742">
        <f t="shared" ref="D40:E40" si="12">15854-7920</f>
        <v>7934</v>
      </c>
      <c r="E40" s="742">
        <f t="shared" si="12"/>
        <v>7934</v>
      </c>
      <c r="F40" s="742"/>
      <c r="G40" s="742"/>
      <c r="H40" s="742"/>
      <c r="I40" s="742"/>
      <c r="J40" s="742"/>
      <c r="K40" s="742"/>
      <c r="L40" s="742"/>
      <c r="M40" s="199">
        <v>121011712</v>
      </c>
      <c r="O40" s="768"/>
    </row>
    <row r="41" spans="1:15" x14ac:dyDescent="0.25">
      <c r="A41" s="835">
        <v>1902</v>
      </c>
      <c r="B41" s="720" t="s">
        <v>1440</v>
      </c>
      <c r="C41" s="742">
        <f>22888+35000</f>
        <v>57888</v>
      </c>
      <c r="D41" s="742">
        <f t="shared" ref="D41:E41" si="13">52888-25000-3248</f>
        <v>24640</v>
      </c>
      <c r="E41" s="742">
        <f t="shared" si="13"/>
        <v>24640</v>
      </c>
      <c r="F41" s="742"/>
      <c r="G41" s="742"/>
      <c r="H41" s="742"/>
      <c r="I41" s="742"/>
      <c r="J41" s="742"/>
      <c r="K41" s="742"/>
      <c r="L41" s="742"/>
      <c r="M41" s="199">
        <v>121011713</v>
      </c>
      <c r="O41" s="768"/>
    </row>
    <row r="42" spans="1:15" x14ac:dyDescent="0.25">
      <c r="A42" s="741"/>
      <c r="B42" s="720" t="s">
        <v>1441</v>
      </c>
      <c r="C42" s="742">
        <v>20000</v>
      </c>
      <c r="D42" s="742">
        <f t="shared" ref="D42:E42" si="14">20000+1648</f>
        <v>21648</v>
      </c>
      <c r="E42" s="742">
        <f t="shared" si="14"/>
        <v>21648</v>
      </c>
      <c r="F42" s="742"/>
      <c r="G42" s="742"/>
      <c r="H42" s="742"/>
      <c r="I42" s="742"/>
      <c r="J42" s="742"/>
      <c r="K42" s="742"/>
      <c r="L42" s="742"/>
      <c r="O42" s="768"/>
    </row>
    <row r="43" spans="1:15" x14ac:dyDescent="0.25">
      <c r="A43" s="721" t="s">
        <v>562</v>
      </c>
      <c r="B43" s="718" t="s">
        <v>1336</v>
      </c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199">
        <v>122717</v>
      </c>
      <c r="O43" s="768"/>
    </row>
    <row r="44" spans="1:15" x14ac:dyDescent="0.25">
      <c r="A44" s="721" t="s">
        <v>564</v>
      </c>
      <c r="B44" s="718" t="s">
        <v>1372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O44" s="768"/>
    </row>
    <row r="45" spans="1:15" x14ac:dyDescent="0.25">
      <c r="A45" s="696" t="s">
        <v>318</v>
      </c>
      <c r="B45" s="697" t="s">
        <v>1009</v>
      </c>
      <c r="C45" s="745">
        <v>0</v>
      </c>
      <c r="D45" s="745">
        <v>0</v>
      </c>
      <c r="E45" s="745">
        <v>0</v>
      </c>
      <c r="F45" s="745">
        <v>0</v>
      </c>
      <c r="G45" s="745">
        <v>0</v>
      </c>
      <c r="H45" s="745"/>
      <c r="I45" s="745"/>
      <c r="J45" s="745"/>
      <c r="K45" s="745"/>
      <c r="L45" s="745"/>
      <c r="O45" s="768"/>
    </row>
    <row r="46" spans="1:15" x14ac:dyDescent="0.25">
      <c r="A46" s="721" t="s">
        <v>311</v>
      </c>
      <c r="B46" s="718" t="s">
        <v>1010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O46" s="768"/>
    </row>
    <row r="47" spans="1:15" x14ac:dyDescent="0.25">
      <c r="A47" s="721" t="s">
        <v>322</v>
      </c>
      <c r="B47" s="718" t="s">
        <v>1007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O47" s="768"/>
    </row>
    <row r="48" spans="1:15" x14ac:dyDescent="0.25">
      <c r="A48" s="721" t="s">
        <v>315</v>
      </c>
      <c r="B48" s="718" t="s">
        <v>991</v>
      </c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O48" s="768"/>
    </row>
    <row r="49" spans="1:15" s="205" customFormat="1" x14ac:dyDescent="0.25">
      <c r="A49" s="746"/>
      <c r="B49" s="747" t="s">
        <v>553</v>
      </c>
      <c r="C49" s="748">
        <f t="shared" ref="C49:L49" si="15">C5+C45</f>
        <v>294748</v>
      </c>
      <c r="D49" s="748">
        <f t="shared" si="15"/>
        <v>247922</v>
      </c>
      <c r="E49" s="748">
        <f t="shared" si="15"/>
        <v>247922</v>
      </c>
      <c r="F49" s="748">
        <f t="shared" si="15"/>
        <v>0</v>
      </c>
      <c r="G49" s="748">
        <f t="shared" si="15"/>
        <v>0</v>
      </c>
      <c r="H49" s="748">
        <f t="shared" si="15"/>
        <v>0</v>
      </c>
      <c r="I49" s="748">
        <f t="shared" si="15"/>
        <v>0</v>
      </c>
      <c r="J49" s="748">
        <f t="shared" si="15"/>
        <v>0</v>
      </c>
      <c r="K49" s="748">
        <f t="shared" ref="K49" si="16">K5+K45</f>
        <v>0</v>
      </c>
      <c r="L49" s="748">
        <f t="shared" si="15"/>
        <v>0</v>
      </c>
      <c r="O49" s="769"/>
    </row>
    <row r="50" spans="1:15" x14ac:dyDescent="0.25">
      <c r="C50" s="412"/>
      <c r="D50" s="412"/>
    </row>
    <row r="51" spans="1:15" x14ac:dyDescent="0.25">
      <c r="C51" s="412"/>
      <c r="D51" s="412"/>
    </row>
    <row r="52" spans="1:15" x14ac:dyDescent="0.25">
      <c r="C52" s="413"/>
      <c r="D52" s="413"/>
    </row>
    <row r="56" spans="1:15" x14ac:dyDescent="0.25">
      <c r="N56" s="206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7A4E-16ED-4B0D-AADB-1CD2DEE09FA6}">
  <sheetPr>
    <outlinePr summaryBelow="0"/>
  </sheetPr>
  <dimension ref="A1:O128"/>
  <sheetViews>
    <sheetView view="pageBreakPreview" zoomScale="90" zoomScaleNormal="80" zoomScaleSheetLayoutView="90" workbookViewId="0">
      <pane ySplit="3" topLeftCell="A50" activePane="bottomLeft" state="frozen"/>
      <selection pane="bottomLeft" activeCell="C37" sqref="C37"/>
    </sheetView>
  </sheetViews>
  <sheetFormatPr defaultColWidth="9.125" defaultRowHeight="16.3" x14ac:dyDescent="0.3"/>
  <cols>
    <col min="1" max="1" width="9.125" style="823"/>
    <col min="2" max="2" width="0" style="823" hidden="1" customWidth="1"/>
    <col min="3" max="3" width="55.375" style="813" customWidth="1"/>
    <col min="4" max="4" width="15.75" style="814" customWidth="1"/>
    <col min="5" max="5" width="60.875" style="806" hidden="1" customWidth="1"/>
    <col min="6" max="6" width="14.625" style="850" customWidth="1"/>
    <col min="7" max="7" width="14.875" style="812" customWidth="1"/>
    <col min="8" max="8" width="14.625" style="812" customWidth="1"/>
    <col min="9" max="9" width="15.75" style="814" customWidth="1"/>
    <col min="10" max="10" width="60.875" style="806" hidden="1" customWidth="1"/>
    <col min="11" max="11" width="14.625" style="868" customWidth="1"/>
    <col min="12" max="12" width="14.875" style="812" customWidth="1"/>
    <col min="13" max="13" width="14.625" style="812" customWidth="1"/>
    <col min="14" max="16384" width="9.125" style="807"/>
  </cols>
  <sheetData>
    <row r="1" spans="1:15" s="788" customFormat="1" ht="21.1" x14ac:dyDescent="0.25">
      <c r="A1" s="934" t="s">
        <v>1695</v>
      </c>
      <c r="B1" s="934"/>
      <c r="C1" s="934"/>
      <c r="D1" s="934"/>
      <c r="E1" s="935"/>
      <c r="F1" s="842"/>
      <c r="G1" s="843"/>
      <c r="H1" s="843"/>
      <c r="K1" s="864"/>
      <c r="L1" s="843"/>
      <c r="M1" s="843"/>
    </row>
    <row r="2" spans="1:15" s="792" customFormat="1" x14ac:dyDescent="0.25">
      <c r="A2" s="789"/>
      <c r="B2" s="789"/>
      <c r="C2" s="790"/>
      <c r="D2" s="791"/>
      <c r="E2" s="790"/>
      <c r="F2" s="844"/>
      <c r="G2" s="844"/>
      <c r="H2" s="844"/>
      <c r="I2" s="791"/>
      <c r="J2" s="790"/>
      <c r="K2" s="865"/>
      <c r="L2" s="844"/>
      <c r="M2" s="844"/>
    </row>
    <row r="3" spans="1:15" s="789" customFormat="1" ht="32.6" x14ac:dyDescent="0.25">
      <c r="A3" s="793" t="s">
        <v>1536</v>
      </c>
      <c r="B3" s="936" t="s">
        <v>1537</v>
      </c>
      <c r="C3" s="794" t="s">
        <v>306</v>
      </c>
      <c r="D3" s="845" t="s">
        <v>1538</v>
      </c>
      <c r="E3" s="794" t="s">
        <v>1539</v>
      </c>
      <c r="F3" s="846" t="s">
        <v>1701</v>
      </c>
      <c r="G3" s="846" t="s">
        <v>1702</v>
      </c>
      <c r="H3" s="846" t="s">
        <v>1703</v>
      </c>
      <c r="I3" s="845" t="s">
        <v>1714</v>
      </c>
      <c r="J3" s="794" t="s">
        <v>1539</v>
      </c>
      <c r="K3" s="866" t="s">
        <v>1701</v>
      </c>
      <c r="L3" s="846" t="s">
        <v>1702</v>
      </c>
      <c r="M3" s="846" t="s">
        <v>1703</v>
      </c>
    </row>
    <row r="4" spans="1:15" s="792" customFormat="1" collapsed="1" x14ac:dyDescent="0.3">
      <c r="A4" s="796" t="s">
        <v>309</v>
      </c>
      <c r="B4" s="937"/>
      <c r="C4" s="797" t="s">
        <v>1144</v>
      </c>
      <c r="D4" s="798">
        <f>SUM(D5,D8,D11,D14,D16,D18,D19,D21,D22)</f>
        <v>176407.5</v>
      </c>
      <c r="E4" s="799"/>
      <c r="F4" s="847">
        <f>SUM(F5,F8,F11,F14,F16,F18,F19,F21,F22)</f>
        <v>0</v>
      </c>
      <c r="G4" s="847">
        <f>SUM(G5,G8,G11,G14,G16,G18,G19,G21,G22)</f>
        <v>107508</v>
      </c>
      <c r="H4" s="847">
        <f>SUM(H5,H8,H11,H14,H16,H18,H19,H21,H22)</f>
        <v>68900</v>
      </c>
      <c r="I4" s="798">
        <f>SUM(I5,I8,I11,I14,I16,I18,I19,I21,I22,L25,L26,L27,L28,)</f>
        <v>323130</v>
      </c>
      <c r="J4" s="799"/>
      <c r="K4" s="867">
        <f>SUM(K5,K8,K11,K14,K16,K18,K19,K21,K22)</f>
        <v>52039</v>
      </c>
      <c r="L4" s="847">
        <f>SUM(L5,L8,L11,L14,L16,L18,L19,L21,L22,L25,L26,L27,L28,)</f>
        <v>247792</v>
      </c>
      <c r="M4" s="847">
        <f>SUM(M5,M8,M11,M14,M16,M18,M19,M21,M22)</f>
        <v>23299</v>
      </c>
    </row>
    <row r="5" spans="1:15" s="792" customFormat="1" ht="18" customHeight="1" x14ac:dyDescent="0.3">
      <c r="A5" s="801">
        <v>1</v>
      </c>
      <c r="B5" s="801">
        <v>1901</v>
      </c>
      <c r="C5" s="802" t="s">
        <v>1541</v>
      </c>
      <c r="D5" s="803">
        <f>SUM(D6:D7)/1000</f>
        <v>51508</v>
      </c>
      <c r="E5" s="804"/>
      <c r="F5" s="848"/>
      <c r="G5" s="849">
        <v>51508</v>
      </c>
      <c r="H5" s="849"/>
      <c r="I5" s="803">
        <f>SUM(K5:M5)</f>
        <v>51508</v>
      </c>
      <c r="J5" s="804"/>
      <c r="K5" s="848"/>
      <c r="L5" s="849">
        <v>51508</v>
      </c>
      <c r="M5" s="849"/>
    </row>
    <row r="6" spans="1:15" ht="18" hidden="1" customHeight="1" x14ac:dyDescent="0.3">
      <c r="A6" s="801"/>
      <c r="B6" s="801"/>
      <c r="C6" s="802" t="s">
        <v>1542</v>
      </c>
      <c r="D6" s="803">
        <v>51000000</v>
      </c>
      <c r="E6" s="806" t="s">
        <v>1543</v>
      </c>
      <c r="G6" s="849"/>
      <c r="H6" s="849"/>
      <c r="I6" s="803">
        <v>51000000</v>
      </c>
      <c r="J6" s="806" t="s">
        <v>1543</v>
      </c>
      <c r="K6" s="850"/>
      <c r="L6" s="849"/>
      <c r="M6" s="849"/>
    </row>
    <row r="7" spans="1:15" ht="18" hidden="1" customHeight="1" x14ac:dyDescent="0.3">
      <c r="A7" s="801"/>
      <c r="B7" s="801"/>
      <c r="C7" s="802" t="s">
        <v>1544</v>
      </c>
      <c r="D7" s="803">
        <v>508000</v>
      </c>
      <c r="G7" s="849"/>
      <c r="H7" s="849"/>
      <c r="I7" s="803">
        <v>508000</v>
      </c>
      <c r="K7" s="850"/>
      <c r="L7" s="849"/>
      <c r="M7" s="849"/>
    </row>
    <row r="8" spans="1:15" s="792" customFormat="1" ht="18" customHeight="1" x14ac:dyDescent="0.3">
      <c r="A8" s="801">
        <v>2</v>
      </c>
      <c r="B8" s="801">
        <v>1902</v>
      </c>
      <c r="C8" s="802" t="s">
        <v>1545</v>
      </c>
      <c r="D8" s="803">
        <f>SUM(D9:D10)/1000-23445</f>
        <v>11999.5</v>
      </c>
      <c r="E8" s="804"/>
      <c r="F8" s="848"/>
      <c r="G8" s="849"/>
      <c r="H8" s="849">
        <v>12000</v>
      </c>
      <c r="I8" s="803">
        <f t="shared" ref="I8:I72" si="0">SUM(K8:M8)</f>
        <v>14984</v>
      </c>
      <c r="J8" s="804"/>
      <c r="K8" s="848"/>
      <c r="L8" s="849"/>
      <c r="M8" s="849">
        <f>12000+2984</f>
        <v>14984</v>
      </c>
    </row>
    <row r="9" spans="1:15" ht="18" hidden="1" customHeight="1" x14ac:dyDescent="0.3">
      <c r="A9" s="801"/>
      <c r="B9" s="801"/>
      <c r="C9" s="802" t="s">
        <v>1546</v>
      </c>
      <c r="D9" s="803">
        <v>35000000</v>
      </c>
      <c r="G9" s="849"/>
      <c r="H9" s="849"/>
      <c r="I9" s="803">
        <f t="shared" si="0"/>
        <v>0</v>
      </c>
      <c r="K9" s="850"/>
      <c r="L9" s="849"/>
      <c r="M9" s="849"/>
    </row>
    <row r="10" spans="1:15" ht="18" hidden="1" customHeight="1" x14ac:dyDescent="0.3">
      <c r="A10" s="801"/>
      <c r="B10" s="801"/>
      <c r="C10" s="802" t="s">
        <v>1544</v>
      </c>
      <c r="D10" s="803">
        <v>444500</v>
      </c>
      <c r="G10" s="849"/>
      <c r="H10" s="849"/>
      <c r="I10" s="803">
        <f t="shared" si="0"/>
        <v>0</v>
      </c>
      <c r="K10" s="850"/>
      <c r="L10" s="849"/>
      <c r="M10" s="849"/>
    </row>
    <row r="11" spans="1:15" s="792" customFormat="1" ht="18" customHeight="1" x14ac:dyDescent="0.3">
      <c r="A11" s="801">
        <v>3</v>
      </c>
      <c r="B11" s="801">
        <v>1903</v>
      </c>
      <c r="C11" s="802" t="s">
        <v>1547</v>
      </c>
      <c r="D11" s="803">
        <f>SUM(D12:D13)/1000</f>
        <v>6000</v>
      </c>
      <c r="E11" s="804"/>
      <c r="F11" s="848"/>
      <c r="G11" s="849">
        <v>6000</v>
      </c>
      <c r="H11" s="849"/>
      <c r="I11" s="803">
        <f t="shared" si="0"/>
        <v>6284</v>
      </c>
      <c r="J11" s="804"/>
      <c r="K11" s="848"/>
      <c r="L11" s="849">
        <f>6000+284</f>
        <v>6284</v>
      </c>
      <c r="M11" s="849"/>
      <c r="O11" s="803"/>
    </row>
    <row r="12" spans="1:15" ht="18" hidden="1" customHeight="1" x14ac:dyDescent="0.3">
      <c r="A12" s="801"/>
      <c r="B12" s="801"/>
      <c r="C12" s="802" t="s">
        <v>1548</v>
      </c>
      <c r="D12" s="803">
        <v>4000000</v>
      </c>
      <c r="E12" s="806" t="s">
        <v>1549</v>
      </c>
      <c r="G12" s="849"/>
      <c r="H12" s="849"/>
      <c r="I12" s="803">
        <f t="shared" si="0"/>
        <v>0</v>
      </c>
      <c r="J12" s="806" t="s">
        <v>1549</v>
      </c>
      <c r="K12" s="850"/>
      <c r="L12" s="849"/>
      <c r="M12" s="849"/>
    </row>
    <row r="13" spans="1:15" ht="18" hidden="1" customHeight="1" x14ac:dyDescent="0.3">
      <c r="A13" s="801"/>
      <c r="B13" s="801"/>
      <c r="C13" s="802" t="s">
        <v>1550</v>
      </c>
      <c r="D13" s="803">
        <v>2000000</v>
      </c>
      <c r="E13" s="806" t="s">
        <v>1551</v>
      </c>
      <c r="G13" s="849"/>
      <c r="H13" s="849"/>
      <c r="I13" s="803">
        <f t="shared" si="0"/>
        <v>0</v>
      </c>
      <c r="J13" s="806" t="s">
        <v>1551</v>
      </c>
      <c r="K13" s="850"/>
      <c r="L13" s="849"/>
      <c r="M13" s="849"/>
    </row>
    <row r="14" spans="1:15" s="792" customFormat="1" ht="18" customHeight="1" x14ac:dyDescent="0.3">
      <c r="A14" s="801">
        <v>4</v>
      </c>
      <c r="B14" s="801">
        <v>1904</v>
      </c>
      <c r="C14" s="802" t="s">
        <v>1552</v>
      </c>
      <c r="D14" s="803">
        <f>SUM(D15)/1000</f>
        <v>1900</v>
      </c>
      <c r="E14" s="804"/>
      <c r="F14" s="848"/>
      <c r="G14" s="849"/>
      <c r="H14" s="849">
        <v>1900</v>
      </c>
      <c r="I14" s="803">
        <f t="shared" si="0"/>
        <v>1900</v>
      </c>
      <c r="J14" s="804"/>
      <c r="K14" s="850">
        <v>1900</v>
      </c>
      <c r="L14" s="849"/>
      <c r="M14" s="849">
        <f>1900-1900</f>
        <v>0</v>
      </c>
    </row>
    <row r="15" spans="1:15" ht="18" hidden="1" customHeight="1" x14ac:dyDescent="0.3">
      <c r="A15" s="801"/>
      <c r="B15" s="801"/>
      <c r="C15" s="802" t="s">
        <v>1553</v>
      </c>
      <c r="D15" s="803">
        <v>1900000</v>
      </c>
      <c r="E15" s="808" t="s">
        <v>1554</v>
      </c>
      <c r="G15" s="849"/>
      <c r="H15" s="849"/>
      <c r="I15" s="803">
        <f t="shared" si="0"/>
        <v>0</v>
      </c>
      <c r="J15" s="808" t="s">
        <v>1554</v>
      </c>
      <c r="K15" s="850"/>
      <c r="L15" s="849"/>
      <c r="M15" s="849"/>
    </row>
    <row r="16" spans="1:15" s="792" customFormat="1" ht="18" hidden="1" customHeight="1" x14ac:dyDescent="0.3">
      <c r="A16" s="801">
        <v>5</v>
      </c>
      <c r="B16" s="801">
        <v>1905</v>
      </c>
      <c r="C16" s="802" t="s">
        <v>1555</v>
      </c>
      <c r="D16" s="803">
        <f>SUM(D17)/1000-40000</f>
        <v>0</v>
      </c>
      <c r="E16" s="809"/>
      <c r="F16" s="848"/>
      <c r="G16" s="849"/>
      <c r="H16" s="849"/>
      <c r="I16" s="803">
        <f t="shared" si="0"/>
        <v>0</v>
      </c>
      <c r="J16" s="809"/>
      <c r="K16" s="848"/>
      <c r="L16" s="849"/>
      <c r="M16" s="849"/>
    </row>
    <row r="17" spans="1:13" s="792" customFormat="1" ht="18" hidden="1" customHeight="1" x14ac:dyDescent="0.3">
      <c r="A17" s="801"/>
      <c r="B17" s="801"/>
      <c r="C17" s="802" t="s">
        <v>1553</v>
      </c>
      <c r="D17" s="803">
        <v>40000000</v>
      </c>
      <c r="E17" s="806" t="s">
        <v>1556</v>
      </c>
      <c r="F17" s="848"/>
      <c r="G17" s="849"/>
      <c r="H17" s="849"/>
      <c r="I17" s="803">
        <f t="shared" si="0"/>
        <v>0</v>
      </c>
      <c r="J17" s="806" t="s">
        <v>1556</v>
      </c>
      <c r="K17" s="848"/>
      <c r="L17" s="849"/>
      <c r="M17" s="849"/>
    </row>
    <row r="18" spans="1:13" s="792" customFormat="1" ht="18" hidden="1" customHeight="1" x14ac:dyDescent="0.3">
      <c r="A18" s="801">
        <v>6</v>
      </c>
      <c r="B18" s="801">
        <v>1906</v>
      </c>
      <c r="C18" s="802" t="s">
        <v>1682</v>
      </c>
      <c r="D18" s="803">
        <f>25000-25000</f>
        <v>0</v>
      </c>
      <c r="E18" s="806"/>
      <c r="F18" s="848"/>
      <c r="G18" s="849"/>
      <c r="H18" s="849"/>
      <c r="I18" s="803">
        <f t="shared" si="0"/>
        <v>0</v>
      </c>
      <c r="J18" s="806"/>
      <c r="K18" s="848"/>
      <c r="L18" s="849"/>
      <c r="M18" s="849"/>
    </row>
    <row r="19" spans="1:13" s="812" customFormat="1" ht="38.049999999999997" customHeight="1" x14ac:dyDescent="0.25">
      <c r="A19" s="801">
        <v>5</v>
      </c>
      <c r="B19" s="801">
        <v>1907</v>
      </c>
      <c r="C19" s="802" t="s">
        <v>1557</v>
      </c>
      <c r="D19" s="803">
        <f>SUM(D20)/1000-35000</f>
        <v>45000</v>
      </c>
      <c r="E19" s="810" t="s">
        <v>1558</v>
      </c>
      <c r="F19" s="850"/>
      <c r="G19" s="849"/>
      <c r="H19" s="849">
        <v>45000</v>
      </c>
      <c r="I19" s="803">
        <f t="shared" si="0"/>
        <v>50139</v>
      </c>
      <c r="J19" s="810" t="s">
        <v>1558</v>
      </c>
      <c r="K19" s="850">
        <f>45000+5139</f>
        <v>50139</v>
      </c>
      <c r="L19" s="849"/>
      <c r="M19" s="849">
        <f>45000-45000</f>
        <v>0</v>
      </c>
    </row>
    <row r="20" spans="1:13" ht="18" hidden="1" customHeight="1" x14ac:dyDescent="0.25">
      <c r="A20" s="801"/>
      <c r="B20" s="801"/>
      <c r="C20" s="802" t="s">
        <v>1553</v>
      </c>
      <c r="D20" s="803">
        <v>80000000</v>
      </c>
      <c r="E20" s="813" t="s">
        <v>1559</v>
      </c>
      <c r="G20" s="849"/>
      <c r="H20" s="849"/>
      <c r="I20" s="803">
        <f t="shared" si="0"/>
        <v>0</v>
      </c>
      <c r="J20" s="813" t="s">
        <v>1559</v>
      </c>
      <c r="K20" s="850"/>
      <c r="L20" s="849"/>
      <c r="M20" s="849"/>
    </row>
    <row r="21" spans="1:13" s="812" customFormat="1" ht="32.6" x14ac:dyDescent="0.25">
      <c r="A21" s="801">
        <v>6</v>
      </c>
      <c r="B21" s="801">
        <v>1908</v>
      </c>
      <c r="C21" s="802" t="s">
        <v>1560</v>
      </c>
      <c r="D21" s="803">
        <f>50000000/1000</f>
        <v>50000</v>
      </c>
      <c r="E21" s="810" t="s">
        <v>1558</v>
      </c>
      <c r="F21" s="850"/>
      <c r="G21" s="849">
        <v>50000</v>
      </c>
      <c r="H21" s="849"/>
      <c r="I21" s="803">
        <f t="shared" si="0"/>
        <v>50000</v>
      </c>
      <c r="J21" s="810" t="s">
        <v>1558</v>
      </c>
      <c r="K21" s="850"/>
      <c r="L21" s="849">
        <v>50000</v>
      </c>
      <c r="M21" s="849"/>
    </row>
    <row r="22" spans="1:13" s="812" customFormat="1" ht="33.450000000000003" customHeight="1" x14ac:dyDescent="0.25">
      <c r="A22" s="801">
        <v>7</v>
      </c>
      <c r="B22" s="801">
        <v>1909</v>
      </c>
      <c r="C22" s="802" t="s">
        <v>1561</v>
      </c>
      <c r="D22" s="803">
        <f>SUM(D23)/1000-15000</f>
        <v>10000</v>
      </c>
      <c r="E22" s="810" t="s">
        <v>1558</v>
      </c>
      <c r="F22" s="850"/>
      <c r="G22" s="849"/>
      <c r="H22" s="849">
        <v>10000</v>
      </c>
      <c r="I22" s="803">
        <f t="shared" si="0"/>
        <v>8315</v>
      </c>
      <c r="J22" s="810" t="s">
        <v>1558</v>
      </c>
      <c r="K22" s="850"/>
      <c r="L22" s="849"/>
      <c r="M22" s="849">
        <f>10000-1685</f>
        <v>8315</v>
      </c>
    </row>
    <row r="23" spans="1:13" s="792" customFormat="1" ht="22.6" hidden="1" customHeight="1" x14ac:dyDescent="0.3">
      <c r="A23" s="789"/>
      <c r="B23" s="789"/>
      <c r="C23" s="813"/>
      <c r="D23" s="814">
        <v>25000000</v>
      </c>
      <c r="E23" s="815" t="s">
        <v>1562</v>
      </c>
      <c r="F23" s="848"/>
      <c r="G23" s="851"/>
      <c r="H23" s="851"/>
      <c r="I23" s="814">
        <f t="shared" si="0"/>
        <v>0</v>
      </c>
      <c r="J23" s="815" t="s">
        <v>1562</v>
      </c>
      <c r="K23" s="848"/>
      <c r="L23" s="851"/>
      <c r="M23" s="851"/>
    </row>
    <row r="24" spans="1:13" s="788" customFormat="1" hidden="1" x14ac:dyDescent="0.3">
      <c r="A24" s="789"/>
      <c r="B24" s="816"/>
      <c r="C24" s="817"/>
      <c r="D24" s="818"/>
      <c r="E24" s="819" t="s">
        <v>1563</v>
      </c>
      <c r="F24" s="842"/>
      <c r="G24" s="843"/>
      <c r="H24" s="843"/>
      <c r="I24" s="818">
        <f t="shared" si="0"/>
        <v>0</v>
      </c>
      <c r="J24" s="819" t="s">
        <v>1563</v>
      </c>
      <c r="K24" s="842"/>
      <c r="L24" s="843"/>
      <c r="M24" s="843"/>
    </row>
    <row r="25" spans="1:13" s="788" customFormat="1" x14ac:dyDescent="0.3">
      <c r="A25" s="823">
        <v>8</v>
      </c>
      <c r="B25" s="816"/>
      <c r="C25" s="802" t="s">
        <v>1555</v>
      </c>
      <c r="D25" s="818"/>
      <c r="E25" s="819"/>
      <c r="F25" s="842"/>
      <c r="G25" s="843"/>
      <c r="H25" s="851"/>
      <c r="I25" s="814">
        <f t="shared" si="0"/>
        <v>70000</v>
      </c>
      <c r="J25" s="815"/>
      <c r="K25" s="848"/>
      <c r="L25" s="971">
        <v>70000</v>
      </c>
      <c r="M25" s="851"/>
    </row>
    <row r="26" spans="1:13" s="788" customFormat="1" x14ac:dyDescent="0.3">
      <c r="A26" s="823">
        <v>9</v>
      </c>
      <c r="B26" s="816"/>
      <c r="C26" s="802" t="s">
        <v>1682</v>
      </c>
      <c r="D26" s="818"/>
      <c r="E26" s="819"/>
      <c r="F26" s="842"/>
      <c r="G26" s="843"/>
      <c r="H26" s="851"/>
      <c r="I26" s="814">
        <f t="shared" si="0"/>
        <v>28000</v>
      </c>
      <c r="J26" s="815"/>
      <c r="K26" s="848"/>
      <c r="L26" s="971">
        <v>28000</v>
      </c>
      <c r="M26" s="851"/>
    </row>
    <row r="27" spans="1:13" s="788" customFormat="1" x14ac:dyDescent="0.3">
      <c r="A27" s="823">
        <v>10</v>
      </c>
      <c r="B27" s="816"/>
      <c r="C27" s="802" t="s">
        <v>1727</v>
      </c>
      <c r="D27" s="818"/>
      <c r="E27" s="819"/>
      <c r="F27" s="842"/>
      <c r="G27" s="843"/>
      <c r="H27" s="851"/>
      <c r="I27" s="814">
        <f t="shared" si="0"/>
        <v>34000</v>
      </c>
      <c r="J27" s="815"/>
      <c r="K27" s="848"/>
      <c r="L27" s="971">
        <v>34000</v>
      </c>
      <c r="M27" s="851"/>
    </row>
    <row r="28" spans="1:13" s="788" customFormat="1" x14ac:dyDescent="0.3">
      <c r="A28" s="823">
        <v>11</v>
      </c>
      <c r="B28" s="816"/>
      <c r="C28" s="802" t="s">
        <v>1726</v>
      </c>
      <c r="D28" s="818"/>
      <c r="E28" s="819"/>
      <c r="F28" s="842"/>
      <c r="G28" s="843"/>
      <c r="H28" s="851"/>
      <c r="I28" s="814">
        <f t="shared" si="0"/>
        <v>8000</v>
      </c>
      <c r="J28" s="815"/>
      <c r="K28" s="848"/>
      <c r="L28" s="971">
        <v>8000</v>
      </c>
      <c r="M28" s="851"/>
    </row>
    <row r="29" spans="1:13" s="792" customFormat="1" ht="26.5" customHeight="1" x14ac:dyDescent="0.3">
      <c r="A29" s="796" t="s">
        <v>318</v>
      </c>
      <c r="B29" s="796"/>
      <c r="C29" s="797" t="s">
        <v>1697</v>
      </c>
      <c r="D29" s="798">
        <f>SUM(D30,D35,D37,D39,D41,D43,D45,D47,D49,D50,D51,D52,D53,D54)</f>
        <v>432992</v>
      </c>
      <c r="E29" s="799"/>
      <c r="F29" s="847">
        <f>SUM(F30,F35,F37,F39,F41,F43,F45,F47,F49,F50,F51,F52,F53)</f>
        <v>0</v>
      </c>
      <c r="G29" s="847">
        <f>SUM(G30,G35,G37,G39,G41,G43,G45,G47,G49,G50,G51,G52,G53,G54)</f>
        <v>352845</v>
      </c>
      <c r="H29" s="847">
        <f>SUM(H30,H35,H37,H39,H41,H43,H45,H47,H49,H50,H51,H52,H53)</f>
        <v>80147</v>
      </c>
      <c r="I29" s="798">
        <f>I30+I35+I37+I39+I41+I43+I45+I47+I49+I50+I51+I52+I53+I54</f>
        <v>539937</v>
      </c>
      <c r="J29" s="799"/>
      <c r="K29" s="798">
        <f t="shared" ref="K29:M29" si="1">K30+K35+K37+K39+K41+K43+K45+K47+K49+K50+K51+K52+K53+K54</f>
        <v>3444</v>
      </c>
      <c r="L29" s="798">
        <f t="shared" si="1"/>
        <v>426984</v>
      </c>
      <c r="M29" s="798">
        <f t="shared" si="1"/>
        <v>109509</v>
      </c>
    </row>
    <row r="30" spans="1:13" s="792" customFormat="1" ht="26.5" customHeight="1" x14ac:dyDescent="0.3">
      <c r="A30" s="801">
        <v>1</v>
      </c>
      <c r="B30" s="801">
        <v>1910</v>
      </c>
      <c r="C30" s="802" t="s">
        <v>1564</v>
      </c>
      <c r="D30" s="803">
        <f>300000000/1000</f>
        <v>300000</v>
      </c>
      <c r="E30" s="804" t="s">
        <v>1565</v>
      </c>
      <c r="F30" s="849"/>
      <c r="G30" s="849">
        <v>300000</v>
      </c>
      <c r="H30" s="849"/>
      <c r="I30" s="803">
        <f>SUM(K30:M30)</f>
        <v>300000</v>
      </c>
      <c r="J30" s="804" t="s">
        <v>1565</v>
      </c>
      <c r="K30" s="849"/>
      <c r="L30" s="849">
        <v>300000</v>
      </c>
      <c r="M30" s="849"/>
    </row>
    <row r="31" spans="1:13" ht="26.5" hidden="1" customHeight="1" x14ac:dyDescent="0.3">
      <c r="A31" s="801"/>
      <c r="B31" s="801"/>
      <c r="C31" s="802" t="s">
        <v>1553</v>
      </c>
      <c r="D31" s="803"/>
      <c r="F31" s="849"/>
      <c r="G31" s="849"/>
      <c r="H31" s="849"/>
      <c r="I31" s="803">
        <f t="shared" si="0"/>
        <v>0</v>
      </c>
      <c r="K31" s="849"/>
      <c r="L31" s="849"/>
      <c r="M31" s="849"/>
    </row>
    <row r="32" spans="1:13" ht="26.5" hidden="1" customHeight="1" x14ac:dyDescent="0.3">
      <c r="A32" s="801"/>
      <c r="B32" s="801"/>
      <c r="C32" s="802" t="s">
        <v>1566</v>
      </c>
      <c r="D32" s="803"/>
      <c r="F32" s="849"/>
      <c r="G32" s="849"/>
      <c r="H32" s="849"/>
      <c r="I32" s="803">
        <f t="shared" si="0"/>
        <v>0</v>
      </c>
      <c r="K32" s="849"/>
      <c r="L32" s="849"/>
      <c r="M32" s="849"/>
    </row>
    <row r="33" spans="1:13" ht="26.5" hidden="1" customHeight="1" x14ac:dyDescent="0.3">
      <c r="A33" s="801"/>
      <c r="B33" s="801"/>
      <c r="C33" s="802" t="s">
        <v>1544</v>
      </c>
      <c r="D33" s="803"/>
      <c r="F33" s="849"/>
      <c r="G33" s="849"/>
      <c r="H33" s="849"/>
      <c r="I33" s="803">
        <f t="shared" si="0"/>
        <v>0</v>
      </c>
      <c r="K33" s="849"/>
      <c r="L33" s="849"/>
      <c r="M33" s="849"/>
    </row>
    <row r="34" spans="1:13" ht="26.5" hidden="1" customHeight="1" x14ac:dyDescent="0.3">
      <c r="A34" s="801"/>
      <c r="B34" s="801"/>
      <c r="C34" s="802" t="s">
        <v>1567</v>
      </c>
      <c r="D34" s="803"/>
      <c r="F34" s="849">
        <v>12800000</v>
      </c>
      <c r="G34" s="849"/>
      <c r="H34" s="849"/>
      <c r="I34" s="803">
        <f t="shared" si="0"/>
        <v>12800000</v>
      </c>
      <c r="K34" s="849">
        <v>12800000</v>
      </c>
      <c r="L34" s="849"/>
      <c r="M34" s="849"/>
    </row>
    <row r="35" spans="1:13" s="792" customFormat="1" ht="26.5" customHeight="1" x14ac:dyDescent="0.3">
      <c r="A35" s="801">
        <v>2</v>
      </c>
      <c r="B35" s="801">
        <v>1911</v>
      </c>
      <c r="C35" s="802" t="s">
        <v>1568</v>
      </c>
      <c r="D35" s="803">
        <f>SUM(D36)/1000</f>
        <v>20000</v>
      </c>
      <c r="E35" s="804"/>
      <c r="F35" s="849"/>
      <c r="G35" s="849">
        <v>20000</v>
      </c>
      <c r="H35" s="849"/>
      <c r="I35" s="803">
        <f t="shared" si="0"/>
        <v>20000</v>
      </c>
      <c r="J35" s="804"/>
      <c r="K35" s="849"/>
      <c r="L35" s="849">
        <v>20000</v>
      </c>
      <c r="M35" s="849"/>
    </row>
    <row r="36" spans="1:13" s="820" customFormat="1" ht="26.5" hidden="1" customHeight="1" x14ac:dyDescent="0.3">
      <c r="A36" s="801"/>
      <c r="B36" s="801"/>
      <c r="C36" s="802" t="s">
        <v>1569</v>
      </c>
      <c r="D36" s="803">
        <v>20000000</v>
      </c>
      <c r="E36" s="815"/>
      <c r="F36" s="849"/>
      <c r="G36" s="849"/>
      <c r="H36" s="849"/>
      <c r="I36" s="803">
        <f t="shared" si="0"/>
        <v>0</v>
      </c>
      <c r="J36" s="815"/>
      <c r="K36" s="849"/>
      <c r="L36" s="849"/>
      <c r="M36" s="849"/>
    </row>
    <row r="37" spans="1:13" s="792" customFormat="1" ht="26.5" customHeight="1" x14ac:dyDescent="0.3">
      <c r="A37" s="801">
        <v>3</v>
      </c>
      <c r="B37" s="801">
        <v>1912</v>
      </c>
      <c r="C37" s="802" t="s">
        <v>1570</v>
      </c>
      <c r="D37" s="803">
        <f>SUM(D38)/1000</f>
        <v>5000</v>
      </c>
      <c r="E37" s="804"/>
      <c r="F37" s="849"/>
      <c r="G37" s="849">
        <v>5000</v>
      </c>
      <c r="H37" s="849"/>
      <c r="I37" s="803">
        <f t="shared" si="0"/>
        <v>5000</v>
      </c>
      <c r="J37" s="804"/>
      <c r="K37" s="849"/>
      <c r="L37" s="849">
        <v>5000</v>
      </c>
      <c r="M37" s="849"/>
    </row>
    <row r="38" spans="1:13" s="820" customFormat="1" ht="26.5" hidden="1" customHeight="1" x14ac:dyDescent="0.3">
      <c r="A38" s="801"/>
      <c r="B38" s="801"/>
      <c r="C38" s="802" t="s">
        <v>1571</v>
      </c>
      <c r="D38" s="803">
        <v>5000000</v>
      </c>
      <c r="E38" s="815"/>
      <c r="F38" s="849"/>
      <c r="G38" s="849"/>
      <c r="H38" s="849"/>
      <c r="I38" s="803">
        <f t="shared" si="0"/>
        <v>0</v>
      </c>
      <c r="J38" s="815"/>
      <c r="K38" s="849"/>
      <c r="L38" s="849"/>
      <c r="M38" s="849"/>
    </row>
    <row r="39" spans="1:13" s="792" customFormat="1" ht="26.5" customHeight="1" x14ac:dyDescent="0.3">
      <c r="A39" s="801">
        <v>4</v>
      </c>
      <c r="B39" s="801">
        <v>1913</v>
      </c>
      <c r="C39" s="802" t="s">
        <v>1572</v>
      </c>
      <c r="D39" s="803">
        <f>SUM(D40)/1000</f>
        <v>5000</v>
      </c>
      <c r="E39" s="804"/>
      <c r="F39" s="849"/>
      <c r="G39" s="849">
        <v>5000</v>
      </c>
      <c r="H39" s="849"/>
      <c r="I39" s="803">
        <f t="shared" si="0"/>
        <v>8791</v>
      </c>
      <c r="J39" s="804"/>
      <c r="K39" s="849"/>
      <c r="L39" s="849">
        <v>5000</v>
      </c>
      <c r="M39" s="849">
        <f>3791</f>
        <v>3791</v>
      </c>
    </row>
    <row r="40" spans="1:13" s="822" customFormat="1" ht="26.5" hidden="1" customHeight="1" x14ac:dyDescent="0.3">
      <c r="A40" s="801"/>
      <c r="B40" s="801"/>
      <c r="C40" s="802" t="s">
        <v>1571</v>
      </c>
      <c r="D40" s="803">
        <v>5000000</v>
      </c>
      <c r="E40" s="821"/>
      <c r="F40" s="849"/>
      <c r="G40" s="849"/>
      <c r="H40" s="849"/>
      <c r="I40" s="803">
        <f t="shared" si="0"/>
        <v>0</v>
      </c>
      <c r="J40" s="821"/>
      <c r="K40" s="849"/>
      <c r="L40" s="849"/>
      <c r="M40" s="849"/>
    </row>
    <row r="41" spans="1:13" s="792" customFormat="1" ht="26.5" customHeight="1" x14ac:dyDescent="0.3">
      <c r="A41" s="801">
        <v>5</v>
      </c>
      <c r="B41" s="801">
        <v>1914</v>
      </c>
      <c r="C41" s="802" t="s">
        <v>1573</v>
      </c>
      <c r="D41" s="803">
        <f>SUM(D42)/1000</f>
        <v>5000</v>
      </c>
      <c r="E41" s="804"/>
      <c r="F41" s="849"/>
      <c r="G41" s="849">
        <v>5000</v>
      </c>
      <c r="H41" s="849"/>
      <c r="I41" s="803">
        <f t="shared" si="0"/>
        <v>5000</v>
      </c>
      <c r="J41" s="804"/>
      <c r="K41" s="849"/>
      <c r="L41" s="849">
        <v>5000</v>
      </c>
      <c r="M41" s="849"/>
    </row>
    <row r="42" spans="1:13" s="822" customFormat="1" ht="26.5" hidden="1" customHeight="1" x14ac:dyDescent="0.3">
      <c r="A42" s="801"/>
      <c r="B42" s="801"/>
      <c r="C42" s="802" t="s">
        <v>1571</v>
      </c>
      <c r="D42" s="803">
        <v>5000000</v>
      </c>
      <c r="E42" s="821"/>
      <c r="F42" s="849"/>
      <c r="G42" s="849"/>
      <c r="H42" s="849"/>
      <c r="I42" s="803">
        <f t="shared" si="0"/>
        <v>0</v>
      </c>
      <c r="J42" s="821"/>
      <c r="K42" s="849"/>
      <c r="L42" s="849"/>
      <c r="M42" s="849"/>
    </row>
    <row r="43" spans="1:13" s="792" customFormat="1" ht="26.5" customHeight="1" x14ac:dyDescent="0.3">
      <c r="A43" s="801">
        <v>6</v>
      </c>
      <c r="B43" s="801">
        <v>1915</v>
      </c>
      <c r="C43" s="802" t="s">
        <v>1574</v>
      </c>
      <c r="D43" s="803">
        <f>SUM(D44)/1000</f>
        <v>5000</v>
      </c>
      <c r="E43" s="804"/>
      <c r="F43" s="849"/>
      <c r="G43" s="849">
        <v>5000</v>
      </c>
      <c r="H43" s="849"/>
      <c r="I43" s="803">
        <f t="shared" si="0"/>
        <v>5000</v>
      </c>
      <c r="J43" s="804"/>
      <c r="K43" s="849"/>
      <c r="L43" s="849">
        <v>5000</v>
      </c>
      <c r="M43" s="849"/>
    </row>
    <row r="44" spans="1:13" s="822" customFormat="1" ht="26.5" hidden="1" customHeight="1" x14ac:dyDescent="0.3">
      <c r="A44" s="801"/>
      <c r="B44" s="801"/>
      <c r="C44" s="802" t="s">
        <v>1571</v>
      </c>
      <c r="D44" s="803">
        <v>5000000</v>
      </c>
      <c r="E44" s="821"/>
      <c r="F44" s="849"/>
      <c r="G44" s="849"/>
      <c r="H44" s="849"/>
      <c r="I44" s="803">
        <f t="shared" si="0"/>
        <v>0</v>
      </c>
      <c r="J44" s="821"/>
      <c r="K44" s="849"/>
      <c r="L44" s="849"/>
      <c r="M44" s="849"/>
    </row>
    <row r="45" spans="1:13" ht="26.5" customHeight="1" x14ac:dyDescent="0.3">
      <c r="A45" s="801">
        <v>7</v>
      </c>
      <c r="B45" s="801">
        <v>1916</v>
      </c>
      <c r="C45" s="815" t="s">
        <v>1575</v>
      </c>
      <c r="D45" s="803">
        <f>SUM(D46:D46)/1000</f>
        <v>7200</v>
      </c>
      <c r="E45" s="804"/>
      <c r="F45" s="849"/>
      <c r="G45" s="849"/>
      <c r="H45" s="849">
        <v>7200</v>
      </c>
      <c r="I45" s="803">
        <f t="shared" si="0"/>
        <v>8200</v>
      </c>
      <c r="J45" s="804"/>
      <c r="K45" s="849"/>
      <c r="L45" s="849"/>
      <c r="M45" s="849">
        <f>7200+1000</f>
        <v>8200</v>
      </c>
    </row>
    <row r="46" spans="1:13" ht="26.5" hidden="1" customHeight="1" x14ac:dyDescent="0.3">
      <c r="A46" s="801"/>
      <c r="B46" s="801"/>
      <c r="C46" s="815" t="s">
        <v>1576</v>
      </c>
      <c r="D46" s="803">
        <v>7200000</v>
      </c>
      <c r="E46" s="806" t="s">
        <v>1577</v>
      </c>
      <c r="F46" s="849"/>
      <c r="G46" s="849"/>
      <c r="H46" s="849"/>
      <c r="I46" s="803">
        <f t="shared" si="0"/>
        <v>0</v>
      </c>
      <c r="J46" s="806" t="s">
        <v>1577</v>
      </c>
      <c r="K46" s="849"/>
      <c r="L46" s="849"/>
      <c r="M46" s="849"/>
    </row>
    <row r="47" spans="1:13" ht="26.5" customHeight="1" x14ac:dyDescent="0.3">
      <c r="A47" s="801">
        <v>8</v>
      </c>
      <c r="B47" s="801">
        <v>1917</v>
      </c>
      <c r="C47" s="815" t="s">
        <v>1578</v>
      </c>
      <c r="D47" s="803">
        <f>SUM(D48)/1000</f>
        <v>2000</v>
      </c>
      <c r="E47" s="804"/>
      <c r="F47" s="849"/>
      <c r="G47" s="849"/>
      <c r="H47" s="849">
        <v>2000</v>
      </c>
      <c r="I47" s="803">
        <f t="shared" si="0"/>
        <v>2000</v>
      </c>
      <c r="J47" s="804"/>
      <c r="K47" s="849"/>
      <c r="L47" s="849"/>
      <c r="M47" s="849">
        <v>2000</v>
      </c>
    </row>
    <row r="48" spans="1:13" ht="26.5" hidden="1" customHeight="1" x14ac:dyDescent="0.3">
      <c r="A48" s="801"/>
      <c r="B48" s="801"/>
      <c r="C48" s="815" t="s">
        <v>1579</v>
      </c>
      <c r="D48" s="803">
        <v>2000000</v>
      </c>
      <c r="E48" s="806" t="s">
        <v>1580</v>
      </c>
      <c r="F48" s="849"/>
      <c r="G48" s="849"/>
      <c r="H48" s="849"/>
      <c r="I48" s="803">
        <f t="shared" si="0"/>
        <v>0</v>
      </c>
      <c r="J48" s="806" t="s">
        <v>1580</v>
      </c>
      <c r="K48" s="849"/>
      <c r="L48" s="849"/>
      <c r="M48" s="849"/>
    </row>
    <row r="49" spans="1:13" s="792" customFormat="1" ht="26.5" customHeight="1" x14ac:dyDescent="0.3">
      <c r="A49" s="801">
        <v>9</v>
      </c>
      <c r="B49" s="801">
        <v>1918</v>
      </c>
      <c r="C49" s="815" t="s">
        <v>1581</v>
      </c>
      <c r="D49" s="803">
        <v>12600</v>
      </c>
      <c r="E49" s="804"/>
      <c r="F49" s="849"/>
      <c r="G49" s="849"/>
      <c r="H49" s="849">
        <v>12600</v>
      </c>
      <c r="I49" s="803">
        <f t="shared" si="0"/>
        <v>12600</v>
      </c>
      <c r="J49" s="804"/>
      <c r="K49" s="849"/>
      <c r="L49" s="849"/>
      <c r="M49" s="849">
        <v>12600</v>
      </c>
    </row>
    <row r="50" spans="1:13" ht="26.5" customHeight="1" x14ac:dyDescent="0.3">
      <c r="A50" s="823">
        <v>10</v>
      </c>
      <c r="B50" s="823">
        <v>1919</v>
      </c>
      <c r="C50" s="806" t="s">
        <v>1683</v>
      </c>
      <c r="D50" s="814">
        <v>20000</v>
      </c>
      <c r="E50" s="824" t="s">
        <v>1582</v>
      </c>
      <c r="F50" s="849"/>
      <c r="G50" s="849"/>
      <c r="H50" s="849">
        <v>20000</v>
      </c>
      <c r="I50" s="803">
        <f t="shared" si="0"/>
        <v>34286</v>
      </c>
      <c r="J50" s="824" t="s">
        <v>1582</v>
      </c>
      <c r="K50" s="849"/>
      <c r="L50" s="849">
        <f>2286</f>
        <v>2286</v>
      </c>
      <c r="M50" s="849">
        <f>20000+12000</f>
        <v>32000</v>
      </c>
    </row>
    <row r="51" spans="1:13" s="825" customFormat="1" ht="26.5" customHeight="1" x14ac:dyDescent="0.3">
      <c r="A51" s="823">
        <v>11</v>
      </c>
      <c r="B51" s="823">
        <v>1920</v>
      </c>
      <c r="C51" s="806" t="s">
        <v>1684</v>
      </c>
      <c r="D51" s="814">
        <f>18347</f>
        <v>18347</v>
      </c>
      <c r="E51" s="824"/>
      <c r="F51" s="849"/>
      <c r="G51" s="849"/>
      <c r="H51" s="849">
        <f>18347</f>
        <v>18347</v>
      </c>
      <c r="I51" s="803">
        <f t="shared" si="0"/>
        <v>18347</v>
      </c>
      <c r="J51" s="824"/>
      <c r="K51" s="849"/>
      <c r="L51" s="849"/>
      <c r="M51" s="849">
        <f>18347</f>
        <v>18347</v>
      </c>
    </row>
    <row r="52" spans="1:13" s="825" customFormat="1" ht="26.5" customHeight="1" x14ac:dyDescent="0.3">
      <c r="A52" s="823">
        <v>12</v>
      </c>
      <c r="B52" s="823">
        <v>1921</v>
      </c>
      <c r="C52" s="806" t="s">
        <v>1704</v>
      </c>
      <c r="D52" s="814">
        <v>10000</v>
      </c>
      <c r="E52" s="824" t="s">
        <v>1583</v>
      </c>
      <c r="F52" s="849"/>
      <c r="G52" s="849"/>
      <c r="H52" s="849">
        <v>10000</v>
      </c>
      <c r="I52" s="803">
        <f t="shared" si="0"/>
        <v>10000</v>
      </c>
      <c r="J52" s="824" t="s">
        <v>1583</v>
      </c>
      <c r="K52" s="849"/>
      <c r="L52" s="849"/>
      <c r="M52" s="849">
        <v>10000</v>
      </c>
    </row>
    <row r="53" spans="1:13" s="825" customFormat="1" ht="26.5" customHeight="1" x14ac:dyDescent="0.3">
      <c r="A53" s="823">
        <v>13</v>
      </c>
      <c r="B53" s="823">
        <v>1922</v>
      </c>
      <c r="C53" s="806" t="s">
        <v>1686</v>
      </c>
      <c r="D53" s="814">
        <v>10000</v>
      </c>
      <c r="E53" s="824"/>
      <c r="F53" s="849"/>
      <c r="G53" s="849"/>
      <c r="H53" s="849">
        <v>10000</v>
      </c>
      <c r="I53" s="803">
        <f t="shared" si="0"/>
        <v>10000</v>
      </c>
      <c r="J53" s="824"/>
      <c r="K53" s="849"/>
      <c r="L53" s="849"/>
      <c r="M53" s="849">
        <v>10000</v>
      </c>
    </row>
    <row r="54" spans="1:13" s="825" customFormat="1" ht="26.5" customHeight="1" x14ac:dyDescent="0.3">
      <c r="A54" s="823">
        <v>14</v>
      </c>
      <c r="B54" s="823"/>
      <c r="C54" s="806" t="s">
        <v>1705</v>
      </c>
      <c r="D54" s="814">
        <f>3810+1500+7535</f>
        <v>12845</v>
      </c>
      <c r="E54" s="824"/>
      <c r="F54" s="852"/>
      <c r="G54" s="853">
        <f>1500+3810+7535</f>
        <v>12845</v>
      </c>
      <c r="H54" s="854"/>
      <c r="I54" s="803">
        <f t="shared" si="0"/>
        <v>100713</v>
      </c>
      <c r="J54" s="824"/>
      <c r="K54" s="850">
        <f>559+444+10385-444-7500</f>
        <v>3444</v>
      </c>
      <c r="L54" s="853">
        <f>12845+116+2794+154+5247+5855+775+28572+18520+18923-826-8277</f>
        <v>84698</v>
      </c>
      <c r="M54" s="812">
        <f>2445+3791+10126-3791</f>
        <v>12571</v>
      </c>
    </row>
    <row r="55" spans="1:13" s="792" customFormat="1" ht="28.55" customHeight="1" x14ac:dyDescent="0.3">
      <c r="A55" s="796" t="s">
        <v>328</v>
      </c>
      <c r="B55" s="796"/>
      <c r="C55" s="797" t="s">
        <v>1584</v>
      </c>
      <c r="D55" s="798">
        <f>SUM(D56,D61,D64,D67,D68)</f>
        <v>304128</v>
      </c>
      <c r="E55" s="799"/>
      <c r="F55" s="847">
        <f>SUM(F56,F61,F64,F67,F68)</f>
        <v>0</v>
      </c>
      <c r="G55" s="847">
        <f>SUM(G56,G61,G64,G67,G68)</f>
        <v>254128</v>
      </c>
      <c r="H55" s="847">
        <f>SUM(H56,H61,H64,H67,H68)</f>
        <v>50000</v>
      </c>
      <c r="I55" s="798">
        <f t="shared" si="0"/>
        <v>327162</v>
      </c>
      <c r="J55" s="799"/>
      <c r="K55" s="847">
        <f>SUM(K56,K61,K64,K67,K68,K69)</f>
        <v>7944</v>
      </c>
      <c r="L55" s="847">
        <f>SUM(L56,L61,L64,L67,L68,L69)</f>
        <v>269218</v>
      </c>
      <c r="M55" s="847">
        <f>SUM(M56,M61,M64,M67,M68)</f>
        <v>50000</v>
      </c>
    </row>
    <row r="56" spans="1:13" s="792" customFormat="1" ht="18" customHeight="1" x14ac:dyDescent="0.25">
      <c r="A56" s="801">
        <v>1</v>
      </c>
      <c r="B56" s="801">
        <v>1923</v>
      </c>
      <c r="C56" s="802" t="s">
        <v>1585</v>
      </c>
      <c r="D56" s="803">
        <f>SUM(D57:D60)/1000</f>
        <v>199000</v>
      </c>
      <c r="E56" s="826"/>
      <c r="F56" s="849"/>
      <c r="G56" s="849">
        <v>199000</v>
      </c>
      <c r="H56" s="849"/>
      <c r="I56" s="803">
        <f t="shared" si="0"/>
        <v>200270</v>
      </c>
      <c r="J56" s="826"/>
      <c r="K56" s="849">
        <f>444</f>
        <v>444</v>
      </c>
      <c r="L56" s="849">
        <f>199000+826</f>
        <v>199826</v>
      </c>
      <c r="M56" s="849"/>
    </row>
    <row r="57" spans="1:13" ht="18" hidden="1" customHeight="1" x14ac:dyDescent="0.3">
      <c r="A57" s="801"/>
      <c r="B57" s="801"/>
      <c r="C57" s="802" t="s">
        <v>1553</v>
      </c>
      <c r="D57" s="803">
        <v>150000000</v>
      </c>
      <c r="F57" s="849"/>
      <c r="G57" s="849"/>
      <c r="H57" s="849"/>
      <c r="I57" s="803">
        <f t="shared" si="0"/>
        <v>0</v>
      </c>
      <c r="K57" s="849"/>
      <c r="L57" s="849"/>
      <c r="M57" s="849"/>
    </row>
    <row r="58" spans="1:13" ht="18" hidden="1" customHeight="1" x14ac:dyDescent="0.3">
      <c r="A58" s="801"/>
      <c r="B58" s="801"/>
      <c r="C58" s="802" t="s">
        <v>1566</v>
      </c>
      <c r="D58" s="803">
        <v>1500000</v>
      </c>
      <c r="F58" s="849"/>
      <c r="G58" s="849"/>
      <c r="H58" s="849"/>
      <c r="I58" s="803">
        <f t="shared" si="0"/>
        <v>0</v>
      </c>
      <c r="K58" s="849"/>
      <c r="L58" s="849"/>
      <c r="M58" s="849"/>
    </row>
    <row r="59" spans="1:13" ht="18" hidden="1" customHeight="1" x14ac:dyDescent="0.3">
      <c r="A59" s="801"/>
      <c r="B59" s="801"/>
      <c r="C59" s="802" t="s">
        <v>1586</v>
      </c>
      <c r="D59" s="803">
        <v>1500000</v>
      </c>
      <c r="F59" s="849"/>
      <c r="G59" s="849"/>
      <c r="H59" s="849"/>
      <c r="I59" s="803">
        <f t="shared" si="0"/>
        <v>0</v>
      </c>
      <c r="K59" s="849"/>
      <c r="L59" s="849"/>
      <c r="M59" s="849"/>
    </row>
    <row r="60" spans="1:13" ht="18" hidden="1" customHeight="1" x14ac:dyDescent="0.3">
      <c r="A60" s="801"/>
      <c r="B60" s="801"/>
      <c r="C60" s="802" t="s">
        <v>1587</v>
      </c>
      <c r="D60" s="803">
        <v>46000000</v>
      </c>
      <c r="E60" s="806" t="s">
        <v>1588</v>
      </c>
      <c r="F60" s="849"/>
      <c r="G60" s="849"/>
      <c r="H60" s="849"/>
      <c r="I60" s="803">
        <f t="shared" si="0"/>
        <v>0</v>
      </c>
      <c r="J60" s="806" t="s">
        <v>1588</v>
      </c>
      <c r="K60" s="849"/>
      <c r="L60" s="849"/>
      <c r="M60" s="849"/>
    </row>
    <row r="61" spans="1:13" ht="18" customHeight="1" x14ac:dyDescent="0.3">
      <c r="A61" s="801">
        <v>2</v>
      </c>
      <c r="B61" s="801">
        <v>1924</v>
      </c>
      <c r="C61" s="802" t="s">
        <v>1589</v>
      </c>
      <c r="D61" s="803">
        <f>SUM(D62:D63)/1000</f>
        <v>15000</v>
      </c>
      <c r="E61" s="827"/>
      <c r="F61" s="849"/>
      <c r="G61" s="849">
        <v>15000</v>
      </c>
      <c r="H61" s="849"/>
      <c r="I61" s="803">
        <f t="shared" si="0"/>
        <v>20987</v>
      </c>
      <c r="J61" s="827"/>
      <c r="K61" s="849"/>
      <c r="L61" s="849">
        <f>15000+5987</f>
        <v>20987</v>
      </c>
      <c r="M61" s="849"/>
    </row>
    <row r="62" spans="1:13" ht="18" hidden="1" customHeight="1" x14ac:dyDescent="0.3">
      <c r="A62" s="801"/>
      <c r="B62" s="801"/>
      <c r="C62" s="802" t="s">
        <v>1590</v>
      </c>
      <c r="D62" s="803">
        <v>7742000</v>
      </c>
      <c r="E62" s="806" t="s">
        <v>1591</v>
      </c>
      <c r="F62" s="849"/>
      <c r="G62" s="849"/>
      <c r="H62" s="849"/>
      <c r="I62" s="803">
        <f t="shared" si="0"/>
        <v>0</v>
      </c>
      <c r="J62" s="806" t="s">
        <v>1591</v>
      </c>
      <c r="K62" s="849"/>
      <c r="L62" s="849"/>
      <c r="M62" s="849"/>
    </row>
    <row r="63" spans="1:13" ht="18" hidden="1" customHeight="1" x14ac:dyDescent="0.3">
      <c r="A63" s="801"/>
      <c r="B63" s="801"/>
      <c r="C63" s="802" t="s">
        <v>1592</v>
      </c>
      <c r="D63" s="803">
        <v>7258000</v>
      </c>
      <c r="E63" s="806" t="s">
        <v>1593</v>
      </c>
      <c r="F63" s="849"/>
      <c r="G63" s="849"/>
      <c r="H63" s="849"/>
      <c r="I63" s="803">
        <f t="shared" si="0"/>
        <v>0</v>
      </c>
      <c r="J63" s="806" t="s">
        <v>1593</v>
      </c>
      <c r="K63" s="849"/>
      <c r="L63" s="849"/>
      <c r="M63" s="849"/>
    </row>
    <row r="64" spans="1:13" s="792" customFormat="1" ht="18" customHeight="1" x14ac:dyDescent="0.3">
      <c r="A64" s="801">
        <v>3</v>
      </c>
      <c r="B64" s="801">
        <v>1925</v>
      </c>
      <c r="C64" s="802" t="s">
        <v>1594</v>
      </c>
      <c r="D64" s="803">
        <f>SUM(D65:D66)/1000</f>
        <v>6600</v>
      </c>
      <c r="E64" s="804"/>
      <c r="F64" s="849"/>
      <c r="G64" s="849">
        <v>6600</v>
      </c>
      <c r="H64" s="849"/>
      <c r="I64" s="803">
        <f t="shared" si="0"/>
        <v>6600</v>
      </c>
      <c r="J64" s="804"/>
      <c r="K64" s="849"/>
      <c r="L64" s="849">
        <v>6600</v>
      </c>
      <c r="M64" s="849"/>
    </row>
    <row r="65" spans="1:13" ht="18" hidden="1" customHeight="1" x14ac:dyDescent="0.3">
      <c r="A65" s="801"/>
      <c r="B65" s="801"/>
      <c r="C65" s="802" t="s">
        <v>1595</v>
      </c>
      <c r="D65" s="803">
        <v>1600000</v>
      </c>
      <c r="F65" s="849"/>
      <c r="G65" s="849"/>
      <c r="H65" s="849"/>
      <c r="I65" s="803">
        <f t="shared" si="0"/>
        <v>0</v>
      </c>
      <c r="K65" s="849"/>
      <c r="L65" s="849"/>
      <c r="M65" s="849"/>
    </row>
    <row r="66" spans="1:13" ht="18" hidden="1" customHeight="1" x14ac:dyDescent="0.3">
      <c r="A66" s="801"/>
      <c r="B66" s="801"/>
      <c r="C66" s="802" t="s">
        <v>1596</v>
      </c>
      <c r="D66" s="803">
        <v>5000000</v>
      </c>
      <c r="F66" s="849"/>
      <c r="G66" s="849"/>
      <c r="H66" s="849"/>
      <c r="I66" s="803">
        <f t="shared" si="0"/>
        <v>0</v>
      </c>
      <c r="K66" s="849"/>
      <c r="L66" s="849"/>
      <c r="M66" s="849"/>
    </row>
    <row r="67" spans="1:13" s="792" customFormat="1" ht="18" customHeight="1" x14ac:dyDescent="0.3">
      <c r="A67" s="801">
        <v>4</v>
      </c>
      <c r="B67" s="801">
        <v>1926</v>
      </c>
      <c r="C67" s="802" t="s">
        <v>1597</v>
      </c>
      <c r="D67" s="803">
        <v>33528</v>
      </c>
      <c r="E67" s="804"/>
      <c r="F67" s="849"/>
      <c r="G67" s="849">
        <v>33528</v>
      </c>
      <c r="H67" s="849"/>
      <c r="I67" s="803">
        <f t="shared" si="0"/>
        <v>33528</v>
      </c>
      <c r="J67" s="804"/>
      <c r="K67" s="849"/>
      <c r="L67" s="849">
        <v>33528</v>
      </c>
      <c r="M67" s="849"/>
    </row>
    <row r="68" spans="1:13" x14ac:dyDescent="0.25">
      <c r="A68" s="823">
        <v>5</v>
      </c>
      <c r="B68" s="823">
        <v>1927</v>
      </c>
      <c r="C68" s="807" t="s">
        <v>1687</v>
      </c>
      <c r="D68" s="814">
        <v>50000</v>
      </c>
      <c r="E68" s="813" t="s">
        <v>1598</v>
      </c>
      <c r="F68" s="849"/>
      <c r="G68" s="849"/>
      <c r="H68" s="849">
        <v>50000</v>
      </c>
      <c r="I68" s="814">
        <f t="shared" si="0"/>
        <v>50000</v>
      </c>
      <c r="J68" s="813" t="s">
        <v>1598</v>
      </c>
      <c r="K68" s="849"/>
      <c r="L68" s="849"/>
      <c r="M68" s="849">
        <v>50000</v>
      </c>
    </row>
    <row r="69" spans="1:13" x14ac:dyDescent="0.3">
      <c r="A69" s="823">
        <v>6</v>
      </c>
      <c r="C69" s="813" t="s">
        <v>1724</v>
      </c>
      <c r="E69" s="815"/>
      <c r="I69" s="803">
        <f t="shared" ref="I69" si="2">SUM(K69:M69)</f>
        <v>15777</v>
      </c>
      <c r="J69" s="815"/>
      <c r="K69" s="850">
        <f>7500</f>
        <v>7500</v>
      </c>
      <c r="L69" s="812">
        <v>8277</v>
      </c>
    </row>
    <row r="70" spans="1:13" s="792" customFormat="1" x14ac:dyDescent="0.3">
      <c r="A70" s="796" t="s">
        <v>1136</v>
      </c>
      <c r="B70" s="796"/>
      <c r="C70" s="797" t="s">
        <v>1146</v>
      </c>
      <c r="D70" s="798">
        <f>SUM(D71,D73,D75,D77,D79)</f>
        <v>69745</v>
      </c>
      <c r="E70" s="799"/>
      <c r="F70" s="847">
        <f>SUM(F71,F73,F75,F77,F79)</f>
        <v>0</v>
      </c>
      <c r="G70" s="847">
        <f>SUM(G71,G73,G75,G77,G79)</f>
        <v>3500</v>
      </c>
      <c r="H70" s="847">
        <f>SUM(H71,H73,H75,H77,H79)</f>
        <v>66245</v>
      </c>
      <c r="I70" s="798">
        <f t="shared" si="0"/>
        <v>70897</v>
      </c>
      <c r="J70" s="799"/>
      <c r="K70" s="847">
        <f>SUM(K71,K73,K75,K77,K79)</f>
        <v>0</v>
      </c>
      <c r="L70" s="847">
        <f>SUM(L71,L73,L75,L77,L79)</f>
        <v>4453</v>
      </c>
      <c r="M70" s="847">
        <f>SUM(M71,M73,M75,M77,M79)</f>
        <v>66444</v>
      </c>
    </row>
    <row r="71" spans="1:13" s="792" customFormat="1" ht="18" customHeight="1" x14ac:dyDescent="0.3">
      <c r="A71" s="801">
        <v>1</v>
      </c>
      <c r="B71" s="801">
        <v>1928</v>
      </c>
      <c r="C71" s="802" t="s">
        <v>1599</v>
      </c>
      <c r="D71" s="803">
        <f>6500000/1000</f>
        <v>6500</v>
      </c>
      <c r="E71" s="804"/>
      <c r="F71" s="849"/>
      <c r="G71" s="849"/>
      <c r="H71" s="849">
        <v>6500</v>
      </c>
      <c r="I71" s="803">
        <f t="shared" si="0"/>
        <v>7453</v>
      </c>
      <c r="J71" s="804"/>
      <c r="K71" s="849"/>
      <c r="L71" s="849">
        <f>953</f>
        <v>953</v>
      </c>
      <c r="M71" s="849">
        <v>6500</v>
      </c>
    </row>
    <row r="72" spans="1:13" ht="18" hidden="1" customHeight="1" x14ac:dyDescent="0.3">
      <c r="A72" s="801"/>
      <c r="B72" s="801"/>
      <c r="C72" s="802" t="s">
        <v>1553</v>
      </c>
      <c r="D72" s="803"/>
      <c r="E72" s="806" t="s">
        <v>1600</v>
      </c>
      <c r="F72" s="849"/>
      <c r="G72" s="849"/>
      <c r="H72" s="849"/>
      <c r="I72" s="803">
        <f t="shared" si="0"/>
        <v>0</v>
      </c>
      <c r="J72" s="806" t="s">
        <v>1600</v>
      </c>
      <c r="K72" s="849"/>
      <c r="L72" s="849"/>
      <c r="M72" s="849"/>
    </row>
    <row r="73" spans="1:13" s="792" customFormat="1" ht="18" customHeight="1" x14ac:dyDescent="0.3">
      <c r="A73" s="801">
        <v>2</v>
      </c>
      <c r="B73" s="801">
        <v>1929</v>
      </c>
      <c r="C73" s="802" t="s">
        <v>1601</v>
      </c>
      <c r="D73" s="803">
        <f>SUM(D74)/1000</f>
        <v>3500</v>
      </c>
      <c r="E73" s="804"/>
      <c r="F73" s="849"/>
      <c r="G73" s="849">
        <v>3500</v>
      </c>
      <c r="H73" s="849"/>
      <c r="I73" s="803">
        <f t="shared" ref="I73:I128" si="3">SUM(K73:M73)</f>
        <v>3500</v>
      </c>
      <c r="J73" s="804"/>
      <c r="K73" s="849"/>
      <c r="L73" s="849">
        <v>3500</v>
      </c>
      <c r="M73" s="849"/>
    </row>
    <row r="74" spans="1:13" ht="18" hidden="1" customHeight="1" x14ac:dyDescent="0.3">
      <c r="A74" s="801"/>
      <c r="B74" s="801"/>
      <c r="C74" s="802" t="s">
        <v>1553</v>
      </c>
      <c r="D74" s="803">
        <v>3500000</v>
      </c>
      <c r="E74" s="815" t="s">
        <v>1549</v>
      </c>
      <c r="F74" s="849"/>
      <c r="G74" s="849"/>
      <c r="H74" s="849"/>
      <c r="I74" s="803">
        <f t="shared" si="3"/>
        <v>0</v>
      </c>
      <c r="J74" s="815" t="s">
        <v>1549</v>
      </c>
      <c r="K74" s="849"/>
      <c r="L74" s="849"/>
      <c r="M74" s="849"/>
    </row>
    <row r="75" spans="1:13" ht="18" customHeight="1" x14ac:dyDescent="0.3">
      <c r="A75" s="801">
        <v>3</v>
      </c>
      <c r="B75" s="801">
        <v>1930</v>
      </c>
      <c r="C75" s="802" t="s">
        <v>1602</v>
      </c>
      <c r="D75" s="803">
        <f>SUM(D76)/1000</f>
        <v>13000</v>
      </c>
      <c r="E75" s="804"/>
      <c r="F75" s="849"/>
      <c r="G75" s="849"/>
      <c r="H75" s="849">
        <v>13000</v>
      </c>
      <c r="I75" s="803">
        <f t="shared" si="3"/>
        <v>13199</v>
      </c>
      <c r="J75" s="804"/>
      <c r="K75" s="849"/>
      <c r="L75" s="849"/>
      <c r="M75" s="849">
        <f>13000+199</f>
        <v>13199</v>
      </c>
    </row>
    <row r="76" spans="1:13" ht="18" hidden="1" customHeight="1" x14ac:dyDescent="0.3">
      <c r="A76" s="801"/>
      <c r="B76" s="801"/>
      <c r="C76" s="802" t="s">
        <v>1553</v>
      </c>
      <c r="D76" s="803">
        <v>13000000</v>
      </c>
      <c r="E76" s="815" t="s">
        <v>1603</v>
      </c>
      <c r="F76" s="849"/>
      <c r="G76" s="849"/>
      <c r="H76" s="849"/>
      <c r="I76" s="803">
        <f t="shared" si="3"/>
        <v>0</v>
      </c>
      <c r="J76" s="815" t="s">
        <v>1603</v>
      </c>
      <c r="K76" s="849"/>
      <c r="L76" s="849"/>
      <c r="M76" s="849"/>
    </row>
    <row r="77" spans="1:13" ht="18" customHeight="1" x14ac:dyDescent="0.3">
      <c r="A77" s="801">
        <v>4</v>
      </c>
      <c r="B77" s="801">
        <v>1931</v>
      </c>
      <c r="C77" s="802" t="s">
        <v>1604</v>
      </c>
      <c r="D77" s="803">
        <v>18300</v>
      </c>
      <c r="E77" s="829" t="s">
        <v>1605</v>
      </c>
      <c r="F77" s="849"/>
      <c r="G77" s="849"/>
      <c r="H77" s="849">
        <v>18300</v>
      </c>
      <c r="I77" s="803">
        <f t="shared" si="3"/>
        <v>18300</v>
      </c>
      <c r="J77" s="829" t="s">
        <v>1605</v>
      </c>
      <c r="K77" s="849"/>
      <c r="L77" s="849"/>
      <c r="M77" s="849">
        <v>18300</v>
      </c>
    </row>
    <row r="78" spans="1:13" ht="18" hidden="1" customHeight="1" x14ac:dyDescent="0.3">
      <c r="A78" s="801"/>
      <c r="B78" s="801"/>
      <c r="C78" s="802" t="s">
        <v>1553</v>
      </c>
      <c r="D78" s="803">
        <v>8000000</v>
      </c>
      <c r="E78" s="815" t="s">
        <v>1606</v>
      </c>
      <c r="F78" s="849"/>
      <c r="G78" s="849"/>
      <c r="H78" s="849"/>
      <c r="I78" s="803">
        <f t="shared" si="3"/>
        <v>0</v>
      </c>
      <c r="J78" s="815" t="s">
        <v>1606</v>
      </c>
      <c r="K78" s="849"/>
      <c r="L78" s="849"/>
      <c r="M78" s="849"/>
    </row>
    <row r="79" spans="1:13" ht="18" customHeight="1" x14ac:dyDescent="0.3">
      <c r="A79" s="801">
        <v>5</v>
      </c>
      <c r="B79" s="801">
        <v>1932</v>
      </c>
      <c r="C79" s="802" t="s">
        <v>1688</v>
      </c>
      <c r="D79" s="803">
        <v>28445</v>
      </c>
      <c r="E79" s="804"/>
      <c r="F79" s="849"/>
      <c r="G79" s="849"/>
      <c r="H79" s="849">
        <v>28445</v>
      </c>
      <c r="I79" s="803">
        <f t="shared" si="3"/>
        <v>28445</v>
      </c>
      <c r="J79" s="804"/>
      <c r="K79" s="849"/>
      <c r="L79" s="849"/>
      <c r="M79" s="849">
        <v>28445</v>
      </c>
    </row>
    <row r="80" spans="1:13" hidden="1" x14ac:dyDescent="0.3">
      <c r="D80" s="814">
        <v>9500000</v>
      </c>
      <c r="E80" s="815" t="s">
        <v>1607</v>
      </c>
      <c r="I80" s="814">
        <f t="shared" si="3"/>
        <v>0</v>
      </c>
      <c r="J80" s="815" t="s">
        <v>1607</v>
      </c>
      <c r="K80" s="850"/>
    </row>
    <row r="81" spans="1:13" s="792" customFormat="1" x14ac:dyDescent="0.3">
      <c r="A81" s="796" t="s">
        <v>1183</v>
      </c>
      <c r="B81" s="796"/>
      <c r="C81" s="797" t="s">
        <v>1608</v>
      </c>
      <c r="D81" s="798">
        <f>SUM(D82,D84,D86,D87,D89,D91,D93,D94,D95)</f>
        <v>155900</v>
      </c>
      <c r="E81" s="799"/>
      <c r="F81" s="847">
        <f>SUM(F82,F84,F86,F87,F89,F91,F93,F94,F95)</f>
        <v>900</v>
      </c>
      <c r="G81" s="847">
        <f>SUM(G82,G84,G86,G87,G89,G91,G93,G94,G95)</f>
        <v>100000</v>
      </c>
      <c r="H81" s="847">
        <f>SUM(H82,H84,H86,H87,H89,H91,H93,H94,H95)</f>
        <v>55000</v>
      </c>
      <c r="I81" s="798">
        <f t="shared" si="3"/>
        <v>144585</v>
      </c>
      <c r="J81" s="799"/>
      <c r="K81" s="847">
        <f>SUM(K82,K84,K86,K87,K89,K91,K93,K94,K95)</f>
        <v>11585</v>
      </c>
      <c r="L81" s="847">
        <f>SUM(L82,L84,L86,L87,L89,L91,L93,L94,L95)</f>
        <v>87000</v>
      </c>
      <c r="M81" s="847">
        <f>SUM(M82,M84,M86,M87,M89,M91,M93,M94,M95)</f>
        <v>46000</v>
      </c>
    </row>
    <row r="82" spans="1:13" s="792" customFormat="1" ht="31.95" customHeight="1" x14ac:dyDescent="0.3">
      <c r="A82" s="801">
        <v>1</v>
      </c>
      <c r="B82" s="801">
        <v>1933</v>
      </c>
      <c r="C82" s="802" t="s">
        <v>1609</v>
      </c>
      <c r="D82" s="803">
        <f>SUM(D83)/1000</f>
        <v>9000</v>
      </c>
      <c r="E82" s="804"/>
      <c r="F82" s="849"/>
      <c r="G82" s="849"/>
      <c r="H82" s="849">
        <v>9000</v>
      </c>
      <c r="I82" s="803">
        <f t="shared" si="3"/>
        <v>9000</v>
      </c>
      <c r="J82" s="804"/>
      <c r="K82" s="849"/>
      <c r="L82" s="849"/>
      <c r="M82" s="849">
        <v>9000</v>
      </c>
    </row>
    <row r="83" spans="1:13" s="820" customFormat="1" hidden="1" x14ac:dyDescent="0.3">
      <c r="A83" s="801"/>
      <c r="B83" s="801"/>
      <c r="C83" s="802" t="s">
        <v>1610</v>
      </c>
      <c r="D83" s="803">
        <v>9000000</v>
      </c>
      <c r="E83" s="815"/>
      <c r="F83" s="849"/>
      <c r="G83" s="849"/>
      <c r="H83" s="849"/>
      <c r="I83" s="803">
        <f t="shared" si="3"/>
        <v>0</v>
      </c>
      <c r="J83" s="815"/>
      <c r="K83" s="849"/>
      <c r="L83" s="849"/>
      <c r="M83" s="849"/>
    </row>
    <row r="84" spans="1:13" s="820" customFormat="1" ht="18" customHeight="1" x14ac:dyDescent="0.3">
      <c r="A84" s="801">
        <v>2</v>
      </c>
      <c r="B84" s="801">
        <v>1934</v>
      </c>
      <c r="C84" s="802" t="s">
        <v>1611</v>
      </c>
      <c r="D84" s="803">
        <f>SUM(D85)/1000</f>
        <v>12000</v>
      </c>
      <c r="E84" s="804"/>
      <c r="F84" s="849"/>
      <c r="G84" s="849"/>
      <c r="H84" s="849">
        <v>12000</v>
      </c>
      <c r="I84" s="803">
        <f t="shared" si="3"/>
        <v>12000</v>
      </c>
      <c r="J84" s="804"/>
      <c r="K84" s="849">
        <f>6500</f>
        <v>6500</v>
      </c>
      <c r="L84" s="849"/>
      <c r="M84" s="849">
        <f>12000-6500</f>
        <v>5500</v>
      </c>
    </row>
    <row r="85" spans="1:13" s="820" customFormat="1" hidden="1" x14ac:dyDescent="0.3">
      <c r="A85" s="801"/>
      <c r="B85" s="801"/>
      <c r="C85" s="802" t="s">
        <v>1553</v>
      </c>
      <c r="D85" s="803">
        <v>12000000</v>
      </c>
      <c r="E85" s="815" t="s">
        <v>1612</v>
      </c>
      <c r="F85" s="849"/>
      <c r="G85" s="849"/>
      <c r="H85" s="849"/>
      <c r="I85" s="803">
        <f t="shared" si="3"/>
        <v>0</v>
      </c>
      <c r="J85" s="815" t="s">
        <v>1612</v>
      </c>
      <c r="K85" s="849"/>
      <c r="L85" s="849"/>
      <c r="M85" s="849"/>
    </row>
    <row r="86" spans="1:13" s="822" customFormat="1" ht="18" customHeight="1" x14ac:dyDescent="0.3">
      <c r="A86" s="801">
        <v>3</v>
      </c>
      <c r="B86" s="801">
        <v>1935</v>
      </c>
      <c r="C86" s="802" t="s">
        <v>1613</v>
      </c>
      <c r="D86" s="803">
        <v>2500</v>
      </c>
      <c r="E86" s="804"/>
      <c r="F86" s="849"/>
      <c r="G86" s="849"/>
      <c r="H86" s="849">
        <v>2500</v>
      </c>
      <c r="I86" s="803">
        <f t="shared" si="3"/>
        <v>2500</v>
      </c>
      <c r="J86" s="804"/>
      <c r="K86" s="849">
        <f>2500</f>
        <v>2500</v>
      </c>
      <c r="L86" s="849"/>
      <c r="M86" s="849">
        <f>2500-2500</f>
        <v>0</v>
      </c>
    </row>
    <row r="87" spans="1:13" s="822" customFormat="1" ht="18" customHeight="1" x14ac:dyDescent="0.3">
      <c r="A87" s="801">
        <v>4</v>
      </c>
      <c r="B87" s="801">
        <v>1936</v>
      </c>
      <c r="C87" s="802" t="s">
        <v>1614</v>
      </c>
      <c r="D87" s="803">
        <v>3500</v>
      </c>
      <c r="E87" s="804"/>
      <c r="F87" s="849"/>
      <c r="G87" s="849"/>
      <c r="H87" s="849">
        <v>3500</v>
      </c>
      <c r="I87" s="803">
        <f t="shared" si="3"/>
        <v>3500</v>
      </c>
      <c r="J87" s="804"/>
      <c r="K87" s="849"/>
      <c r="L87" s="849"/>
      <c r="M87" s="849">
        <v>3500</v>
      </c>
    </row>
    <row r="88" spans="1:13" s="820" customFormat="1" hidden="1" x14ac:dyDescent="0.3">
      <c r="A88" s="801"/>
      <c r="B88" s="801"/>
      <c r="C88" s="802" t="s">
        <v>1542</v>
      </c>
      <c r="D88" s="803"/>
      <c r="E88" s="806"/>
      <c r="F88" s="849"/>
      <c r="G88" s="849"/>
      <c r="H88" s="849"/>
      <c r="I88" s="803">
        <f t="shared" si="3"/>
        <v>0</v>
      </c>
      <c r="J88" s="806"/>
      <c r="K88" s="849"/>
      <c r="L88" s="849"/>
      <c r="M88" s="849"/>
    </row>
    <row r="89" spans="1:13" s="822" customFormat="1" ht="27.2" customHeight="1" x14ac:dyDescent="0.3">
      <c r="A89" s="801">
        <v>5</v>
      </c>
      <c r="B89" s="801">
        <v>1937</v>
      </c>
      <c r="C89" s="802" t="s">
        <v>1706</v>
      </c>
      <c r="D89" s="803">
        <f>SUM(D90)/1000</f>
        <v>900</v>
      </c>
      <c r="E89" s="804"/>
      <c r="F89" s="849">
        <v>900</v>
      </c>
      <c r="G89" s="849"/>
      <c r="H89" s="849"/>
      <c r="I89" s="803">
        <f t="shared" si="3"/>
        <v>2585</v>
      </c>
      <c r="J89" s="804"/>
      <c r="K89" s="849">
        <f>900+1685</f>
        <v>2585</v>
      </c>
      <c r="L89" s="849"/>
      <c r="M89" s="849"/>
    </row>
    <row r="90" spans="1:13" s="820" customFormat="1" hidden="1" x14ac:dyDescent="0.3">
      <c r="A90" s="801"/>
      <c r="B90" s="801"/>
      <c r="C90" s="802" t="s">
        <v>1553</v>
      </c>
      <c r="D90" s="803">
        <v>900000</v>
      </c>
      <c r="E90" s="806" t="s">
        <v>1616</v>
      </c>
      <c r="F90" s="849"/>
      <c r="G90" s="849"/>
      <c r="H90" s="849"/>
      <c r="I90" s="803">
        <f t="shared" si="3"/>
        <v>0</v>
      </c>
      <c r="J90" s="806" t="s">
        <v>1616</v>
      </c>
      <c r="K90" s="849"/>
      <c r="L90" s="849"/>
      <c r="M90" s="849"/>
    </row>
    <row r="91" spans="1:13" s="822" customFormat="1" ht="18" customHeight="1" x14ac:dyDescent="0.3">
      <c r="A91" s="801">
        <v>6</v>
      </c>
      <c r="B91" s="801">
        <v>1938</v>
      </c>
      <c r="C91" s="802" t="s">
        <v>1617</v>
      </c>
      <c r="D91" s="803">
        <v>14000</v>
      </c>
      <c r="E91" s="804"/>
      <c r="F91" s="849"/>
      <c r="G91" s="849"/>
      <c r="H91" s="849">
        <v>14000</v>
      </c>
      <c r="I91" s="803">
        <f t="shared" si="3"/>
        <v>14000</v>
      </c>
      <c r="J91" s="804"/>
      <c r="K91" s="849"/>
      <c r="L91" s="849"/>
      <c r="M91" s="849">
        <v>14000</v>
      </c>
    </row>
    <row r="92" spans="1:13" s="820" customFormat="1" ht="32.6" hidden="1" x14ac:dyDescent="0.3">
      <c r="A92" s="801"/>
      <c r="B92" s="801"/>
      <c r="C92" s="802" t="s">
        <v>1553</v>
      </c>
      <c r="D92" s="803"/>
      <c r="E92" s="806" t="s">
        <v>1618</v>
      </c>
      <c r="F92" s="849"/>
      <c r="G92" s="849"/>
      <c r="H92" s="849"/>
      <c r="I92" s="803">
        <f t="shared" si="3"/>
        <v>0</v>
      </c>
      <c r="J92" s="806" t="s">
        <v>1618</v>
      </c>
      <c r="K92" s="849"/>
      <c r="L92" s="849"/>
      <c r="M92" s="849"/>
    </row>
    <row r="93" spans="1:13" s="820" customFormat="1" ht="19.7" customHeight="1" x14ac:dyDescent="0.3">
      <c r="A93" s="801">
        <v>7</v>
      </c>
      <c r="B93" s="801">
        <v>1939</v>
      </c>
      <c r="C93" s="802" t="s">
        <v>1619</v>
      </c>
      <c r="D93" s="803">
        <v>9000</v>
      </c>
      <c r="E93" s="804"/>
      <c r="F93" s="849"/>
      <c r="G93" s="849"/>
      <c r="H93" s="849">
        <v>9000</v>
      </c>
      <c r="I93" s="803">
        <f t="shared" si="3"/>
        <v>9000</v>
      </c>
      <c r="J93" s="804"/>
      <c r="K93" s="849"/>
      <c r="L93" s="849"/>
      <c r="M93" s="849">
        <v>9000</v>
      </c>
    </row>
    <row r="94" spans="1:13" s="820" customFormat="1" ht="28.05" customHeight="1" x14ac:dyDescent="0.3">
      <c r="A94" s="801">
        <v>8</v>
      </c>
      <c r="B94" s="801">
        <v>1940</v>
      </c>
      <c r="C94" s="802" t="s">
        <v>1689</v>
      </c>
      <c r="D94" s="803">
        <v>100000</v>
      </c>
      <c r="E94" s="804"/>
      <c r="F94" s="849"/>
      <c r="G94" s="849">
        <v>100000</v>
      </c>
      <c r="H94" s="849"/>
      <c r="I94" s="803">
        <f t="shared" si="3"/>
        <v>87000</v>
      </c>
      <c r="J94" s="804"/>
      <c r="K94" s="849"/>
      <c r="L94" s="849">
        <f>100000-1000-12000</f>
        <v>87000</v>
      </c>
      <c r="M94" s="849"/>
    </row>
    <row r="95" spans="1:13" s="820" customFormat="1" ht="18" customHeight="1" x14ac:dyDescent="0.3">
      <c r="A95" s="801">
        <v>9</v>
      </c>
      <c r="B95" s="801">
        <v>1941</v>
      </c>
      <c r="C95" s="802" t="s">
        <v>1690</v>
      </c>
      <c r="D95" s="803">
        <v>5000</v>
      </c>
      <c r="E95" s="804"/>
      <c r="F95" s="849"/>
      <c r="G95" s="849"/>
      <c r="H95" s="849">
        <v>5000</v>
      </c>
      <c r="I95" s="803">
        <f t="shared" si="3"/>
        <v>5000</v>
      </c>
      <c r="J95" s="804"/>
      <c r="K95" s="849"/>
      <c r="L95" s="849"/>
      <c r="M95" s="849">
        <v>5000</v>
      </c>
    </row>
    <row r="96" spans="1:13" s="820" customFormat="1" hidden="1" x14ac:dyDescent="0.3">
      <c r="A96" s="801"/>
      <c r="B96" s="801"/>
      <c r="C96" s="802"/>
      <c r="D96" s="803"/>
      <c r="E96" s="806"/>
      <c r="F96" s="850"/>
      <c r="G96" s="850"/>
      <c r="H96" s="850"/>
      <c r="I96" s="803">
        <f t="shared" si="3"/>
        <v>0</v>
      </c>
      <c r="J96" s="806"/>
      <c r="K96" s="850"/>
      <c r="L96" s="850"/>
      <c r="M96" s="850"/>
    </row>
    <row r="97" spans="1:13" s="792" customFormat="1" x14ac:dyDescent="0.3">
      <c r="A97" s="796" t="s">
        <v>1184</v>
      </c>
      <c r="B97" s="796"/>
      <c r="C97" s="797" t="s">
        <v>1620</v>
      </c>
      <c r="D97" s="798">
        <f>SUM(D98:D99)</f>
        <v>113090</v>
      </c>
      <c r="E97" s="799"/>
      <c r="F97" s="847">
        <f>SUM(F98:F99)</f>
        <v>0</v>
      </c>
      <c r="G97" s="847">
        <f>SUM(G98:G99)</f>
        <v>0</v>
      </c>
      <c r="H97" s="847">
        <f>SUM(H98:H99)</f>
        <v>113090</v>
      </c>
      <c r="I97" s="798">
        <f t="shared" si="3"/>
        <v>113090</v>
      </c>
      <c r="J97" s="799"/>
      <c r="K97" s="847">
        <f>SUM(K98:K99)</f>
        <v>0</v>
      </c>
      <c r="L97" s="847">
        <f>SUM(L98:L99)</f>
        <v>0</v>
      </c>
      <c r="M97" s="847">
        <f>SUM(M98:M99)</f>
        <v>113090</v>
      </c>
    </row>
    <row r="98" spans="1:13" s="792" customFormat="1" x14ac:dyDescent="0.3">
      <c r="A98" s="830"/>
      <c r="B98" s="830"/>
      <c r="C98" s="802" t="s">
        <v>1000</v>
      </c>
      <c r="D98" s="803">
        <f>+'[4]2E VÉA'!F29</f>
        <v>88980</v>
      </c>
      <c r="E98" s="799"/>
      <c r="F98" s="849"/>
      <c r="G98" s="849"/>
      <c r="H98" s="849">
        <v>88980</v>
      </c>
      <c r="I98" s="803">
        <f t="shared" si="3"/>
        <v>88980</v>
      </c>
      <c r="J98" s="799"/>
      <c r="K98" s="849"/>
      <c r="L98" s="849"/>
      <c r="M98" s="849">
        <v>88980</v>
      </c>
    </row>
    <row r="99" spans="1:13" s="822" customFormat="1" x14ac:dyDescent="0.3">
      <c r="A99" s="830"/>
      <c r="B99" s="830"/>
      <c r="C99" s="802" t="s">
        <v>1707</v>
      </c>
      <c r="D99" s="803">
        <v>24110</v>
      </c>
      <c r="E99" s="821"/>
      <c r="F99" s="849"/>
      <c r="G99" s="849"/>
      <c r="H99" s="849">
        <v>24110</v>
      </c>
      <c r="I99" s="803">
        <f t="shared" si="3"/>
        <v>24110</v>
      </c>
      <c r="J99" s="821"/>
      <c r="K99" s="849"/>
      <c r="L99" s="849"/>
      <c r="M99" s="849">
        <v>24110</v>
      </c>
    </row>
    <row r="100" spans="1:13" ht="25.15" customHeight="1" x14ac:dyDescent="0.3">
      <c r="A100" s="796" t="s">
        <v>1621</v>
      </c>
      <c r="B100" s="796"/>
      <c r="C100" s="797" t="s">
        <v>1622</v>
      </c>
      <c r="D100" s="798">
        <f>SUM(D101,D104,D106,D112,D114)</f>
        <v>35000</v>
      </c>
      <c r="E100" s="799"/>
      <c r="F100" s="847">
        <f>SUM(F101,F104,F106,F112,F114)</f>
        <v>25500</v>
      </c>
      <c r="G100" s="847">
        <f>SUM(G101,G104,G106,G112,G114)</f>
        <v>9500</v>
      </c>
      <c r="H100" s="847">
        <f>SUM(H101,H104,H106,H112,H114)</f>
        <v>0</v>
      </c>
      <c r="I100" s="798">
        <f t="shared" si="3"/>
        <v>35000</v>
      </c>
      <c r="J100" s="799"/>
      <c r="K100" s="847">
        <f>SUM(K101,K104,K106,K112,K114)</f>
        <v>25500</v>
      </c>
      <c r="L100" s="847">
        <f>SUM(L101,L104,L106,L112,L114)</f>
        <v>9500</v>
      </c>
      <c r="M100" s="847">
        <f>SUM(M101,M104,M106,M112,M114)</f>
        <v>0</v>
      </c>
    </row>
    <row r="101" spans="1:13" ht="18" customHeight="1" x14ac:dyDescent="0.3">
      <c r="A101" s="801">
        <v>1</v>
      </c>
      <c r="B101" s="801">
        <v>1942</v>
      </c>
      <c r="C101" s="802" t="s">
        <v>1623</v>
      </c>
      <c r="D101" s="803">
        <f>SUM(D102:D103)/1000</f>
        <v>4000</v>
      </c>
      <c r="E101" s="804"/>
      <c r="F101" s="849">
        <v>4000</v>
      </c>
      <c r="G101" s="849"/>
      <c r="H101" s="849"/>
      <c r="I101" s="803">
        <f t="shared" si="3"/>
        <v>4000</v>
      </c>
      <c r="J101" s="804"/>
      <c r="K101" s="849">
        <v>4000</v>
      </c>
      <c r="L101" s="849"/>
      <c r="M101" s="849"/>
    </row>
    <row r="102" spans="1:13" ht="114.15" hidden="1" x14ac:dyDescent="0.3">
      <c r="A102" s="801"/>
      <c r="B102" s="801"/>
      <c r="C102" s="802" t="s">
        <v>1624</v>
      </c>
      <c r="D102" s="803">
        <v>2000000</v>
      </c>
      <c r="E102" s="806" t="s">
        <v>1625</v>
      </c>
      <c r="F102" s="849"/>
      <c r="G102" s="849"/>
      <c r="H102" s="849"/>
      <c r="I102" s="803">
        <f t="shared" si="3"/>
        <v>0</v>
      </c>
      <c r="J102" s="806" t="s">
        <v>1625</v>
      </c>
      <c r="K102" s="849"/>
      <c r="L102" s="849"/>
      <c r="M102" s="849"/>
    </row>
    <row r="103" spans="1:13" ht="130.44999999999999" hidden="1" x14ac:dyDescent="0.25">
      <c r="A103" s="801"/>
      <c r="B103" s="801"/>
      <c r="C103" s="802" t="s">
        <v>1626</v>
      </c>
      <c r="D103" s="803">
        <v>2000000</v>
      </c>
      <c r="E103" s="831" t="s">
        <v>1627</v>
      </c>
      <c r="F103" s="849"/>
      <c r="G103" s="849"/>
      <c r="H103" s="849"/>
      <c r="I103" s="803">
        <f t="shared" si="3"/>
        <v>0</v>
      </c>
      <c r="J103" s="831" t="s">
        <v>1627</v>
      </c>
      <c r="K103" s="849"/>
      <c r="L103" s="849"/>
      <c r="M103" s="849"/>
    </row>
    <row r="104" spans="1:13" s="792" customFormat="1" ht="18" customHeight="1" x14ac:dyDescent="0.3">
      <c r="A104" s="801">
        <v>2</v>
      </c>
      <c r="B104" s="801">
        <v>1943</v>
      </c>
      <c r="C104" s="802" t="s">
        <v>1628</v>
      </c>
      <c r="D104" s="803">
        <f>SUM(D105)/1000</f>
        <v>1500</v>
      </c>
      <c r="E104" s="804"/>
      <c r="F104" s="849">
        <v>1500</v>
      </c>
      <c r="G104" s="849"/>
      <c r="H104" s="849"/>
      <c r="I104" s="803">
        <f t="shared" si="3"/>
        <v>1500</v>
      </c>
      <c r="J104" s="804"/>
      <c r="K104" s="849">
        <v>1500</v>
      </c>
      <c r="L104" s="849"/>
      <c r="M104" s="849"/>
    </row>
    <row r="105" spans="1:13" s="822" customFormat="1" ht="65.25" hidden="1" x14ac:dyDescent="0.3">
      <c r="A105" s="801"/>
      <c r="B105" s="801"/>
      <c r="C105" s="802" t="s">
        <v>1629</v>
      </c>
      <c r="D105" s="803">
        <v>1500000</v>
      </c>
      <c r="E105" s="806" t="s">
        <v>1630</v>
      </c>
      <c r="F105" s="849"/>
      <c r="G105" s="849"/>
      <c r="H105" s="849"/>
      <c r="I105" s="803">
        <f t="shared" si="3"/>
        <v>0</v>
      </c>
      <c r="J105" s="806" t="s">
        <v>1630</v>
      </c>
      <c r="K105" s="849"/>
      <c r="L105" s="849"/>
      <c r="M105" s="849"/>
    </row>
    <row r="106" spans="1:13" s="822" customFormat="1" ht="18" customHeight="1" x14ac:dyDescent="0.3">
      <c r="A106" s="801">
        <v>3</v>
      </c>
      <c r="B106" s="801">
        <v>1944</v>
      </c>
      <c r="C106" s="832" t="s">
        <v>1631</v>
      </c>
      <c r="D106" s="803">
        <v>25000</v>
      </c>
      <c r="E106" s="827"/>
      <c r="F106" s="849">
        <v>20000</v>
      </c>
      <c r="G106" s="849">
        <v>5000</v>
      </c>
      <c r="H106" s="849"/>
      <c r="I106" s="803">
        <f t="shared" si="3"/>
        <v>25000</v>
      </c>
      <c r="J106" s="827"/>
      <c r="K106" s="849">
        <v>20000</v>
      </c>
      <c r="L106" s="849">
        <v>5000</v>
      </c>
      <c r="M106" s="849"/>
    </row>
    <row r="107" spans="1:13" s="822" customFormat="1" ht="32.6" hidden="1" x14ac:dyDescent="0.3">
      <c r="A107" s="801"/>
      <c r="B107" s="801"/>
      <c r="C107" s="802" t="s">
        <v>1632</v>
      </c>
      <c r="D107" s="803">
        <v>3000000</v>
      </c>
      <c r="E107" s="806" t="s">
        <v>1633</v>
      </c>
      <c r="F107" s="849"/>
      <c r="G107" s="849"/>
      <c r="H107" s="849"/>
      <c r="I107" s="803">
        <f t="shared" si="3"/>
        <v>0</v>
      </c>
      <c r="J107" s="806" t="s">
        <v>1633</v>
      </c>
      <c r="K107" s="849"/>
      <c r="L107" s="849"/>
      <c r="M107" s="849"/>
    </row>
    <row r="108" spans="1:13" s="822" customFormat="1" ht="48.9" hidden="1" x14ac:dyDescent="0.3">
      <c r="A108" s="801"/>
      <c r="B108" s="801"/>
      <c r="C108" s="802" t="s">
        <v>1634</v>
      </c>
      <c r="D108" s="803">
        <v>3000000</v>
      </c>
      <c r="E108" s="806" t="s">
        <v>1635</v>
      </c>
      <c r="F108" s="849"/>
      <c r="G108" s="849"/>
      <c r="H108" s="849"/>
      <c r="I108" s="803">
        <f t="shared" si="3"/>
        <v>0</v>
      </c>
      <c r="J108" s="806" t="s">
        <v>1635</v>
      </c>
      <c r="K108" s="849"/>
      <c r="L108" s="849"/>
      <c r="M108" s="849"/>
    </row>
    <row r="109" spans="1:13" s="822" customFormat="1" ht="163.05000000000001" hidden="1" x14ac:dyDescent="0.3">
      <c r="A109" s="801"/>
      <c r="B109" s="801"/>
      <c r="C109" s="802" t="s">
        <v>1636</v>
      </c>
      <c r="D109" s="803">
        <v>5000000</v>
      </c>
      <c r="E109" s="806" t="s">
        <v>1637</v>
      </c>
      <c r="F109" s="849"/>
      <c r="G109" s="849"/>
      <c r="H109" s="849"/>
      <c r="I109" s="803">
        <f t="shared" si="3"/>
        <v>0</v>
      </c>
      <c r="J109" s="806" t="s">
        <v>1637</v>
      </c>
      <c r="K109" s="849"/>
      <c r="L109" s="849"/>
      <c r="M109" s="849"/>
    </row>
    <row r="110" spans="1:13" s="822" customFormat="1" ht="32.6" hidden="1" x14ac:dyDescent="0.3">
      <c r="A110" s="801"/>
      <c r="B110" s="801"/>
      <c r="C110" s="802" t="s">
        <v>1638</v>
      </c>
      <c r="D110" s="803">
        <v>1000000</v>
      </c>
      <c r="E110" s="806" t="s">
        <v>1639</v>
      </c>
      <c r="F110" s="849"/>
      <c r="G110" s="849"/>
      <c r="H110" s="849"/>
      <c r="I110" s="803">
        <f t="shared" si="3"/>
        <v>0</v>
      </c>
      <c r="J110" s="806" t="s">
        <v>1639</v>
      </c>
      <c r="K110" s="849"/>
      <c r="L110" s="849"/>
      <c r="M110" s="849"/>
    </row>
    <row r="111" spans="1:13" s="822" customFormat="1" ht="260.85000000000002" hidden="1" x14ac:dyDescent="0.25">
      <c r="A111" s="801"/>
      <c r="B111" s="801"/>
      <c r="C111" s="802" t="s">
        <v>1640</v>
      </c>
      <c r="D111" s="803">
        <v>3000000</v>
      </c>
      <c r="E111" s="833" t="s">
        <v>1641</v>
      </c>
      <c r="F111" s="849"/>
      <c r="G111" s="849"/>
      <c r="H111" s="849"/>
      <c r="I111" s="803">
        <f t="shared" si="3"/>
        <v>0</v>
      </c>
      <c r="J111" s="833" t="s">
        <v>1641</v>
      </c>
      <c r="K111" s="849"/>
      <c r="L111" s="849"/>
      <c r="M111" s="849"/>
    </row>
    <row r="112" spans="1:13" s="822" customFormat="1" ht="18" customHeight="1" x14ac:dyDescent="0.3">
      <c r="A112" s="801">
        <v>4</v>
      </c>
      <c r="B112" s="801">
        <v>1945</v>
      </c>
      <c r="C112" s="832" t="s">
        <v>1642</v>
      </c>
      <c r="D112" s="803">
        <f>SUM(D113)/1000</f>
        <v>3500</v>
      </c>
      <c r="E112" s="834"/>
      <c r="F112" s="849"/>
      <c r="G112" s="849">
        <v>3500</v>
      </c>
      <c r="H112" s="849"/>
      <c r="I112" s="803">
        <f t="shared" si="3"/>
        <v>3500</v>
      </c>
      <c r="J112" s="834"/>
      <c r="K112" s="849"/>
      <c r="L112" s="849">
        <v>3500</v>
      </c>
      <c r="M112" s="849"/>
    </row>
    <row r="113" spans="1:13" s="822" customFormat="1" ht="48.9" hidden="1" x14ac:dyDescent="0.3">
      <c r="A113" s="801"/>
      <c r="B113" s="801"/>
      <c r="C113" s="802" t="s">
        <v>1643</v>
      </c>
      <c r="D113" s="803">
        <v>3500000</v>
      </c>
      <c r="E113" s="806" t="s">
        <v>1644</v>
      </c>
      <c r="F113" s="849"/>
      <c r="G113" s="849"/>
      <c r="H113" s="849"/>
      <c r="I113" s="803">
        <f t="shared" si="3"/>
        <v>0</v>
      </c>
      <c r="J113" s="806" t="s">
        <v>1644</v>
      </c>
      <c r="K113" s="849"/>
      <c r="L113" s="849"/>
      <c r="M113" s="849"/>
    </row>
    <row r="114" spans="1:13" s="822" customFormat="1" ht="18" customHeight="1" x14ac:dyDescent="0.3">
      <c r="A114" s="801">
        <v>5</v>
      </c>
      <c r="B114" s="801">
        <v>1946</v>
      </c>
      <c r="C114" s="832" t="s">
        <v>1645</v>
      </c>
      <c r="D114" s="803">
        <v>1000</v>
      </c>
      <c r="E114" s="834"/>
      <c r="F114" s="849"/>
      <c r="G114" s="849">
        <v>1000</v>
      </c>
      <c r="H114" s="849"/>
      <c r="I114" s="803">
        <f t="shared" si="3"/>
        <v>1000</v>
      </c>
      <c r="J114" s="834"/>
      <c r="K114" s="849"/>
      <c r="L114" s="849">
        <v>1000</v>
      </c>
      <c r="M114" s="849"/>
    </row>
    <row r="115" spans="1:13" s="822" customFormat="1" hidden="1" x14ac:dyDescent="0.3">
      <c r="A115" s="801"/>
      <c r="B115" s="801"/>
      <c r="C115" s="813"/>
      <c r="D115" s="803"/>
      <c r="E115" s="806"/>
      <c r="F115" s="849"/>
      <c r="G115" s="849"/>
      <c r="H115" s="849"/>
      <c r="I115" s="803">
        <f t="shared" si="3"/>
        <v>0</v>
      </c>
      <c r="J115" s="806"/>
      <c r="K115" s="849"/>
      <c r="L115" s="849"/>
      <c r="M115" s="849"/>
    </row>
    <row r="116" spans="1:13" s="822" customFormat="1" x14ac:dyDescent="0.3">
      <c r="A116" s="796" t="s">
        <v>1646</v>
      </c>
      <c r="B116" s="796"/>
      <c r="C116" s="797" t="s">
        <v>1647</v>
      </c>
      <c r="D116" s="798">
        <f>SUM(D117:D122)</f>
        <v>77000</v>
      </c>
      <c r="E116" s="799"/>
      <c r="F116" s="847">
        <f>SUM(F117:F122)</f>
        <v>0</v>
      </c>
      <c r="G116" s="847">
        <f>SUM(G117:G122)</f>
        <v>77000</v>
      </c>
      <c r="H116" s="847">
        <f>SUM(H117:H122)</f>
        <v>0</v>
      </c>
      <c r="I116" s="798">
        <f t="shared" si="3"/>
        <v>77000</v>
      </c>
      <c r="J116" s="799"/>
      <c r="K116" s="847">
        <f>SUM(K117:K122)</f>
        <v>0</v>
      </c>
      <c r="L116" s="847">
        <f>SUM(L117:L122)</f>
        <v>77000</v>
      </c>
      <c r="M116" s="847">
        <f>SUM(M117:M122)</f>
        <v>0</v>
      </c>
    </row>
    <row r="117" spans="1:13" s="822" customFormat="1" ht="18" customHeight="1" x14ac:dyDescent="0.3">
      <c r="A117" s="830"/>
      <c r="B117" s="801">
        <v>1947</v>
      </c>
      <c r="C117" s="813" t="s">
        <v>1648</v>
      </c>
      <c r="D117" s="803">
        <f>40000000/1000</f>
        <v>40000</v>
      </c>
      <c r="E117" s="806" t="s">
        <v>1649</v>
      </c>
      <c r="F117" s="849"/>
      <c r="G117" s="849">
        <v>40000</v>
      </c>
      <c r="H117" s="849"/>
      <c r="I117" s="803">
        <f t="shared" si="3"/>
        <v>40000</v>
      </c>
      <c r="J117" s="806" t="s">
        <v>1649</v>
      </c>
      <c r="K117" s="849"/>
      <c r="L117" s="849">
        <v>40000</v>
      </c>
      <c r="M117" s="849"/>
    </row>
    <row r="118" spans="1:13" s="822" customFormat="1" ht="18" customHeight="1" x14ac:dyDescent="0.25">
      <c r="A118" s="830"/>
      <c r="B118" s="801">
        <v>1948</v>
      </c>
      <c r="C118" s="813" t="s">
        <v>1650</v>
      </c>
      <c r="D118" s="803">
        <f>15000000/1000</f>
        <v>15000</v>
      </c>
      <c r="E118" s="833" t="s">
        <v>1651</v>
      </c>
      <c r="F118" s="849"/>
      <c r="G118" s="849">
        <v>15000</v>
      </c>
      <c r="H118" s="849"/>
      <c r="I118" s="803">
        <f t="shared" si="3"/>
        <v>15000</v>
      </c>
      <c r="J118" s="833" t="s">
        <v>1651</v>
      </c>
      <c r="K118" s="849"/>
      <c r="L118" s="849">
        <v>15000</v>
      </c>
      <c r="M118" s="849"/>
    </row>
    <row r="119" spans="1:13" s="822" customFormat="1" ht="18" customHeight="1" x14ac:dyDescent="0.25">
      <c r="A119" s="830"/>
      <c r="B119" s="801">
        <v>1949</v>
      </c>
      <c r="C119" s="813" t="s">
        <v>1652</v>
      </c>
      <c r="D119" s="803">
        <f>5000000/1000</f>
        <v>5000</v>
      </c>
      <c r="E119" s="833" t="s">
        <v>1653</v>
      </c>
      <c r="F119" s="849"/>
      <c r="G119" s="849">
        <v>5000</v>
      </c>
      <c r="H119" s="849"/>
      <c r="I119" s="803">
        <f t="shared" si="3"/>
        <v>5000</v>
      </c>
      <c r="J119" s="833" t="s">
        <v>1653</v>
      </c>
      <c r="K119" s="849"/>
      <c r="L119" s="849">
        <v>5000</v>
      </c>
      <c r="M119" s="849"/>
    </row>
    <row r="120" spans="1:13" s="822" customFormat="1" ht="18" customHeight="1" x14ac:dyDescent="0.3">
      <c r="A120" s="830"/>
      <c r="B120" s="801">
        <v>1950</v>
      </c>
      <c r="C120" s="813" t="s">
        <v>1654</v>
      </c>
      <c r="D120" s="803">
        <f>10000000/1000</f>
        <v>10000</v>
      </c>
      <c r="E120" s="806" t="s">
        <v>1655</v>
      </c>
      <c r="F120" s="849"/>
      <c r="G120" s="849">
        <v>10000</v>
      </c>
      <c r="H120" s="849"/>
      <c r="I120" s="803">
        <f t="shared" si="3"/>
        <v>10000</v>
      </c>
      <c r="J120" s="806" t="s">
        <v>1655</v>
      </c>
      <c r="K120" s="849"/>
      <c r="L120" s="849">
        <v>10000</v>
      </c>
      <c r="M120" s="849"/>
    </row>
    <row r="121" spans="1:13" s="822" customFormat="1" ht="18" customHeight="1" x14ac:dyDescent="0.3">
      <c r="A121" s="830"/>
      <c r="B121" s="801">
        <v>1951</v>
      </c>
      <c r="C121" s="813" t="s">
        <v>1656</v>
      </c>
      <c r="D121" s="803">
        <f>5000000/1000</f>
        <v>5000</v>
      </c>
      <c r="E121" s="806" t="s">
        <v>1657</v>
      </c>
      <c r="F121" s="849"/>
      <c r="G121" s="849">
        <v>5000</v>
      </c>
      <c r="H121" s="849"/>
      <c r="I121" s="803">
        <f t="shared" si="3"/>
        <v>5000</v>
      </c>
      <c r="J121" s="806" t="s">
        <v>1657</v>
      </c>
      <c r="K121" s="849"/>
      <c r="L121" s="849">
        <v>5000</v>
      </c>
      <c r="M121" s="849"/>
    </row>
    <row r="122" spans="1:13" s="822" customFormat="1" ht="18" customHeight="1" x14ac:dyDescent="0.3">
      <c r="A122" s="830"/>
      <c r="B122" s="801">
        <v>1952</v>
      </c>
      <c r="C122" s="813" t="s">
        <v>1658</v>
      </c>
      <c r="D122" s="803">
        <f>2000000/1000</f>
        <v>2000</v>
      </c>
      <c r="E122" s="806"/>
      <c r="F122" s="849"/>
      <c r="G122" s="849">
        <v>2000</v>
      </c>
      <c r="H122" s="849"/>
      <c r="I122" s="803">
        <f t="shared" si="3"/>
        <v>2000</v>
      </c>
      <c r="J122" s="806"/>
      <c r="K122" s="849"/>
      <c r="L122" s="849">
        <v>2000</v>
      </c>
      <c r="M122" s="849"/>
    </row>
    <row r="123" spans="1:13" x14ac:dyDescent="0.3">
      <c r="F123" s="849"/>
      <c r="G123" s="849"/>
      <c r="H123" s="849"/>
      <c r="I123" s="814">
        <f t="shared" si="3"/>
        <v>0</v>
      </c>
      <c r="K123" s="849"/>
      <c r="L123" s="849"/>
      <c r="M123" s="849"/>
    </row>
    <row r="124" spans="1:13" x14ac:dyDescent="0.3">
      <c r="A124" s="938" t="s">
        <v>1708</v>
      </c>
      <c r="B124" s="939"/>
      <c r="C124" s="940"/>
      <c r="D124" s="855">
        <f>+D4+D29+D55+D70+D81+D97+D100+D116</f>
        <v>1364262.5</v>
      </c>
      <c r="E124" s="856"/>
      <c r="F124" s="857">
        <f>+F4+F29+F55+F70+F81+F97+F100+F116</f>
        <v>26400</v>
      </c>
      <c r="G124" s="857">
        <f>+G4+G29+G55+G70+G81+G97+G100+G116</f>
        <v>904481</v>
      </c>
      <c r="H124" s="857">
        <f>+H4+H29+H55+H70+H81+H97+H100+H116</f>
        <v>433382</v>
      </c>
      <c r="I124" s="855">
        <f t="shared" si="3"/>
        <v>1630801</v>
      </c>
      <c r="J124" s="856"/>
      <c r="K124" s="857">
        <f>+K4+K29+K55+K70+K81+K97+K100+K116</f>
        <v>100512</v>
      </c>
      <c r="L124" s="857">
        <f>+L4+L29+L55+L70+L81+L97+L100+L116</f>
        <v>1121947</v>
      </c>
      <c r="M124" s="857">
        <f>+M4+M29+M55+M70+M81+M97+M100+M116</f>
        <v>408342</v>
      </c>
    </row>
    <row r="125" spans="1:13" x14ac:dyDescent="0.3">
      <c r="F125" s="849"/>
      <c r="G125" s="849"/>
      <c r="H125" s="849"/>
      <c r="I125" s="814">
        <f t="shared" si="3"/>
        <v>0</v>
      </c>
      <c r="L125" s="849"/>
      <c r="M125" s="849"/>
    </row>
    <row r="126" spans="1:13" x14ac:dyDescent="0.3">
      <c r="A126" s="796" t="s">
        <v>1709</v>
      </c>
      <c r="B126" s="796"/>
      <c r="C126" s="797" t="s">
        <v>1710</v>
      </c>
      <c r="D126" s="798">
        <f>+'[4]3A PH'!V45+'[4]4A Walla'!Q42+'[4]4B Nyitnikék'!Q42+'[4]4C Bóbita'!Q42+'[4]4D MMMH'!Q42+'[4]4E Könyvtár'!Q42+'[4]4F Segítő Kéz'!Q42+'[4]4G Szérüskert'!Q42+'[4]4H VG bev kiad'!Q42</f>
        <v>57756</v>
      </c>
      <c r="E126" s="799"/>
      <c r="F126" s="847"/>
      <c r="G126" s="847">
        <f>+'[4]3A PH'!V46+'[4]5 GSZNR fel'!Q13+'[4]5 GSZNR fel'!Q41+'[4]5 GSZNR fel'!Q55+'[4]5 GSZNR fel'!Q80+'[4]5 GSZNR fel'!Q91+'[4]5 GSZNR fel'!Q99+'[4]5 GSZNR fel'!Q123+'[4]5 GSZNR fel'!Q144+'[4]5 GSZNR fel'!Q155+'[4]5 GSZNR fel'!Q160+'[4]5 GSZNR fel'!Q170</f>
        <v>53400</v>
      </c>
      <c r="H126" s="847">
        <f>+'[4]5 GSZNR fel'!Q56</f>
        <v>4356</v>
      </c>
      <c r="I126" s="798">
        <f t="shared" si="3"/>
        <v>74471</v>
      </c>
      <c r="J126" s="799"/>
      <c r="K126" s="867"/>
      <c r="L126" s="847">
        <f>53400+5207+169+635+1270+6925+232+300+1113+454+410</f>
        <v>70115</v>
      </c>
      <c r="M126" s="847">
        <v>4356</v>
      </c>
    </row>
    <row r="127" spans="1:13" x14ac:dyDescent="0.3">
      <c r="I127" s="814">
        <f t="shared" si="3"/>
        <v>0</v>
      </c>
    </row>
    <row r="128" spans="1:13" x14ac:dyDescent="0.3">
      <c r="A128" s="938" t="s">
        <v>1711</v>
      </c>
      <c r="B128" s="939"/>
      <c r="C128" s="940"/>
      <c r="D128" s="855">
        <f>+D124+D126</f>
        <v>1422018.5</v>
      </c>
      <c r="F128" s="857">
        <f t="shared" ref="F128:H128" si="4">+F124+F126</f>
        <v>26400</v>
      </c>
      <c r="G128" s="857">
        <f t="shared" si="4"/>
        <v>957881</v>
      </c>
      <c r="H128" s="857">
        <f t="shared" si="4"/>
        <v>437738</v>
      </c>
      <c r="I128" s="855">
        <f t="shared" si="3"/>
        <v>1705272</v>
      </c>
      <c r="K128" s="869">
        <f t="shared" ref="K128:M128" si="5">+K124+K126</f>
        <v>100512</v>
      </c>
      <c r="L128" s="857">
        <f t="shared" si="5"/>
        <v>1192062</v>
      </c>
      <c r="M128" s="857">
        <f t="shared" si="5"/>
        <v>412698</v>
      </c>
    </row>
  </sheetData>
  <mergeCells count="4">
    <mergeCell ref="A1:E1"/>
    <mergeCell ref="B3:B4"/>
    <mergeCell ref="A124:C124"/>
    <mergeCell ref="A128:C12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1" orientation="portrait" r:id="rId1"/>
  <headerFooter>
    <oddHeader>&amp;L7.  melléklet a ...../2019. (.......)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06A3-D028-4367-B5B6-5235378652E2}">
  <sheetPr>
    <outlinePr summaryBelow="0"/>
  </sheetPr>
  <dimension ref="A1:H117"/>
  <sheetViews>
    <sheetView view="pageBreakPreview" zoomScale="90" zoomScaleNormal="80" zoomScaleSheetLayoutView="90" workbookViewId="0">
      <pane ySplit="3" topLeftCell="A4" activePane="bottomLeft" state="frozen"/>
      <selection pane="bottomLeft" activeCell="C52" sqref="C52"/>
    </sheetView>
  </sheetViews>
  <sheetFormatPr defaultColWidth="9.125" defaultRowHeight="16.3" x14ac:dyDescent="0.3"/>
  <cols>
    <col min="1" max="1" width="9.125" style="823"/>
    <col min="2" max="2" width="0" style="823" hidden="1" customWidth="1"/>
    <col min="3" max="3" width="63.75" style="813" customWidth="1"/>
    <col min="4" max="4" width="21.875" style="814" customWidth="1"/>
    <col min="5" max="5" width="60.875" style="806" hidden="1" customWidth="1"/>
    <col min="6" max="6" width="18.375" style="807" customWidth="1"/>
    <col min="7" max="7" width="9.125" style="807"/>
    <col min="8" max="8" width="17.125" style="807" customWidth="1"/>
    <col min="9" max="16384" width="9.125" style="807"/>
  </cols>
  <sheetData>
    <row r="1" spans="1:6" s="788" customFormat="1" ht="21.1" x14ac:dyDescent="0.25">
      <c r="A1" s="934" t="s">
        <v>1695</v>
      </c>
      <c r="B1" s="934"/>
      <c r="C1" s="934"/>
      <c r="D1" s="934"/>
      <c r="E1" s="935"/>
    </row>
    <row r="2" spans="1:6" s="792" customFormat="1" x14ac:dyDescent="0.25">
      <c r="A2" s="789"/>
      <c r="B2" s="789"/>
      <c r="C2" s="790"/>
      <c r="D2" s="791">
        <f>+D4+D25+D51+D65+D76+D92+D95+D111</f>
        <v>1351417.5</v>
      </c>
      <c r="E2" s="790"/>
    </row>
    <row r="3" spans="1:6" s="789" customFormat="1" x14ac:dyDescent="0.25">
      <c r="A3" s="793" t="s">
        <v>1536</v>
      </c>
      <c r="B3" s="936" t="s">
        <v>1537</v>
      </c>
      <c r="C3" s="794" t="s">
        <v>306</v>
      </c>
      <c r="D3" s="795" t="s">
        <v>1538</v>
      </c>
      <c r="E3" s="794" t="s">
        <v>1539</v>
      </c>
      <c r="F3" s="793" t="s">
        <v>1540</v>
      </c>
    </row>
    <row r="4" spans="1:6" s="792" customFormat="1" collapsed="1" x14ac:dyDescent="0.3">
      <c r="A4" s="796" t="s">
        <v>309</v>
      </c>
      <c r="B4" s="937"/>
      <c r="C4" s="797" t="s">
        <v>1144</v>
      </c>
      <c r="D4" s="798">
        <f>SUM(D5,D8,D11,D14,D16,D18,D19,D21,D22)</f>
        <v>176407.5</v>
      </c>
      <c r="E4" s="799"/>
      <c r="F4" s="800"/>
    </row>
    <row r="5" spans="1:6" s="792" customFormat="1" ht="18" customHeight="1" x14ac:dyDescent="0.3">
      <c r="A5" s="801">
        <v>1</v>
      </c>
      <c r="B5" s="801">
        <v>1901</v>
      </c>
      <c r="C5" s="802" t="s">
        <v>1541</v>
      </c>
      <c r="D5" s="803">
        <f>SUM(D6:D7)/1000</f>
        <v>51508</v>
      </c>
      <c r="E5" s="804"/>
      <c r="F5" s="805"/>
    </row>
    <row r="6" spans="1:6" ht="18" hidden="1" customHeight="1" x14ac:dyDescent="0.3">
      <c r="A6" s="801"/>
      <c r="B6" s="801"/>
      <c r="C6" s="802" t="s">
        <v>1542</v>
      </c>
      <c r="D6" s="803">
        <v>51000000</v>
      </c>
      <c r="E6" s="806" t="s">
        <v>1543</v>
      </c>
    </row>
    <row r="7" spans="1:6" ht="18" hidden="1" customHeight="1" x14ac:dyDescent="0.3">
      <c r="A7" s="801"/>
      <c r="B7" s="801"/>
      <c r="C7" s="802" t="s">
        <v>1544</v>
      </c>
      <c r="D7" s="803">
        <v>508000</v>
      </c>
    </row>
    <row r="8" spans="1:6" s="792" customFormat="1" ht="18" customHeight="1" x14ac:dyDescent="0.3">
      <c r="A8" s="801">
        <v>2</v>
      </c>
      <c r="B8" s="801">
        <v>1902</v>
      </c>
      <c r="C8" s="802" t="s">
        <v>1545</v>
      </c>
      <c r="D8" s="803">
        <f>SUM(D9:D10)/1000-23445</f>
        <v>11999.5</v>
      </c>
      <c r="E8" s="804"/>
      <c r="F8" s="805"/>
    </row>
    <row r="9" spans="1:6" ht="18" hidden="1" customHeight="1" x14ac:dyDescent="0.3">
      <c r="A9" s="801"/>
      <c r="B9" s="801"/>
      <c r="C9" s="802" t="s">
        <v>1546</v>
      </c>
      <c r="D9" s="803">
        <v>35000000</v>
      </c>
    </row>
    <row r="10" spans="1:6" ht="18" hidden="1" customHeight="1" x14ac:dyDescent="0.3">
      <c r="A10" s="801"/>
      <c r="B10" s="801"/>
      <c r="C10" s="802" t="s">
        <v>1544</v>
      </c>
      <c r="D10" s="803">
        <v>444500</v>
      </c>
    </row>
    <row r="11" spans="1:6" s="792" customFormat="1" ht="18" customHeight="1" x14ac:dyDescent="0.3">
      <c r="A11" s="801">
        <v>3</v>
      </c>
      <c r="B11" s="801">
        <v>1903</v>
      </c>
      <c r="C11" s="802" t="s">
        <v>1547</v>
      </c>
      <c r="D11" s="803">
        <f>SUM(D12:D13)/1000</f>
        <v>6000</v>
      </c>
      <c r="E11" s="804"/>
      <c r="F11" s="805"/>
    </row>
    <row r="12" spans="1:6" ht="18" hidden="1" customHeight="1" x14ac:dyDescent="0.3">
      <c r="A12" s="801"/>
      <c r="B12" s="801"/>
      <c r="C12" s="802" t="s">
        <v>1548</v>
      </c>
      <c r="D12" s="803">
        <v>4000000</v>
      </c>
      <c r="E12" s="806" t="s">
        <v>1549</v>
      </c>
    </row>
    <row r="13" spans="1:6" ht="18" hidden="1" customHeight="1" x14ac:dyDescent="0.3">
      <c r="A13" s="801"/>
      <c r="B13" s="801"/>
      <c r="C13" s="802" t="s">
        <v>1550</v>
      </c>
      <c r="D13" s="803">
        <v>2000000</v>
      </c>
      <c r="E13" s="806" t="s">
        <v>1551</v>
      </c>
    </row>
    <row r="14" spans="1:6" s="792" customFormat="1" ht="18" customHeight="1" x14ac:dyDescent="0.3">
      <c r="A14" s="801">
        <v>4</v>
      </c>
      <c r="B14" s="801">
        <v>1904</v>
      </c>
      <c r="C14" s="802" t="s">
        <v>1552</v>
      </c>
      <c r="D14" s="803">
        <f>SUM(D15)/1000</f>
        <v>1900</v>
      </c>
      <c r="E14" s="804"/>
      <c r="F14" s="805"/>
    </row>
    <row r="15" spans="1:6" ht="18" hidden="1" customHeight="1" x14ac:dyDescent="0.3">
      <c r="A15" s="801"/>
      <c r="B15" s="801"/>
      <c r="C15" s="802" t="s">
        <v>1553</v>
      </c>
      <c r="D15" s="803">
        <v>1900000</v>
      </c>
      <c r="E15" s="808" t="s">
        <v>1554</v>
      </c>
    </row>
    <row r="16" spans="1:6" s="792" customFormat="1" ht="18" hidden="1" customHeight="1" x14ac:dyDescent="0.3">
      <c r="A16" s="801">
        <v>5</v>
      </c>
      <c r="B16" s="801">
        <v>1905</v>
      </c>
      <c r="C16" s="802" t="s">
        <v>1555</v>
      </c>
      <c r="D16" s="803">
        <f>SUM(D17)/1000-40000</f>
        <v>0</v>
      </c>
      <c r="E16" s="809"/>
      <c r="F16" s="805"/>
    </row>
    <row r="17" spans="1:8" s="792" customFormat="1" ht="18" hidden="1" customHeight="1" x14ac:dyDescent="0.3">
      <c r="A17" s="801"/>
      <c r="B17" s="801"/>
      <c r="C17" s="802" t="s">
        <v>1553</v>
      </c>
      <c r="D17" s="803">
        <v>40000000</v>
      </c>
      <c r="E17" s="806" t="s">
        <v>1556</v>
      </c>
    </row>
    <row r="18" spans="1:8" s="792" customFormat="1" ht="18" hidden="1" customHeight="1" x14ac:dyDescent="0.3">
      <c r="A18" s="801">
        <v>6</v>
      </c>
      <c r="B18" s="801">
        <v>1906</v>
      </c>
      <c r="C18" s="802" t="s">
        <v>1682</v>
      </c>
      <c r="D18" s="803">
        <f>25000-25000</f>
        <v>0</v>
      </c>
      <c r="E18" s="806"/>
    </row>
    <row r="19" spans="1:8" s="812" customFormat="1" ht="18" customHeight="1" x14ac:dyDescent="0.25">
      <c r="A19" s="801">
        <v>5</v>
      </c>
      <c r="B19" s="801">
        <v>1907</v>
      </c>
      <c r="C19" s="802" t="s">
        <v>1557</v>
      </c>
      <c r="D19" s="803">
        <f>SUM(D20)/1000-35000</f>
        <v>45000</v>
      </c>
      <c r="E19" s="810" t="s">
        <v>1558</v>
      </c>
      <c r="F19" s="811"/>
    </row>
    <row r="20" spans="1:8" ht="18" hidden="1" customHeight="1" x14ac:dyDescent="0.25">
      <c r="A20" s="801"/>
      <c r="B20" s="801"/>
      <c r="C20" s="802" t="s">
        <v>1553</v>
      </c>
      <c r="D20" s="803">
        <v>80000000</v>
      </c>
      <c r="E20" s="813" t="s">
        <v>1559</v>
      </c>
    </row>
    <row r="21" spans="1:8" s="812" customFormat="1" ht="32.6" x14ac:dyDescent="0.25">
      <c r="A21" s="801">
        <v>6</v>
      </c>
      <c r="B21" s="801">
        <v>1908</v>
      </c>
      <c r="C21" s="802" t="s">
        <v>1560</v>
      </c>
      <c r="D21" s="803">
        <f>50000000/1000</f>
        <v>50000</v>
      </c>
      <c r="E21" s="810" t="s">
        <v>1558</v>
      </c>
      <c r="F21" s="811"/>
    </row>
    <row r="22" spans="1:8" s="812" customFormat="1" ht="18" customHeight="1" x14ac:dyDescent="0.25">
      <c r="A22" s="801">
        <v>7</v>
      </c>
      <c r="B22" s="801">
        <v>1909</v>
      </c>
      <c r="C22" s="802" t="s">
        <v>1561</v>
      </c>
      <c r="D22" s="803">
        <f>SUM(D23)/1000-15000</f>
        <v>10000</v>
      </c>
      <c r="E22" s="810" t="s">
        <v>1558</v>
      </c>
      <c r="F22" s="811"/>
    </row>
    <row r="23" spans="1:8" s="792" customFormat="1" ht="22.6" hidden="1" customHeight="1" x14ac:dyDescent="0.3">
      <c r="A23" s="789"/>
      <c r="B23" s="789"/>
      <c r="C23" s="813"/>
      <c r="D23" s="814">
        <v>25000000</v>
      </c>
      <c r="E23" s="815" t="s">
        <v>1562</v>
      </c>
    </row>
    <row r="24" spans="1:8" s="788" customFormat="1" hidden="1" x14ac:dyDescent="0.3">
      <c r="A24" s="816"/>
      <c r="B24" s="816"/>
      <c r="C24" s="817"/>
      <c r="D24" s="818"/>
      <c r="E24" s="819" t="s">
        <v>1563</v>
      </c>
    </row>
    <row r="25" spans="1:8" s="792" customFormat="1" ht="25.15" customHeight="1" x14ac:dyDescent="0.3">
      <c r="A25" s="796" t="s">
        <v>318</v>
      </c>
      <c r="B25" s="796"/>
      <c r="C25" s="797" t="s">
        <v>1697</v>
      </c>
      <c r="D25" s="798">
        <f>SUM(D26,D31,D33,D35,D37,D39,D41,D43,D45,D46,D47,D48,D49)</f>
        <v>420147</v>
      </c>
      <c r="E25" s="799"/>
      <c r="F25" s="800"/>
    </row>
    <row r="26" spans="1:8" s="792" customFormat="1" ht="18" hidden="1" customHeight="1" x14ac:dyDescent="0.3">
      <c r="A26" s="801">
        <v>1</v>
      </c>
      <c r="B26" s="801">
        <v>1910</v>
      </c>
      <c r="C26" s="802" t="s">
        <v>1564</v>
      </c>
      <c r="D26" s="803">
        <f>300000000/1000</f>
        <v>300000</v>
      </c>
      <c r="E26" s="804" t="s">
        <v>1565</v>
      </c>
      <c r="F26" s="805"/>
    </row>
    <row r="27" spans="1:8" ht="18" hidden="1" customHeight="1" x14ac:dyDescent="0.3">
      <c r="A27" s="801"/>
      <c r="B27" s="801"/>
      <c r="C27" s="802" t="s">
        <v>1553</v>
      </c>
      <c r="D27" s="803"/>
    </row>
    <row r="28" spans="1:8" ht="18" hidden="1" customHeight="1" x14ac:dyDescent="0.3">
      <c r="A28" s="801"/>
      <c r="B28" s="801"/>
      <c r="C28" s="802" t="s">
        <v>1566</v>
      </c>
      <c r="D28" s="803"/>
    </row>
    <row r="29" spans="1:8" ht="18" hidden="1" customHeight="1" x14ac:dyDescent="0.3">
      <c r="A29" s="801"/>
      <c r="B29" s="801"/>
      <c r="C29" s="802" t="s">
        <v>1544</v>
      </c>
      <c r="D29" s="803"/>
    </row>
    <row r="30" spans="1:8" ht="18" hidden="1" customHeight="1" x14ac:dyDescent="0.3">
      <c r="A30" s="801"/>
      <c r="B30" s="801"/>
      <c r="C30" s="802" t="s">
        <v>1567</v>
      </c>
      <c r="D30" s="803"/>
      <c r="F30" s="807">
        <v>12800000</v>
      </c>
    </row>
    <row r="31" spans="1:8" s="792" customFormat="1" ht="18" hidden="1" customHeight="1" x14ac:dyDescent="0.3">
      <c r="A31" s="801">
        <v>2</v>
      </c>
      <c r="B31" s="801">
        <v>1911</v>
      </c>
      <c r="C31" s="802" t="s">
        <v>1568</v>
      </c>
      <c r="D31" s="803">
        <f>SUM(D32)/1000</f>
        <v>20000</v>
      </c>
      <c r="E31" s="804"/>
      <c r="F31" s="805"/>
      <c r="H31" s="791">
        <f>SUM(D31,D33,D35,D37,D39,D41,D43,D45)</f>
        <v>61800</v>
      </c>
    </row>
    <row r="32" spans="1:8" s="820" customFormat="1" ht="18" hidden="1" customHeight="1" x14ac:dyDescent="0.3">
      <c r="A32" s="801"/>
      <c r="B32" s="801"/>
      <c r="C32" s="802" t="s">
        <v>1569</v>
      </c>
      <c r="D32" s="803">
        <v>20000000</v>
      </c>
      <c r="E32" s="815"/>
    </row>
    <row r="33" spans="1:6" s="792" customFormat="1" ht="18" hidden="1" customHeight="1" x14ac:dyDescent="0.3">
      <c r="A33" s="801">
        <v>3</v>
      </c>
      <c r="B33" s="801">
        <v>1912</v>
      </c>
      <c r="C33" s="802" t="s">
        <v>1570</v>
      </c>
      <c r="D33" s="803">
        <f>SUM(D34)/1000</f>
        <v>5000</v>
      </c>
      <c r="E33" s="804"/>
      <c r="F33" s="805"/>
    </row>
    <row r="34" spans="1:6" s="820" customFormat="1" ht="18" hidden="1" customHeight="1" x14ac:dyDescent="0.3">
      <c r="A34" s="801"/>
      <c r="B34" s="801"/>
      <c r="C34" s="802" t="s">
        <v>1571</v>
      </c>
      <c r="D34" s="803">
        <v>5000000</v>
      </c>
      <c r="E34" s="815"/>
    </row>
    <row r="35" spans="1:6" s="792" customFormat="1" ht="18" hidden="1" customHeight="1" x14ac:dyDescent="0.3">
      <c r="A35" s="801">
        <v>4</v>
      </c>
      <c r="B35" s="801">
        <v>1913</v>
      </c>
      <c r="C35" s="802" t="s">
        <v>1572</v>
      </c>
      <c r="D35" s="803">
        <f>SUM(D36)/1000</f>
        <v>5000</v>
      </c>
      <c r="E35" s="804"/>
      <c r="F35" s="805"/>
    </row>
    <row r="36" spans="1:6" s="822" customFormat="1" ht="18" hidden="1" customHeight="1" x14ac:dyDescent="0.3">
      <c r="A36" s="801"/>
      <c r="B36" s="801"/>
      <c r="C36" s="802" t="s">
        <v>1571</v>
      </c>
      <c r="D36" s="803">
        <v>5000000</v>
      </c>
      <c r="E36" s="821"/>
    </row>
    <row r="37" spans="1:6" s="792" customFormat="1" ht="18" hidden="1" customHeight="1" x14ac:dyDescent="0.3">
      <c r="A37" s="801">
        <v>5</v>
      </c>
      <c r="B37" s="801">
        <v>1914</v>
      </c>
      <c r="C37" s="802" t="s">
        <v>1573</v>
      </c>
      <c r="D37" s="803">
        <f>SUM(D38)/1000</f>
        <v>5000</v>
      </c>
      <c r="E37" s="804"/>
      <c r="F37" s="805"/>
    </row>
    <row r="38" spans="1:6" s="822" customFormat="1" ht="18" hidden="1" customHeight="1" x14ac:dyDescent="0.3">
      <c r="A38" s="801"/>
      <c r="B38" s="801"/>
      <c r="C38" s="802" t="s">
        <v>1571</v>
      </c>
      <c r="D38" s="803">
        <v>5000000</v>
      </c>
      <c r="E38" s="821"/>
    </row>
    <row r="39" spans="1:6" s="792" customFormat="1" ht="18" hidden="1" customHeight="1" x14ac:dyDescent="0.3">
      <c r="A39" s="801">
        <v>6</v>
      </c>
      <c r="B39" s="801">
        <v>1915</v>
      </c>
      <c r="C39" s="802" t="s">
        <v>1574</v>
      </c>
      <c r="D39" s="803">
        <f>SUM(D40)/1000</f>
        <v>5000</v>
      </c>
      <c r="E39" s="804"/>
      <c r="F39" s="805"/>
    </row>
    <row r="40" spans="1:6" s="822" customFormat="1" ht="18" hidden="1" customHeight="1" x14ac:dyDescent="0.3">
      <c r="A40" s="801"/>
      <c r="B40" s="801"/>
      <c r="C40" s="802" t="s">
        <v>1571</v>
      </c>
      <c r="D40" s="803">
        <v>5000000</v>
      </c>
      <c r="E40" s="821"/>
    </row>
    <row r="41" spans="1:6" ht="18" hidden="1" customHeight="1" x14ac:dyDescent="0.3">
      <c r="A41" s="801">
        <v>7</v>
      </c>
      <c r="B41" s="801">
        <v>1916</v>
      </c>
      <c r="C41" s="815" t="s">
        <v>1575</v>
      </c>
      <c r="D41" s="803">
        <f>SUM(D42:D42)/1000</f>
        <v>7200</v>
      </c>
      <c r="E41" s="804"/>
      <c r="F41" s="805"/>
    </row>
    <row r="42" spans="1:6" ht="18" hidden="1" customHeight="1" x14ac:dyDescent="0.3">
      <c r="A42" s="801"/>
      <c r="B42" s="801"/>
      <c r="C42" s="815" t="s">
        <v>1576</v>
      </c>
      <c r="D42" s="803">
        <v>7200000</v>
      </c>
      <c r="E42" s="806" t="s">
        <v>1577</v>
      </c>
    </row>
    <row r="43" spans="1:6" ht="18" hidden="1" customHeight="1" x14ac:dyDescent="0.3">
      <c r="A43" s="801">
        <v>8</v>
      </c>
      <c r="B43" s="801">
        <v>1917</v>
      </c>
      <c r="C43" s="815" t="s">
        <v>1578</v>
      </c>
      <c r="D43" s="803">
        <f>SUM(D44)/1000</f>
        <v>2000</v>
      </c>
      <c r="E43" s="804"/>
      <c r="F43" s="805"/>
    </row>
    <row r="44" spans="1:6" ht="18" hidden="1" customHeight="1" x14ac:dyDescent="0.3">
      <c r="A44" s="801"/>
      <c r="B44" s="801"/>
      <c r="C44" s="815" t="s">
        <v>1579</v>
      </c>
      <c r="D44" s="803">
        <v>2000000</v>
      </c>
      <c r="E44" s="806" t="s">
        <v>1580</v>
      </c>
    </row>
    <row r="45" spans="1:6" s="792" customFormat="1" ht="18" hidden="1" customHeight="1" x14ac:dyDescent="0.3">
      <c r="A45" s="801">
        <v>9</v>
      </c>
      <c r="B45" s="801">
        <v>1918</v>
      </c>
      <c r="C45" s="815" t="s">
        <v>1581</v>
      </c>
      <c r="D45" s="803">
        <v>12600</v>
      </c>
      <c r="E45" s="804"/>
      <c r="F45" s="805"/>
    </row>
    <row r="46" spans="1:6" hidden="1" x14ac:dyDescent="0.3">
      <c r="A46" s="823">
        <v>10</v>
      </c>
      <c r="B46" s="823">
        <v>1919</v>
      </c>
      <c r="C46" s="806" t="s">
        <v>1683</v>
      </c>
      <c r="D46" s="814">
        <v>20000</v>
      </c>
      <c r="E46" s="824" t="s">
        <v>1582</v>
      </c>
    </row>
    <row r="47" spans="1:6" s="825" customFormat="1" hidden="1" x14ac:dyDescent="0.3">
      <c r="A47" s="823">
        <v>11</v>
      </c>
      <c r="B47" s="823">
        <v>1920</v>
      </c>
      <c r="C47" s="806" t="s">
        <v>1684</v>
      </c>
      <c r="D47" s="814">
        <v>18347</v>
      </c>
      <c r="E47" s="824"/>
    </row>
    <row r="48" spans="1:6" s="825" customFormat="1" hidden="1" x14ac:dyDescent="0.3">
      <c r="A48" s="823">
        <v>12</v>
      </c>
      <c r="B48" s="823">
        <v>1921</v>
      </c>
      <c r="C48" s="806" t="s">
        <v>1685</v>
      </c>
      <c r="D48" s="814">
        <v>10000</v>
      </c>
      <c r="E48" s="824" t="s">
        <v>1583</v>
      </c>
    </row>
    <row r="49" spans="1:6" s="825" customFormat="1" hidden="1" x14ac:dyDescent="0.3">
      <c r="A49" s="823">
        <v>13</v>
      </c>
      <c r="B49" s="823">
        <v>1922</v>
      </c>
      <c r="C49" s="806" t="s">
        <v>1686</v>
      </c>
      <c r="D49" s="814">
        <v>10000</v>
      </c>
      <c r="E49" s="824"/>
    </row>
    <row r="50" spans="1:6" s="825" customFormat="1" x14ac:dyDescent="0.3">
      <c r="A50" s="823"/>
      <c r="B50" s="823"/>
      <c r="C50" s="806"/>
      <c r="D50" s="814"/>
      <c r="E50" s="824"/>
    </row>
    <row r="51" spans="1:6" s="792" customFormat="1" ht="28.55" customHeight="1" x14ac:dyDescent="0.3">
      <c r="A51" s="796" t="s">
        <v>328</v>
      </c>
      <c r="B51" s="796"/>
      <c r="C51" s="797" t="s">
        <v>1584</v>
      </c>
      <c r="D51" s="798">
        <f>SUM(D52,D57,D60,D63,D64)</f>
        <v>304128</v>
      </c>
      <c r="E51" s="799"/>
      <c r="F51" s="800"/>
    </row>
    <row r="52" spans="1:6" s="792" customFormat="1" ht="18" customHeight="1" x14ac:dyDescent="0.25">
      <c r="A52" s="801">
        <v>1</v>
      </c>
      <c r="B52" s="801">
        <v>1923</v>
      </c>
      <c r="C52" s="802" t="s">
        <v>1585</v>
      </c>
      <c r="D52" s="803">
        <f>SUM(D53:D56)/1000</f>
        <v>199000</v>
      </c>
      <c r="E52" s="826"/>
      <c r="F52" s="805"/>
    </row>
    <row r="53" spans="1:6" ht="18" hidden="1" customHeight="1" x14ac:dyDescent="0.3">
      <c r="A53" s="801"/>
      <c r="B53" s="801"/>
      <c r="C53" s="802" t="s">
        <v>1553</v>
      </c>
      <c r="D53" s="803">
        <v>150000000</v>
      </c>
    </row>
    <row r="54" spans="1:6" ht="18" hidden="1" customHeight="1" x14ac:dyDescent="0.3">
      <c r="A54" s="801"/>
      <c r="B54" s="801"/>
      <c r="C54" s="802" t="s">
        <v>1566</v>
      </c>
      <c r="D54" s="803">
        <v>1500000</v>
      </c>
    </row>
    <row r="55" spans="1:6" ht="18" hidden="1" customHeight="1" x14ac:dyDescent="0.3">
      <c r="A55" s="801"/>
      <c r="B55" s="801"/>
      <c r="C55" s="802" t="s">
        <v>1586</v>
      </c>
      <c r="D55" s="803">
        <v>1500000</v>
      </c>
    </row>
    <row r="56" spans="1:6" ht="18" hidden="1" customHeight="1" x14ac:dyDescent="0.3">
      <c r="A56" s="801"/>
      <c r="B56" s="801"/>
      <c r="C56" s="802" t="s">
        <v>1587</v>
      </c>
      <c r="D56" s="803">
        <v>46000000</v>
      </c>
      <c r="E56" s="806" t="s">
        <v>1588</v>
      </c>
    </row>
    <row r="57" spans="1:6" ht="18" customHeight="1" x14ac:dyDescent="0.3">
      <c r="A57" s="801">
        <v>2</v>
      </c>
      <c r="B57" s="801">
        <v>1924</v>
      </c>
      <c r="C57" s="802" t="s">
        <v>1589</v>
      </c>
      <c r="D57" s="803">
        <f>SUM(D58:D59)/1000</f>
        <v>15000</v>
      </c>
      <c r="E57" s="827"/>
      <c r="F57" s="828"/>
    </row>
    <row r="58" spans="1:6" ht="18" hidden="1" customHeight="1" x14ac:dyDescent="0.3">
      <c r="A58" s="801"/>
      <c r="B58" s="801"/>
      <c r="C58" s="802" t="s">
        <v>1590</v>
      </c>
      <c r="D58" s="803">
        <v>7742000</v>
      </c>
      <c r="E58" s="806" t="s">
        <v>1591</v>
      </c>
    </row>
    <row r="59" spans="1:6" ht="18" hidden="1" customHeight="1" x14ac:dyDescent="0.3">
      <c r="A59" s="801"/>
      <c r="B59" s="801"/>
      <c r="C59" s="802" t="s">
        <v>1592</v>
      </c>
      <c r="D59" s="803">
        <v>7258000</v>
      </c>
      <c r="E59" s="806" t="s">
        <v>1593</v>
      </c>
    </row>
    <row r="60" spans="1:6" s="792" customFormat="1" ht="18" customHeight="1" x14ac:dyDescent="0.3">
      <c r="A60" s="801">
        <v>3</v>
      </c>
      <c r="B60" s="801">
        <v>1925</v>
      </c>
      <c r="C60" s="802" t="s">
        <v>1594</v>
      </c>
      <c r="D60" s="803">
        <f>SUM(D61:D62)/1000</f>
        <v>6600</v>
      </c>
      <c r="E60" s="804"/>
      <c r="F60" s="805"/>
    </row>
    <row r="61" spans="1:6" ht="18" hidden="1" customHeight="1" x14ac:dyDescent="0.3">
      <c r="A61" s="801"/>
      <c r="B61" s="801"/>
      <c r="C61" s="802" t="s">
        <v>1595</v>
      </c>
      <c r="D61" s="803">
        <v>1600000</v>
      </c>
    </row>
    <row r="62" spans="1:6" ht="18" hidden="1" customHeight="1" x14ac:dyDescent="0.3">
      <c r="A62" s="801"/>
      <c r="B62" s="801"/>
      <c r="C62" s="802" t="s">
        <v>1596</v>
      </c>
      <c r="D62" s="803">
        <v>5000000</v>
      </c>
    </row>
    <row r="63" spans="1:6" s="792" customFormat="1" ht="18" customHeight="1" x14ac:dyDescent="0.3">
      <c r="A63" s="801">
        <v>4</v>
      </c>
      <c r="B63" s="801">
        <v>1926</v>
      </c>
      <c r="C63" s="802" t="s">
        <v>1597</v>
      </c>
      <c r="D63" s="803">
        <v>33528</v>
      </c>
      <c r="E63" s="804"/>
      <c r="F63" s="805"/>
    </row>
    <row r="64" spans="1:6" x14ac:dyDescent="0.25">
      <c r="A64" s="823">
        <v>5</v>
      </c>
      <c r="B64" s="823">
        <v>1927</v>
      </c>
      <c r="C64" s="807" t="s">
        <v>1687</v>
      </c>
      <c r="D64" s="814">
        <v>50000</v>
      </c>
      <c r="E64" s="813" t="s">
        <v>1598</v>
      </c>
    </row>
    <row r="65" spans="1:6" s="792" customFormat="1" x14ac:dyDescent="0.3">
      <c r="A65" s="796" t="s">
        <v>1136</v>
      </c>
      <c r="B65" s="796"/>
      <c r="C65" s="797" t="s">
        <v>1146</v>
      </c>
      <c r="D65" s="798">
        <f>SUM(D66,D68,D70,D72,D74)</f>
        <v>69745</v>
      </c>
      <c r="E65" s="799"/>
      <c r="F65" s="800"/>
    </row>
    <row r="66" spans="1:6" s="792" customFormat="1" ht="18" customHeight="1" x14ac:dyDescent="0.3">
      <c r="A66" s="801">
        <v>1</v>
      </c>
      <c r="B66" s="801">
        <v>1928</v>
      </c>
      <c r="C66" s="802" t="s">
        <v>1599</v>
      </c>
      <c r="D66" s="803">
        <f>6500000/1000</f>
        <v>6500</v>
      </c>
      <c r="E66" s="804"/>
      <c r="F66" s="805"/>
    </row>
    <row r="67" spans="1:6" ht="18" hidden="1" customHeight="1" x14ac:dyDescent="0.3">
      <c r="A67" s="801"/>
      <c r="B67" s="801"/>
      <c r="C67" s="802" t="s">
        <v>1553</v>
      </c>
      <c r="D67" s="803"/>
      <c r="E67" s="806" t="s">
        <v>1600</v>
      </c>
    </row>
    <row r="68" spans="1:6" s="792" customFormat="1" ht="18" customHeight="1" x14ac:dyDescent="0.3">
      <c r="A68" s="801">
        <v>2</v>
      </c>
      <c r="B68" s="801">
        <v>1929</v>
      </c>
      <c r="C68" s="802" t="s">
        <v>1601</v>
      </c>
      <c r="D68" s="803">
        <f>SUM(D69)/1000</f>
        <v>3500</v>
      </c>
      <c r="E68" s="804"/>
      <c r="F68" s="805"/>
    </row>
    <row r="69" spans="1:6" ht="18" hidden="1" customHeight="1" x14ac:dyDescent="0.3">
      <c r="A69" s="801"/>
      <c r="B69" s="801"/>
      <c r="C69" s="802" t="s">
        <v>1553</v>
      </c>
      <c r="D69" s="803">
        <v>3500000</v>
      </c>
      <c r="E69" s="815" t="s">
        <v>1549</v>
      </c>
    </row>
    <row r="70" spans="1:6" ht="18" customHeight="1" x14ac:dyDescent="0.3">
      <c r="A70" s="801">
        <v>3</v>
      </c>
      <c r="B70" s="801">
        <v>1930</v>
      </c>
      <c r="C70" s="802" t="s">
        <v>1602</v>
      </c>
      <c r="D70" s="803">
        <f>SUM(D71)/1000</f>
        <v>13000</v>
      </c>
      <c r="E70" s="804"/>
      <c r="F70" s="805"/>
    </row>
    <row r="71" spans="1:6" ht="18" hidden="1" customHeight="1" x14ac:dyDescent="0.3">
      <c r="A71" s="801"/>
      <c r="B71" s="801"/>
      <c r="C71" s="802" t="s">
        <v>1553</v>
      </c>
      <c r="D71" s="803">
        <v>13000000</v>
      </c>
      <c r="E71" s="815" t="s">
        <v>1603</v>
      </c>
    </row>
    <row r="72" spans="1:6" ht="18" customHeight="1" x14ac:dyDescent="0.3">
      <c r="A72" s="801">
        <v>4</v>
      </c>
      <c r="B72" s="801">
        <v>1931</v>
      </c>
      <c r="C72" s="802" t="s">
        <v>1604</v>
      </c>
      <c r="D72" s="803">
        <v>18300</v>
      </c>
      <c r="E72" s="829" t="s">
        <v>1605</v>
      </c>
      <c r="F72" s="805"/>
    </row>
    <row r="73" spans="1:6" ht="18" hidden="1" customHeight="1" x14ac:dyDescent="0.3">
      <c r="A73" s="801"/>
      <c r="B73" s="801"/>
      <c r="C73" s="802" t="s">
        <v>1553</v>
      </c>
      <c r="D73" s="803">
        <v>8000000</v>
      </c>
      <c r="E73" s="815" t="s">
        <v>1606</v>
      </c>
    </row>
    <row r="74" spans="1:6" ht="18" customHeight="1" x14ac:dyDescent="0.3">
      <c r="A74" s="801">
        <v>5</v>
      </c>
      <c r="B74" s="801">
        <v>1932</v>
      </c>
      <c r="C74" s="802" t="s">
        <v>1688</v>
      </c>
      <c r="D74" s="803">
        <v>28445</v>
      </c>
      <c r="E74" s="804"/>
      <c r="F74" s="805"/>
    </row>
    <row r="75" spans="1:6" hidden="1" x14ac:dyDescent="0.3">
      <c r="D75" s="814">
        <v>9500000</v>
      </c>
      <c r="E75" s="815" t="s">
        <v>1607</v>
      </c>
    </row>
    <row r="76" spans="1:6" s="792" customFormat="1" x14ac:dyDescent="0.3">
      <c r="A76" s="796" t="s">
        <v>1183</v>
      </c>
      <c r="B76" s="796"/>
      <c r="C76" s="797" t="s">
        <v>1608</v>
      </c>
      <c r="D76" s="798">
        <f>SUM(D77,D79,D81,D82,D84,D86,D88,D89,D90)</f>
        <v>155900</v>
      </c>
      <c r="E76" s="799"/>
      <c r="F76" s="800"/>
    </row>
    <row r="77" spans="1:6" s="792" customFormat="1" ht="18" customHeight="1" x14ac:dyDescent="0.3">
      <c r="A77" s="801">
        <v>1</v>
      </c>
      <c r="B77" s="801">
        <v>1933</v>
      </c>
      <c r="C77" s="802" t="s">
        <v>1609</v>
      </c>
      <c r="D77" s="803">
        <f>SUM(D78)/1000</f>
        <v>9000</v>
      </c>
      <c r="E77" s="804"/>
      <c r="F77" s="805"/>
    </row>
    <row r="78" spans="1:6" s="820" customFormat="1" hidden="1" x14ac:dyDescent="0.3">
      <c r="A78" s="801"/>
      <c r="B78" s="801"/>
      <c r="C78" s="802" t="s">
        <v>1610</v>
      </c>
      <c r="D78" s="803">
        <v>9000000</v>
      </c>
      <c r="E78" s="815"/>
    </row>
    <row r="79" spans="1:6" s="820" customFormat="1" ht="18" customHeight="1" x14ac:dyDescent="0.3">
      <c r="A79" s="801">
        <v>2</v>
      </c>
      <c r="B79" s="801">
        <v>1934</v>
      </c>
      <c r="C79" s="802" t="s">
        <v>1611</v>
      </c>
      <c r="D79" s="803">
        <f>SUM(D80)/1000</f>
        <v>12000</v>
      </c>
      <c r="E79" s="804"/>
      <c r="F79" s="805"/>
    </row>
    <row r="80" spans="1:6" s="820" customFormat="1" hidden="1" x14ac:dyDescent="0.3">
      <c r="A80" s="801"/>
      <c r="B80" s="801"/>
      <c r="C80" s="802" t="s">
        <v>1553</v>
      </c>
      <c r="D80" s="803">
        <v>12000000</v>
      </c>
      <c r="E80" s="815" t="s">
        <v>1612</v>
      </c>
    </row>
    <row r="81" spans="1:6" s="822" customFormat="1" ht="18" customHeight="1" x14ac:dyDescent="0.3">
      <c r="A81" s="801">
        <v>3</v>
      </c>
      <c r="B81" s="801">
        <v>1935</v>
      </c>
      <c r="C81" s="802" t="s">
        <v>1613</v>
      </c>
      <c r="D81" s="803">
        <v>2500</v>
      </c>
      <c r="E81" s="804"/>
      <c r="F81" s="805"/>
    </row>
    <row r="82" spans="1:6" s="822" customFormat="1" ht="18" customHeight="1" x14ac:dyDescent="0.3">
      <c r="A82" s="801">
        <v>4</v>
      </c>
      <c r="B82" s="801">
        <v>1936</v>
      </c>
      <c r="C82" s="802" t="s">
        <v>1614</v>
      </c>
      <c r="D82" s="803">
        <v>3500</v>
      </c>
      <c r="E82" s="804"/>
      <c r="F82" s="805"/>
    </row>
    <row r="83" spans="1:6" s="820" customFormat="1" hidden="1" x14ac:dyDescent="0.3">
      <c r="A83" s="801"/>
      <c r="B83" s="801"/>
      <c r="C83" s="802" t="s">
        <v>1542</v>
      </c>
      <c r="D83" s="803"/>
      <c r="E83" s="806"/>
    </row>
    <row r="84" spans="1:6" s="822" customFormat="1" ht="18" customHeight="1" x14ac:dyDescent="0.3">
      <c r="A84" s="801">
        <v>5</v>
      </c>
      <c r="B84" s="801">
        <v>1937</v>
      </c>
      <c r="C84" s="802" t="s">
        <v>1615</v>
      </c>
      <c r="D84" s="803">
        <f>SUM(D85)/1000</f>
        <v>900</v>
      </c>
      <c r="E84" s="804"/>
      <c r="F84" s="805"/>
    </row>
    <row r="85" spans="1:6" s="820" customFormat="1" hidden="1" x14ac:dyDescent="0.3">
      <c r="A85" s="801"/>
      <c r="B85" s="801"/>
      <c r="C85" s="802" t="s">
        <v>1553</v>
      </c>
      <c r="D85" s="803">
        <v>900000</v>
      </c>
      <c r="E85" s="806" t="s">
        <v>1616</v>
      </c>
    </row>
    <row r="86" spans="1:6" s="822" customFormat="1" ht="18" customHeight="1" x14ac:dyDescent="0.3">
      <c r="A86" s="801">
        <v>6</v>
      </c>
      <c r="B86" s="801">
        <v>1938</v>
      </c>
      <c r="C86" s="802" t="s">
        <v>1617</v>
      </c>
      <c r="D86" s="803">
        <v>14000</v>
      </c>
      <c r="E86" s="804"/>
      <c r="F86" s="805"/>
    </row>
    <row r="87" spans="1:6" s="820" customFormat="1" ht="32.6" hidden="1" x14ac:dyDescent="0.3">
      <c r="A87" s="801"/>
      <c r="B87" s="801"/>
      <c r="C87" s="802" t="s">
        <v>1553</v>
      </c>
      <c r="D87" s="803"/>
      <c r="E87" s="806" t="s">
        <v>1618</v>
      </c>
    </row>
    <row r="88" spans="1:6" s="820" customFormat="1" ht="18" customHeight="1" x14ac:dyDescent="0.3">
      <c r="A88" s="801">
        <v>7</v>
      </c>
      <c r="B88" s="801">
        <v>1939</v>
      </c>
      <c r="C88" s="802" t="s">
        <v>1619</v>
      </c>
      <c r="D88" s="803">
        <v>9000</v>
      </c>
      <c r="E88" s="804"/>
      <c r="F88" s="805"/>
    </row>
    <row r="89" spans="1:6" s="820" customFormat="1" ht="18" customHeight="1" x14ac:dyDescent="0.3">
      <c r="A89" s="801">
        <v>8</v>
      </c>
      <c r="B89" s="801">
        <v>1940</v>
      </c>
      <c r="C89" s="802" t="s">
        <v>1689</v>
      </c>
      <c r="D89" s="803">
        <v>100000</v>
      </c>
      <c r="E89" s="804"/>
      <c r="F89" s="805"/>
    </row>
    <row r="90" spans="1:6" s="820" customFormat="1" ht="18" customHeight="1" x14ac:dyDescent="0.3">
      <c r="A90" s="801">
        <v>9</v>
      </c>
      <c r="B90" s="801">
        <v>1941</v>
      </c>
      <c r="C90" s="802" t="s">
        <v>1690</v>
      </c>
      <c r="D90" s="803">
        <v>5000</v>
      </c>
      <c r="E90" s="804"/>
      <c r="F90" s="805"/>
    </row>
    <row r="91" spans="1:6" s="820" customFormat="1" hidden="1" x14ac:dyDescent="0.3">
      <c r="A91" s="801"/>
      <c r="B91" s="801"/>
      <c r="C91" s="802"/>
      <c r="D91" s="803"/>
      <c r="E91" s="806"/>
    </row>
    <row r="92" spans="1:6" s="792" customFormat="1" x14ac:dyDescent="0.3">
      <c r="A92" s="796" t="s">
        <v>1184</v>
      </c>
      <c r="B92" s="796"/>
      <c r="C92" s="797" t="s">
        <v>1620</v>
      </c>
      <c r="D92" s="798">
        <f>SUM(D93:D94)</f>
        <v>113090</v>
      </c>
      <c r="E92" s="799"/>
      <c r="F92" s="800"/>
    </row>
    <row r="93" spans="1:6" s="792" customFormat="1" x14ac:dyDescent="0.3">
      <c r="A93" s="830"/>
      <c r="B93" s="830"/>
      <c r="C93" s="802" t="s">
        <v>1000</v>
      </c>
      <c r="D93" s="803">
        <f>+'2E VÉA'!F29</f>
        <v>88980</v>
      </c>
      <c r="E93" s="799"/>
      <c r="F93" s="800"/>
    </row>
    <row r="94" spans="1:6" s="822" customFormat="1" x14ac:dyDescent="0.3">
      <c r="A94" s="830"/>
      <c r="B94" s="830"/>
      <c r="C94" s="802" t="s">
        <v>1696</v>
      </c>
      <c r="D94" s="803">
        <v>24110</v>
      </c>
      <c r="E94" s="821"/>
    </row>
    <row r="95" spans="1:6" ht="25.15" customHeight="1" x14ac:dyDescent="0.3">
      <c r="A95" s="796" t="s">
        <v>1621</v>
      </c>
      <c r="B95" s="796"/>
      <c r="C95" s="797" t="s">
        <v>1622</v>
      </c>
      <c r="D95" s="798">
        <f>SUM(D96,D99,D101,D107,D109)</f>
        <v>35000</v>
      </c>
      <c r="E95" s="799"/>
      <c r="F95" s="800"/>
    </row>
    <row r="96" spans="1:6" ht="18" customHeight="1" x14ac:dyDescent="0.3">
      <c r="A96" s="801">
        <v>1</v>
      </c>
      <c r="B96" s="801">
        <v>1942</v>
      </c>
      <c r="C96" s="802" t="s">
        <v>1623</v>
      </c>
      <c r="D96" s="803">
        <f>SUM(D97:D98)/1000</f>
        <v>4000</v>
      </c>
      <c r="E96" s="804"/>
      <c r="F96" s="805"/>
    </row>
    <row r="97" spans="1:6" ht="114.15" hidden="1" x14ac:dyDescent="0.3">
      <c r="A97" s="801"/>
      <c r="B97" s="801"/>
      <c r="C97" s="802" t="s">
        <v>1624</v>
      </c>
      <c r="D97" s="803">
        <v>2000000</v>
      </c>
      <c r="E97" s="806" t="s">
        <v>1625</v>
      </c>
    </row>
    <row r="98" spans="1:6" ht="130.44999999999999" hidden="1" x14ac:dyDescent="0.25">
      <c r="A98" s="801"/>
      <c r="B98" s="801"/>
      <c r="C98" s="802" t="s">
        <v>1626</v>
      </c>
      <c r="D98" s="803">
        <v>2000000</v>
      </c>
      <c r="E98" s="831" t="s">
        <v>1627</v>
      </c>
    </row>
    <row r="99" spans="1:6" s="792" customFormat="1" ht="18" customHeight="1" x14ac:dyDescent="0.3">
      <c r="A99" s="801">
        <v>2</v>
      </c>
      <c r="B99" s="801">
        <v>1943</v>
      </c>
      <c r="C99" s="802" t="s">
        <v>1628</v>
      </c>
      <c r="D99" s="803">
        <f>SUM(D100)/1000</f>
        <v>1500</v>
      </c>
      <c r="E99" s="804"/>
      <c r="F99" s="805"/>
    </row>
    <row r="100" spans="1:6" s="822" customFormat="1" ht="65.25" hidden="1" x14ac:dyDescent="0.3">
      <c r="A100" s="801"/>
      <c r="B100" s="801"/>
      <c r="C100" s="802" t="s">
        <v>1629</v>
      </c>
      <c r="D100" s="803">
        <v>1500000</v>
      </c>
      <c r="E100" s="806" t="s">
        <v>1630</v>
      </c>
    </row>
    <row r="101" spans="1:6" s="822" customFormat="1" ht="18" customHeight="1" x14ac:dyDescent="0.3">
      <c r="A101" s="801">
        <v>3</v>
      </c>
      <c r="B101" s="801">
        <v>1944</v>
      </c>
      <c r="C101" s="832" t="s">
        <v>1631</v>
      </c>
      <c r="D101" s="803">
        <v>25000</v>
      </c>
      <c r="E101" s="827"/>
      <c r="F101" s="805"/>
    </row>
    <row r="102" spans="1:6" s="822" customFormat="1" ht="32.6" hidden="1" x14ac:dyDescent="0.3">
      <c r="A102" s="801"/>
      <c r="B102" s="801"/>
      <c r="C102" s="802" t="s">
        <v>1632</v>
      </c>
      <c r="D102" s="803">
        <v>3000000</v>
      </c>
      <c r="E102" s="806" t="s">
        <v>1633</v>
      </c>
    </row>
    <row r="103" spans="1:6" s="822" customFormat="1" ht="48.9" hidden="1" x14ac:dyDescent="0.3">
      <c r="A103" s="801"/>
      <c r="B103" s="801"/>
      <c r="C103" s="802" t="s">
        <v>1634</v>
      </c>
      <c r="D103" s="803">
        <v>3000000</v>
      </c>
      <c r="E103" s="806" t="s">
        <v>1635</v>
      </c>
    </row>
    <row r="104" spans="1:6" s="822" customFormat="1" ht="163.05000000000001" hidden="1" x14ac:dyDescent="0.3">
      <c r="A104" s="801"/>
      <c r="B104" s="801"/>
      <c r="C104" s="802" t="s">
        <v>1636</v>
      </c>
      <c r="D104" s="803">
        <v>5000000</v>
      </c>
      <c r="E104" s="806" t="s">
        <v>1637</v>
      </c>
    </row>
    <row r="105" spans="1:6" s="822" customFormat="1" ht="32.6" hidden="1" x14ac:dyDescent="0.3">
      <c r="A105" s="801"/>
      <c r="B105" s="801"/>
      <c r="C105" s="802" t="s">
        <v>1638</v>
      </c>
      <c r="D105" s="803">
        <v>1000000</v>
      </c>
      <c r="E105" s="806" t="s">
        <v>1639</v>
      </c>
    </row>
    <row r="106" spans="1:6" s="822" customFormat="1" ht="260.85000000000002" hidden="1" x14ac:dyDescent="0.25">
      <c r="A106" s="801"/>
      <c r="B106" s="801"/>
      <c r="C106" s="802" t="s">
        <v>1640</v>
      </c>
      <c r="D106" s="803">
        <v>3000000</v>
      </c>
      <c r="E106" s="833" t="s">
        <v>1641</v>
      </c>
    </row>
    <row r="107" spans="1:6" s="822" customFormat="1" ht="18" customHeight="1" x14ac:dyDescent="0.3">
      <c r="A107" s="801">
        <v>4</v>
      </c>
      <c r="B107" s="801">
        <v>1945</v>
      </c>
      <c r="C107" s="832" t="s">
        <v>1642</v>
      </c>
      <c r="D107" s="803">
        <f>SUM(D108)/1000</f>
        <v>3500</v>
      </c>
      <c r="E107" s="834"/>
      <c r="F107" s="805"/>
    </row>
    <row r="108" spans="1:6" s="822" customFormat="1" ht="48.9" hidden="1" x14ac:dyDescent="0.3">
      <c r="A108" s="801"/>
      <c r="B108" s="801"/>
      <c r="C108" s="802" t="s">
        <v>1643</v>
      </c>
      <c r="D108" s="803">
        <v>3500000</v>
      </c>
      <c r="E108" s="806" t="s">
        <v>1644</v>
      </c>
    </row>
    <row r="109" spans="1:6" s="822" customFormat="1" ht="18" customHeight="1" x14ac:dyDescent="0.3">
      <c r="A109" s="801">
        <v>5</v>
      </c>
      <c r="B109" s="801">
        <v>1946</v>
      </c>
      <c r="C109" s="832" t="s">
        <v>1645</v>
      </c>
      <c r="D109" s="803">
        <v>1000</v>
      </c>
      <c r="E109" s="834"/>
      <c r="F109" s="805"/>
    </row>
    <row r="110" spans="1:6" s="822" customFormat="1" x14ac:dyDescent="0.3">
      <c r="A110" s="801"/>
      <c r="B110" s="801"/>
      <c r="C110" s="813"/>
      <c r="D110" s="803"/>
      <c r="E110" s="806"/>
    </row>
    <row r="111" spans="1:6" s="822" customFormat="1" x14ac:dyDescent="0.3">
      <c r="A111" s="796" t="s">
        <v>1646</v>
      </c>
      <c r="B111" s="796"/>
      <c r="C111" s="797" t="s">
        <v>1647</v>
      </c>
      <c r="D111" s="798">
        <f>SUM(D112:D117)</f>
        <v>77000</v>
      </c>
      <c r="E111" s="799"/>
      <c r="F111" s="800"/>
    </row>
    <row r="112" spans="1:6" s="822" customFormat="1" ht="18" customHeight="1" x14ac:dyDescent="0.3">
      <c r="A112" s="830"/>
      <c r="B112" s="801">
        <v>1947</v>
      </c>
      <c r="C112" s="813" t="s">
        <v>1648</v>
      </c>
      <c r="D112" s="803">
        <f>40000000/1000</f>
        <v>40000</v>
      </c>
      <c r="E112" s="806" t="s">
        <v>1649</v>
      </c>
    </row>
    <row r="113" spans="1:5" s="822" customFormat="1" ht="18" customHeight="1" x14ac:dyDescent="0.25">
      <c r="A113" s="830"/>
      <c r="B113" s="801">
        <v>1948</v>
      </c>
      <c r="C113" s="813" t="s">
        <v>1650</v>
      </c>
      <c r="D113" s="803">
        <f>15000000/1000</f>
        <v>15000</v>
      </c>
      <c r="E113" s="833" t="s">
        <v>1651</v>
      </c>
    </row>
    <row r="114" spans="1:5" s="822" customFormat="1" ht="18" customHeight="1" x14ac:dyDescent="0.25">
      <c r="A114" s="830"/>
      <c r="B114" s="801">
        <v>1949</v>
      </c>
      <c r="C114" s="813" t="s">
        <v>1652</v>
      </c>
      <c r="D114" s="803">
        <f>5000000/1000</f>
        <v>5000</v>
      </c>
      <c r="E114" s="833" t="s">
        <v>1653</v>
      </c>
    </row>
    <row r="115" spans="1:5" s="822" customFormat="1" ht="18" customHeight="1" x14ac:dyDescent="0.3">
      <c r="A115" s="830"/>
      <c r="B115" s="801">
        <v>1950</v>
      </c>
      <c r="C115" s="813" t="s">
        <v>1654</v>
      </c>
      <c r="D115" s="803">
        <f>10000000/1000</f>
        <v>10000</v>
      </c>
      <c r="E115" s="806" t="s">
        <v>1655</v>
      </c>
    </row>
    <row r="116" spans="1:5" s="822" customFormat="1" ht="18" customHeight="1" x14ac:dyDescent="0.3">
      <c r="A116" s="830"/>
      <c r="B116" s="801">
        <v>1951</v>
      </c>
      <c r="C116" s="813" t="s">
        <v>1656</v>
      </c>
      <c r="D116" s="803">
        <f>5000000/1000</f>
        <v>5000</v>
      </c>
      <c r="E116" s="806" t="s">
        <v>1657</v>
      </c>
    </row>
    <row r="117" spans="1:5" s="822" customFormat="1" ht="18" customHeight="1" x14ac:dyDescent="0.3">
      <c r="A117" s="830"/>
      <c r="B117" s="801">
        <v>1952</v>
      </c>
      <c r="C117" s="813" t="s">
        <v>1658</v>
      </c>
      <c r="D117" s="803">
        <f>2000000/1000</f>
        <v>2000</v>
      </c>
      <c r="E117" s="806"/>
    </row>
  </sheetData>
  <mergeCells count="2">
    <mergeCell ref="A1:E1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>
    <oddHeader>&amp;L7.  melléklet a ...../2019. (.......) önkormányzati rendelethez</oddHeader>
  </headerFooter>
  <colBreaks count="1" manualBreakCount="1">
    <brk id="6" max="2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0"/>
  <sheetViews>
    <sheetView view="pageBreakPreview" zoomScale="75" zoomScaleNormal="100" zoomScaleSheetLayoutView="75" workbookViewId="0">
      <selection activeCell="AB18" sqref="AB18"/>
    </sheetView>
  </sheetViews>
  <sheetFormatPr defaultColWidth="9.125" defaultRowHeight="14.3" x14ac:dyDescent="0.25"/>
  <cols>
    <col min="1" max="1" width="5.75" style="247" customWidth="1"/>
    <col min="2" max="2" width="42.375" style="283" customWidth="1"/>
    <col min="3" max="3" width="9.875" style="283" hidden="1" customWidth="1"/>
    <col min="4" max="4" width="10.125" style="283" hidden="1" customWidth="1"/>
    <col min="5" max="5" width="10.625" style="283" hidden="1" customWidth="1"/>
    <col min="6" max="6" width="9.75" style="283" hidden="1" customWidth="1"/>
    <col min="7" max="7" width="9.875" style="283" hidden="1" customWidth="1"/>
    <col min="8" max="8" width="9.875" style="518" hidden="1" customWidth="1"/>
    <col min="9" max="9" width="10" style="518" hidden="1" customWidth="1"/>
    <col min="10" max="10" width="9.875" style="518" hidden="1" customWidth="1"/>
    <col min="11" max="11" width="10.875" style="283" hidden="1" customWidth="1"/>
    <col min="12" max="12" width="10.125" style="283" hidden="1" customWidth="1"/>
    <col min="13" max="13" width="9.75" style="283" hidden="1" customWidth="1"/>
    <col min="14" max="14" width="9.875" style="283" hidden="1" customWidth="1"/>
    <col min="15" max="15" width="10.375" style="283" hidden="1" customWidth="1"/>
    <col min="16" max="16" width="10.875" style="283" hidden="1" customWidth="1"/>
    <col min="17" max="17" width="9.75" style="283" hidden="1" customWidth="1"/>
    <col min="18" max="18" width="9.875" style="283" hidden="1" customWidth="1"/>
    <col min="19" max="19" width="10.125" style="283" customWidth="1"/>
    <col min="20" max="20" width="10.375" style="283" customWidth="1"/>
    <col min="21" max="21" width="9.75" style="283" customWidth="1"/>
    <col min="22" max="22" width="10.375" style="283" customWidth="1"/>
    <col min="23" max="23" width="10.125" style="283" customWidth="1"/>
    <col min="24" max="24" width="10.375" style="283" customWidth="1"/>
    <col min="25" max="25" width="9.75" style="283" customWidth="1"/>
    <col min="26" max="26" width="10.375" style="283" customWidth="1"/>
    <col min="27" max="16384" width="9.125" style="283"/>
  </cols>
  <sheetData>
    <row r="1" spans="1:26" ht="14.95" x14ac:dyDescent="0.25">
      <c r="F1" s="531"/>
      <c r="N1" s="423"/>
      <c r="R1" s="423"/>
      <c r="V1" s="423"/>
      <c r="Z1" s="423" t="s">
        <v>302</v>
      </c>
    </row>
    <row r="2" spans="1:26" ht="30.25" customHeight="1" x14ac:dyDescent="0.25">
      <c r="A2" s="879" t="s">
        <v>305</v>
      </c>
      <c r="B2" s="879" t="s">
        <v>470</v>
      </c>
      <c r="C2" s="880" t="s">
        <v>1505</v>
      </c>
      <c r="D2" s="881"/>
      <c r="E2" s="881"/>
      <c r="F2" s="882"/>
      <c r="G2" s="880" t="s">
        <v>1506</v>
      </c>
      <c r="H2" s="881"/>
      <c r="I2" s="881"/>
      <c r="J2" s="882"/>
      <c r="K2" s="880" t="s">
        <v>1507</v>
      </c>
      <c r="L2" s="881"/>
      <c r="M2" s="881"/>
      <c r="N2" s="882"/>
      <c r="O2" s="880" t="s">
        <v>1498</v>
      </c>
      <c r="P2" s="881"/>
      <c r="Q2" s="881"/>
      <c r="R2" s="882"/>
      <c r="S2" s="880" t="s">
        <v>1501</v>
      </c>
      <c r="T2" s="881"/>
      <c r="U2" s="881"/>
      <c r="V2" s="882"/>
      <c r="W2" s="880" t="s">
        <v>1718</v>
      </c>
      <c r="X2" s="881"/>
      <c r="Y2" s="881"/>
      <c r="Z2" s="882"/>
    </row>
    <row r="3" spans="1:26" ht="42.8" x14ac:dyDescent="0.25">
      <c r="A3" s="879"/>
      <c r="B3" s="879"/>
      <c r="C3" s="520" t="s">
        <v>1313</v>
      </c>
      <c r="D3" s="520" t="s">
        <v>1314</v>
      </c>
      <c r="E3" s="520" t="s">
        <v>1315</v>
      </c>
      <c r="F3" s="520" t="s">
        <v>553</v>
      </c>
      <c r="G3" s="520" t="s">
        <v>1313</v>
      </c>
      <c r="H3" s="526" t="s">
        <v>1314</v>
      </c>
      <c r="I3" s="526" t="s">
        <v>1315</v>
      </c>
      <c r="J3" s="526" t="s">
        <v>553</v>
      </c>
      <c r="K3" s="520" t="s">
        <v>1313</v>
      </c>
      <c r="L3" s="526" t="s">
        <v>1314</v>
      </c>
      <c r="M3" s="526" t="s">
        <v>1315</v>
      </c>
      <c r="N3" s="526" t="s">
        <v>553</v>
      </c>
      <c r="O3" s="644" t="s">
        <v>1313</v>
      </c>
      <c r="P3" s="526" t="s">
        <v>1314</v>
      </c>
      <c r="Q3" s="526" t="s">
        <v>1315</v>
      </c>
      <c r="R3" s="526" t="s">
        <v>553</v>
      </c>
      <c r="S3" s="644" t="s">
        <v>1313</v>
      </c>
      <c r="T3" s="526" t="s">
        <v>1314</v>
      </c>
      <c r="U3" s="526" t="s">
        <v>1315</v>
      </c>
      <c r="V3" s="526" t="s">
        <v>553</v>
      </c>
      <c r="W3" s="858" t="s">
        <v>1313</v>
      </c>
      <c r="X3" s="526" t="s">
        <v>1314</v>
      </c>
      <c r="Y3" s="526" t="s">
        <v>1315</v>
      </c>
      <c r="Z3" s="526" t="s">
        <v>553</v>
      </c>
    </row>
    <row r="4" spans="1:26" x14ac:dyDescent="0.25">
      <c r="A4" s="557" t="s">
        <v>309</v>
      </c>
      <c r="B4" s="558" t="s">
        <v>310</v>
      </c>
      <c r="C4" s="559">
        <f>C5+C10+C17+C26</f>
        <v>3840915</v>
      </c>
      <c r="D4" s="559">
        <f>D5+D10+D17+D26</f>
        <v>75150</v>
      </c>
      <c r="E4" s="559">
        <f>E5+E10+E17+E26</f>
        <v>0</v>
      </c>
      <c r="F4" s="559">
        <f>SUM(C4:E4)</f>
        <v>3916065</v>
      </c>
      <c r="G4" s="559">
        <f>G5+G10+G17+G26</f>
        <v>4012985</v>
      </c>
      <c r="H4" s="572">
        <f>H5+H10+H17+H26</f>
        <v>210857</v>
      </c>
      <c r="I4" s="572">
        <f>I5+I10+I17+I26</f>
        <v>0</v>
      </c>
      <c r="J4" s="572">
        <f>SUM(G4:I4)</f>
        <v>4223842</v>
      </c>
      <c r="K4" s="559">
        <f>K5+K10+K17+K26</f>
        <v>3883961</v>
      </c>
      <c r="L4" s="572">
        <f>L5+L10+L17+L26</f>
        <v>225405</v>
      </c>
      <c r="M4" s="572" t="e">
        <f>M5+M10+M17+M26</f>
        <v>#REF!</v>
      </c>
      <c r="N4" s="572" t="e">
        <f>SUM(K4:M4)</f>
        <v>#REF!</v>
      </c>
      <c r="O4" s="559">
        <f>O5+O10+O17+O26</f>
        <v>4373129</v>
      </c>
      <c r="P4" s="572">
        <f>P5+P10+P17+P26</f>
        <v>12200</v>
      </c>
      <c r="Q4" s="572">
        <f>Q5+Q10+Q17+Q26</f>
        <v>0</v>
      </c>
      <c r="R4" s="572">
        <f>SUM(O4:Q4)</f>
        <v>4385329</v>
      </c>
      <c r="S4" s="559">
        <f>S5+S10+S17+S26</f>
        <v>4128707.0810000002</v>
      </c>
      <c r="T4" s="572">
        <f>T5+T10+T17+T26</f>
        <v>49237</v>
      </c>
      <c r="U4" s="572">
        <f>U5+U10+U17+U26</f>
        <v>0</v>
      </c>
      <c r="V4" s="572">
        <f>SUM(S4:U4)</f>
        <v>4177944.0810000002</v>
      </c>
      <c r="W4" s="559">
        <f>W5+W10+W17+W26</f>
        <v>3974719.8339999998</v>
      </c>
      <c r="X4" s="572">
        <f>X5+X10+X17+X26</f>
        <v>213452</v>
      </c>
      <c r="Y4" s="572">
        <f>Y5+Y10+Y17+Y26</f>
        <v>0</v>
      </c>
      <c r="Z4" s="572">
        <f>SUM(W4:Y4)</f>
        <v>4188171.8339999998</v>
      </c>
    </row>
    <row r="5" spans="1:26" ht="28.55" x14ac:dyDescent="0.25">
      <c r="A5" s="560" t="s">
        <v>311</v>
      </c>
      <c r="B5" s="561" t="s">
        <v>312</v>
      </c>
      <c r="C5" s="562">
        <f t="shared" ref="C5:E5" si="0">SUM(C6:C9)</f>
        <v>552349</v>
      </c>
      <c r="D5" s="562">
        <f t="shared" si="0"/>
        <v>12800</v>
      </c>
      <c r="E5" s="562">
        <f t="shared" si="0"/>
        <v>0</v>
      </c>
      <c r="F5" s="562">
        <f t="shared" ref="F5:F60" si="1">SUM(C5:E5)</f>
        <v>565149</v>
      </c>
      <c r="G5" s="562">
        <f t="shared" ref="G5:I5" si="2">SUM(G6:G9)</f>
        <v>641938</v>
      </c>
      <c r="H5" s="573">
        <f t="shared" si="2"/>
        <v>12800</v>
      </c>
      <c r="I5" s="573">
        <f t="shared" si="2"/>
        <v>0</v>
      </c>
      <c r="J5" s="573">
        <f t="shared" ref="J5:J60" si="3">SUM(G5:I5)</f>
        <v>654738</v>
      </c>
      <c r="K5" s="562">
        <f t="shared" ref="K5:M5" si="4">SUM(K6:K9)</f>
        <v>554473</v>
      </c>
      <c r="L5" s="573">
        <f t="shared" si="4"/>
        <v>57430</v>
      </c>
      <c r="M5" s="573">
        <f t="shared" si="4"/>
        <v>0</v>
      </c>
      <c r="N5" s="573">
        <f t="shared" ref="N5:N60" si="5">SUM(K5:M5)</f>
        <v>611903</v>
      </c>
      <c r="O5" s="562">
        <f t="shared" ref="O5:Q5" si="6">SUM(O6:O9)</f>
        <v>657316</v>
      </c>
      <c r="P5" s="573">
        <f t="shared" si="6"/>
        <v>12200</v>
      </c>
      <c r="Q5" s="573">
        <f t="shared" si="6"/>
        <v>0</v>
      </c>
      <c r="R5" s="573">
        <f t="shared" ref="R5:R60" si="7">SUM(O5:Q5)</f>
        <v>669516</v>
      </c>
      <c r="S5" s="562">
        <f t="shared" ref="S5:U5" si="8">SUM(S6:S9)</f>
        <v>599232.08100000001</v>
      </c>
      <c r="T5" s="573">
        <f t="shared" si="8"/>
        <v>12600</v>
      </c>
      <c r="U5" s="573">
        <f t="shared" si="8"/>
        <v>0</v>
      </c>
      <c r="V5" s="573">
        <f t="shared" ref="V5:V60" si="9">SUM(S5:U5)</f>
        <v>611832.08100000001</v>
      </c>
      <c r="W5" s="562">
        <f t="shared" ref="W5:Y5" si="10">SUM(W6:W9)</f>
        <v>609459.83400000003</v>
      </c>
      <c r="X5" s="573">
        <f t="shared" si="10"/>
        <v>12600</v>
      </c>
      <c r="Y5" s="573">
        <f t="shared" si="10"/>
        <v>0</v>
      </c>
      <c r="Z5" s="573">
        <f t="shared" ref="Z5:Z43" si="11">SUM(W5:Y5)</f>
        <v>622059.83400000003</v>
      </c>
    </row>
    <row r="6" spans="1:26" s="96" customFormat="1" x14ac:dyDescent="0.25">
      <c r="A6" s="522"/>
      <c r="B6" s="356" t="s">
        <v>471</v>
      </c>
      <c r="C6" s="357">
        <f>'2A Önk bev'!C7</f>
        <v>511956</v>
      </c>
      <c r="D6" s="357">
        <f>'2A Önk bev'!D7</f>
        <v>12200</v>
      </c>
      <c r="E6" s="357">
        <f>'2A Önk bev'!E7</f>
        <v>0</v>
      </c>
      <c r="F6" s="357">
        <f t="shared" si="1"/>
        <v>524156</v>
      </c>
      <c r="G6" s="357">
        <f>'2A Önk bev'!G7</f>
        <v>581906</v>
      </c>
      <c r="H6" s="491">
        <f>'2A Önk bev'!H7</f>
        <v>12200</v>
      </c>
      <c r="I6" s="491">
        <f>'2A Önk bev'!I7</f>
        <v>0</v>
      </c>
      <c r="J6" s="491">
        <f t="shared" si="3"/>
        <v>594106</v>
      </c>
      <c r="K6" s="357">
        <f>'2A Önk bev'!K7</f>
        <v>514080</v>
      </c>
      <c r="L6" s="491">
        <f>'2A Önk bev'!L7</f>
        <v>14932</v>
      </c>
      <c r="M6" s="491">
        <f>'2A Önk bev'!M7</f>
        <v>0</v>
      </c>
      <c r="N6" s="491">
        <f t="shared" si="5"/>
        <v>529012</v>
      </c>
      <c r="O6" s="357">
        <f>'2A Önk bev'!O7</f>
        <v>599837</v>
      </c>
      <c r="P6" s="491">
        <f>'2A Önk bev'!P7</f>
        <v>12200</v>
      </c>
      <c r="Q6" s="491">
        <f>'2A Önk bev'!Q7</f>
        <v>0</v>
      </c>
      <c r="R6" s="491">
        <f t="shared" si="7"/>
        <v>612037</v>
      </c>
      <c r="S6" s="357">
        <f>'2A Önk bev'!S7</f>
        <v>599232.08100000001</v>
      </c>
      <c r="T6" s="491">
        <f>'2A Önk bev'!T7</f>
        <v>12600</v>
      </c>
      <c r="U6" s="491">
        <f>'2A Önk bev'!U7</f>
        <v>0</v>
      </c>
      <c r="V6" s="491">
        <f t="shared" si="9"/>
        <v>611832.08100000001</v>
      </c>
      <c r="W6" s="357">
        <f>'2A Önk bev'!W7+'3A PH'!W9</f>
        <v>609459.83400000003</v>
      </c>
      <c r="X6" s="491">
        <f>'2A Önk bev'!X7</f>
        <v>12600</v>
      </c>
      <c r="Y6" s="491">
        <f>'2A Önk bev'!Y7</f>
        <v>0</v>
      </c>
      <c r="Z6" s="491">
        <f t="shared" si="11"/>
        <v>622059.83400000003</v>
      </c>
    </row>
    <row r="7" spans="1:26" x14ac:dyDescent="0.25">
      <c r="A7" s="522"/>
      <c r="B7" s="356" t="s">
        <v>479</v>
      </c>
      <c r="C7" s="357">
        <f>'2A Önk bev'!C16</f>
        <v>0</v>
      </c>
      <c r="D7" s="357">
        <f>'2A Önk bev'!D16</f>
        <v>0</v>
      </c>
      <c r="E7" s="357">
        <f>'2A Önk bev'!E16</f>
        <v>0</v>
      </c>
      <c r="F7" s="357">
        <f t="shared" si="1"/>
        <v>0</v>
      </c>
      <c r="G7" s="357">
        <f>'2A Önk bev'!G16</f>
        <v>14810</v>
      </c>
      <c r="H7" s="491">
        <f>'2A Önk bev'!H16</f>
        <v>0</v>
      </c>
      <c r="I7" s="491">
        <f>'2A Önk bev'!I16</f>
        <v>0</v>
      </c>
      <c r="J7" s="491">
        <f t="shared" si="3"/>
        <v>14810</v>
      </c>
      <c r="K7" s="357">
        <f>'2A Önk bev'!K16</f>
        <v>0</v>
      </c>
      <c r="L7" s="491">
        <f>'2A Önk bev'!L16</f>
        <v>41898</v>
      </c>
      <c r="M7" s="491">
        <f>'2A Önk bev'!M16</f>
        <v>0</v>
      </c>
      <c r="N7" s="491">
        <f t="shared" si="5"/>
        <v>41898</v>
      </c>
      <c r="O7" s="357">
        <f>'2A Önk bev'!O16</f>
        <v>14810</v>
      </c>
      <c r="P7" s="491">
        <f>'2A Önk bev'!P16</f>
        <v>0</v>
      </c>
      <c r="Q7" s="491">
        <f>'2A Önk bev'!Q16</f>
        <v>0</v>
      </c>
      <c r="R7" s="491">
        <f t="shared" si="7"/>
        <v>14810</v>
      </c>
      <c r="S7" s="357">
        <f>'2A Önk bev'!S16</f>
        <v>0</v>
      </c>
      <c r="T7" s="491">
        <f>'2A Önk bev'!T16</f>
        <v>0</v>
      </c>
      <c r="U7" s="491">
        <f>'2A Önk bev'!U16</f>
        <v>0</v>
      </c>
      <c r="V7" s="491">
        <f t="shared" si="9"/>
        <v>0</v>
      </c>
      <c r="W7" s="357">
        <f>'2A Önk bev'!W16</f>
        <v>0</v>
      </c>
      <c r="X7" s="491">
        <f>'2A Önk bev'!X16</f>
        <v>0</v>
      </c>
      <c r="Y7" s="491">
        <f>'2A Önk bev'!Y16</f>
        <v>0</v>
      </c>
      <c r="Z7" s="491">
        <f t="shared" si="11"/>
        <v>0</v>
      </c>
    </row>
    <row r="8" spans="1:26" ht="28.55" x14ac:dyDescent="0.25">
      <c r="A8" s="522"/>
      <c r="B8" s="356" t="s">
        <v>480</v>
      </c>
      <c r="C8" s="357">
        <f>'2A Önk bev'!C17</f>
        <v>0</v>
      </c>
      <c r="D8" s="357">
        <f>'2A Önk bev'!D17</f>
        <v>0</v>
      </c>
      <c r="E8" s="357">
        <f>'2A Önk bev'!E17</f>
        <v>0</v>
      </c>
      <c r="F8" s="357">
        <f t="shared" si="1"/>
        <v>0</v>
      </c>
      <c r="G8" s="357">
        <f>'2A Önk bev'!G17</f>
        <v>0</v>
      </c>
      <c r="H8" s="491">
        <f>'2A Önk bev'!H17</f>
        <v>0</v>
      </c>
      <c r="I8" s="491">
        <f>'2A Önk bev'!I17</f>
        <v>0</v>
      </c>
      <c r="J8" s="491">
        <f t="shared" si="3"/>
        <v>0</v>
      </c>
      <c r="K8" s="357">
        <f>'2A Önk bev'!K17</f>
        <v>0</v>
      </c>
      <c r="L8" s="491">
        <f>'2A Önk bev'!L17</f>
        <v>0</v>
      </c>
      <c r="M8" s="491">
        <f>'2A Önk bev'!M17</f>
        <v>0</v>
      </c>
      <c r="N8" s="491">
        <f t="shared" si="5"/>
        <v>0</v>
      </c>
      <c r="O8" s="357">
        <f>'2A Önk bev'!O17</f>
        <v>0</v>
      </c>
      <c r="P8" s="491">
        <f>'2A Önk bev'!P17</f>
        <v>0</v>
      </c>
      <c r="Q8" s="491">
        <f>'2A Önk bev'!Q17</f>
        <v>0</v>
      </c>
      <c r="R8" s="491">
        <f t="shared" si="7"/>
        <v>0</v>
      </c>
      <c r="S8" s="357">
        <f>'2A Önk bev'!S17</f>
        <v>0</v>
      </c>
      <c r="T8" s="491">
        <f>'2A Önk bev'!T17</f>
        <v>0</v>
      </c>
      <c r="U8" s="491">
        <f>'2A Önk bev'!U17</f>
        <v>0</v>
      </c>
      <c r="V8" s="491">
        <f t="shared" si="9"/>
        <v>0</v>
      </c>
      <c r="W8" s="357">
        <f>'2A Önk bev'!W17</f>
        <v>0</v>
      </c>
      <c r="X8" s="491">
        <f>'2A Önk bev'!X17</f>
        <v>0</v>
      </c>
      <c r="Y8" s="491">
        <f>'2A Önk bev'!Y17</f>
        <v>0</v>
      </c>
      <c r="Z8" s="491">
        <f t="shared" si="11"/>
        <v>0</v>
      </c>
    </row>
    <row r="9" spans="1:26" ht="28.55" x14ac:dyDescent="0.25">
      <c r="A9" s="522"/>
      <c r="B9" s="356" t="s">
        <v>481</v>
      </c>
      <c r="C9" s="357">
        <f>'2A Önk bev'!C18</f>
        <v>40393</v>
      </c>
      <c r="D9" s="357">
        <f>'2A Önk bev'!D18</f>
        <v>600</v>
      </c>
      <c r="E9" s="357">
        <f>'2A Önk bev'!E18</f>
        <v>0</v>
      </c>
      <c r="F9" s="357">
        <f t="shared" si="1"/>
        <v>40993</v>
      </c>
      <c r="G9" s="357">
        <f>'2A Önk bev'!G18+'3A PH'!J9</f>
        <v>45222</v>
      </c>
      <c r="H9" s="491">
        <f>'2A Önk bev'!H18</f>
        <v>600</v>
      </c>
      <c r="I9" s="491">
        <f>'2A Önk bev'!I18</f>
        <v>0</v>
      </c>
      <c r="J9" s="491">
        <f t="shared" si="3"/>
        <v>45822</v>
      </c>
      <c r="K9" s="357">
        <f>'2A Önk bev'!K18</f>
        <v>40393</v>
      </c>
      <c r="L9" s="491">
        <f>'2A Önk bev'!L18</f>
        <v>600</v>
      </c>
      <c r="M9" s="491">
        <f>'2A Önk bev'!M18</f>
        <v>0</v>
      </c>
      <c r="N9" s="491">
        <f t="shared" si="5"/>
        <v>40993</v>
      </c>
      <c r="O9" s="357">
        <f>'2A Önk bev'!O18</f>
        <v>42669</v>
      </c>
      <c r="P9" s="491">
        <f>'2A Önk bev'!P18</f>
        <v>0</v>
      </c>
      <c r="Q9" s="491">
        <f>'2A Önk bev'!Q18</f>
        <v>0</v>
      </c>
      <c r="R9" s="491">
        <f t="shared" si="7"/>
        <v>42669</v>
      </c>
      <c r="S9" s="357">
        <f>'2A Önk bev'!S18</f>
        <v>0</v>
      </c>
      <c r="T9" s="491">
        <f>'2A Önk bev'!T18</f>
        <v>0</v>
      </c>
      <c r="U9" s="491">
        <f>'2A Önk bev'!U18</f>
        <v>0</v>
      </c>
      <c r="V9" s="491">
        <f t="shared" si="9"/>
        <v>0</v>
      </c>
      <c r="W9" s="357">
        <f>'2A Önk bev'!W18</f>
        <v>0</v>
      </c>
      <c r="X9" s="491">
        <f>'2A Önk bev'!X18</f>
        <v>0</v>
      </c>
      <c r="Y9" s="491">
        <f>'2A Önk bev'!Y18</f>
        <v>0</v>
      </c>
      <c r="Z9" s="491">
        <f t="shared" si="11"/>
        <v>0</v>
      </c>
    </row>
    <row r="10" spans="1:26" x14ac:dyDescent="0.25">
      <c r="A10" s="560" t="s">
        <v>322</v>
      </c>
      <c r="B10" s="561" t="s">
        <v>488</v>
      </c>
      <c r="C10" s="562">
        <f t="shared" ref="C10:E10" si="12">SUM(C11:C14)</f>
        <v>3107500</v>
      </c>
      <c r="D10" s="562">
        <f t="shared" si="12"/>
        <v>0</v>
      </c>
      <c r="E10" s="562">
        <f t="shared" si="12"/>
        <v>0</v>
      </c>
      <c r="F10" s="562">
        <f t="shared" si="1"/>
        <v>3107500</v>
      </c>
      <c r="G10" s="562">
        <f t="shared" ref="G10:I10" si="13">SUM(G11:G14)</f>
        <v>3107500</v>
      </c>
      <c r="H10" s="573">
        <f t="shared" si="13"/>
        <v>0</v>
      </c>
      <c r="I10" s="573">
        <f t="shared" si="13"/>
        <v>0</v>
      </c>
      <c r="J10" s="573">
        <f t="shared" si="3"/>
        <v>3107500</v>
      </c>
      <c r="K10" s="562">
        <f t="shared" ref="K10:M10" si="14">SUM(K11:K14)</f>
        <v>3125500</v>
      </c>
      <c r="L10" s="573">
        <f t="shared" si="14"/>
        <v>0</v>
      </c>
      <c r="M10" s="573">
        <f t="shared" si="14"/>
        <v>0</v>
      </c>
      <c r="N10" s="573">
        <f t="shared" si="5"/>
        <v>3125500</v>
      </c>
      <c r="O10" s="562">
        <f t="shared" ref="O10:Q10" si="15">SUM(O11:O14)</f>
        <v>3295731</v>
      </c>
      <c r="P10" s="573">
        <f t="shared" si="15"/>
        <v>0</v>
      </c>
      <c r="Q10" s="573">
        <f t="shared" si="15"/>
        <v>0</v>
      </c>
      <c r="R10" s="573">
        <f t="shared" si="7"/>
        <v>3295731</v>
      </c>
      <c r="S10" s="562">
        <f t="shared" ref="S10:U10" si="16">SUM(S11:S14)</f>
        <v>3317500</v>
      </c>
      <c r="T10" s="573">
        <f t="shared" si="16"/>
        <v>0</v>
      </c>
      <c r="U10" s="573">
        <f t="shared" si="16"/>
        <v>0</v>
      </c>
      <c r="V10" s="573">
        <f t="shared" si="9"/>
        <v>3317500</v>
      </c>
      <c r="W10" s="562">
        <f t="shared" ref="W10:Y10" si="17">SUM(W11:W14)</f>
        <v>3317500</v>
      </c>
      <c r="X10" s="573">
        <f t="shared" si="17"/>
        <v>0</v>
      </c>
      <c r="Y10" s="573">
        <f t="shared" si="17"/>
        <v>0</v>
      </c>
      <c r="Z10" s="573">
        <f t="shared" si="11"/>
        <v>3317500</v>
      </c>
    </row>
    <row r="11" spans="1:26" x14ac:dyDescent="0.25">
      <c r="A11" s="522"/>
      <c r="B11" s="356" t="s">
        <v>489</v>
      </c>
      <c r="C11" s="357">
        <f>'2A Önk bev'!C26</f>
        <v>1220000</v>
      </c>
      <c r="D11" s="357">
        <f>'2A Önk bev'!D26</f>
        <v>0</v>
      </c>
      <c r="E11" s="357">
        <f>'2A Önk bev'!E26</f>
        <v>0</v>
      </c>
      <c r="F11" s="357">
        <f t="shared" si="1"/>
        <v>1220000</v>
      </c>
      <c r="G11" s="357">
        <f>'2A Önk bev'!G26</f>
        <v>1070000</v>
      </c>
      <c r="H11" s="491">
        <f>'2A Önk bev'!H26</f>
        <v>0</v>
      </c>
      <c r="I11" s="491">
        <f>'2A Önk bev'!I26</f>
        <v>0</v>
      </c>
      <c r="J11" s="491">
        <f t="shared" si="3"/>
        <v>1070000</v>
      </c>
      <c r="K11" s="357">
        <f>'2A Önk bev'!K26</f>
        <v>1010000</v>
      </c>
      <c r="L11" s="491">
        <f>'2A Önk bev'!L26</f>
        <v>0</v>
      </c>
      <c r="M11" s="491">
        <f>'2A Önk bev'!M26</f>
        <v>0</v>
      </c>
      <c r="N11" s="491">
        <f t="shared" si="5"/>
        <v>1010000</v>
      </c>
      <c r="O11" s="357">
        <f>'2A Önk bev'!O26</f>
        <v>1060379</v>
      </c>
      <c r="P11" s="491">
        <f>'2A Önk bev'!P26</f>
        <v>0</v>
      </c>
      <c r="Q11" s="491">
        <f>'2A Önk bev'!Q26</f>
        <v>0</v>
      </c>
      <c r="R11" s="491">
        <f t="shared" si="7"/>
        <v>1060379</v>
      </c>
      <c r="S11" s="357">
        <f>'2A Önk bev'!S26</f>
        <v>1040000</v>
      </c>
      <c r="T11" s="491">
        <f>'2A Önk bev'!T26</f>
        <v>0</v>
      </c>
      <c r="U11" s="491">
        <f>'2A Önk bev'!U26</f>
        <v>0</v>
      </c>
      <c r="V11" s="491">
        <f t="shared" si="9"/>
        <v>1040000</v>
      </c>
      <c r="W11" s="357">
        <f>'2A Önk bev'!W26</f>
        <v>1040000</v>
      </c>
      <c r="X11" s="491">
        <f>'2A Önk bev'!X26</f>
        <v>0</v>
      </c>
      <c r="Y11" s="491">
        <f>'2A Önk bev'!Y26</f>
        <v>0</v>
      </c>
      <c r="Z11" s="491">
        <f t="shared" si="11"/>
        <v>1040000</v>
      </c>
    </row>
    <row r="12" spans="1:26" x14ac:dyDescent="0.25">
      <c r="A12" s="522"/>
      <c r="B12" s="356" t="s">
        <v>492</v>
      </c>
      <c r="C12" s="357">
        <f>'2A Önk bev'!C29</f>
        <v>1864000</v>
      </c>
      <c r="D12" s="357">
        <f>'2A Önk bev'!D29</f>
        <v>0</v>
      </c>
      <c r="E12" s="357">
        <f>'2A Önk bev'!E29</f>
        <v>0</v>
      </c>
      <c r="F12" s="357">
        <f t="shared" si="1"/>
        <v>1864000</v>
      </c>
      <c r="G12" s="357">
        <f>'2A Önk bev'!G29</f>
        <v>2014000</v>
      </c>
      <c r="H12" s="491">
        <f>'2A Önk bev'!H29</f>
        <v>0</v>
      </c>
      <c r="I12" s="491">
        <f>'2A Önk bev'!I29</f>
        <v>0</v>
      </c>
      <c r="J12" s="491">
        <f t="shared" si="3"/>
        <v>2014000</v>
      </c>
      <c r="K12" s="357">
        <f>'2A Önk bev'!K29</f>
        <v>2097000</v>
      </c>
      <c r="L12" s="491">
        <f>'2A Önk bev'!L29</f>
        <v>0</v>
      </c>
      <c r="M12" s="491">
        <f>'2A Önk bev'!M29</f>
        <v>0</v>
      </c>
      <c r="N12" s="491">
        <f t="shared" si="5"/>
        <v>2097000</v>
      </c>
      <c r="O12" s="357">
        <f>'2A Önk bev'!O29</f>
        <v>2208831</v>
      </c>
      <c r="P12" s="491">
        <f>'2A Önk bev'!P29</f>
        <v>0</v>
      </c>
      <c r="Q12" s="491">
        <f>'2A Önk bev'!Q29</f>
        <v>0</v>
      </c>
      <c r="R12" s="491">
        <f t="shared" si="7"/>
        <v>2208831</v>
      </c>
      <c r="S12" s="357">
        <f>'2A Önk bev'!S29</f>
        <v>2250000</v>
      </c>
      <c r="T12" s="491">
        <f>'2A Önk bev'!T29</f>
        <v>0</v>
      </c>
      <c r="U12" s="491">
        <f>'2A Önk bev'!U29</f>
        <v>0</v>
      </c>
      <c r="V12" s="491">
        <f t="shared" si="9"/>
        <v>2250000</v>
      </c>
      <c r="W12" s="357">
        <f>'2A Önk bev'!W29</f>
        <v>2250000</v>
      </c>
      <c r="X12" s="491">
        <f>'2A Önk bev'!X29</f>
        <v>0</v>
      </c>
      <c r="Y12" s="491">
        <f>'2A Önk bev'!Y29</f>
        <v>0</v>
      </c>
      <c r="Z12" s="491">
        <f t="shared" si="11"/>
        <v>2250000</v>
      </c>
    </row>
    <row r="13" spans="1:26" x14ac:dyDescent="0.25">
      <c r="A13" s="522"/>
      <c r="B13" s="356" t="s">
        <v>495</v>
      </c>
      <c r="C13" s="357">
        <f>'2A Önk bev'!C32</f>
        <v>10500</v>
      </c>
      <c r="D13" s="357">
        <f>'2A Önk bev'!D32</f>
        <v>0</v>
      </c>
      <c r="E13" s="357">
        <f>'2A Önk bev'!E32</f>
        <v>0</v>
      </c>
      <c r="F13" s="357">
        <f t="shared" si="1"/>
        <v>10500</v>
      </c>
      <c r="G13" s="357">
        <f>'2A Önk bev'!G32</f>
        <v>10500</v>
      </c>
      <c r="H13" s="491">
        <f>'2A Önk bev'!H32</f>
        <v>0</v>
      </c>
      <c r="I13" s="491">
        <f>'2A Önk bev'!I32</f>
        <v>0</v>
      </c>
      <c r="J13" s="491">
        <f t="shared" si="3"/>
        <v>10500</v>
      </c>
      <c r="K13" s="357">
        <f>'2A Önk bev'!K32</f>
        <v>5500</v>
      </c>
      <c r="L13" s="491">
        <f>'2A Önk bev'!L32</f>
        <v>0</v>
      </c>
      <c r="M13" s="491">
        <f>'2A Önk bev'!M32</f>
        <v>0</v>
      </c>
      <c r="N13" s="491">
        <f t="shared" si="5"/>
        <v>5500</v>
      </c>
      <c r="O13" s="357">
        <f>'2A Önk bev'!O32</f>
        <v>7963</v>
      </c>
      <c r="P13" s="491">
        <f>'2A Önk bev'!P32</f>
        <v>0</v>
      </c>
      <c r="Q13" s="491">
        <f>'2A Önk bev'!Q32</f>
        <v>0</v>
      </c>
      <c r="R13" s="491">
        <f t="shared" si="7"/>
        <v>7963</v>
      </c>
      <c r="S13" s="357">
        <f>'2A Önk bev'!S32</f>
        <v>10500</v>
      </c>
      <c r="T13" s="491">
        <f>'2A Önk bev'!T32</f>
        <v>0</v>
      </c>
      <c r="U13" s="491">
        <f>'2A Önk bev'!U32</f>
        <v>0</v>
      </c>
      <c r="V13" s="491">
        <f t="shared" si="9"/>
        <v>10500</v>
      </c>
      <c r="W13" s="357">
        <f>'2A Önk bev'!W32</f>
        <v>10500</v>
      </c>
      <c r="X13" s="491">
        <f>'2A Önk bev'!X32</f>
        <v>0</v>
      </c>
      <c r="Y13" s="491">
        <f>'2A Önk bev'!Y32</f>
        <v>0</v>
      </c>
      <c r="Z13" s="491">
        <f t="shared" si="11"/>
        <v>10500</v>
      </c>
    </row>
    <row r="14" spans="1:26" x14ac:dyDescent="0.25">
      <c r="A14" s="522"/>
      <c r="B14" s="356" t="s">
        <v>499</v>
      </c>
      <c r="C14" s="357">
        <f t="shared" ref="C14:E14" si="18">C15+C16</f>
        <v>13000</v>
      </c>
      <c r="D14" s="357">
        <f t="shared" si="18"/>
        <v>0</v>
      </c>
      <c r="E14" s="357">
        <f t="shared" si="18"/>
        <v>0</v>
      </c>
      <c r="F14" s="357">
        <f t="shared" si="1"/>
        <v>13000</v>
      </c>
      <c r="G14" s="357">
        <f t="shared" ref="G14:I14" si="19">G15+G16</f>
        <v>13000</v>
      </c>
      <c r="H14" s="491">
        <f t="shared" si="19"/>
        <v>0</v>
      </c>
      <c r="I14" s="491">
        <f t="shared" si="19"/>
        <v>0</v>
      </c>
      <c r="J14" s="491">
        <f t="shared" si="3"/>
        <v>13000</v>
      </c>
      <c r="K14" s="357">
        <f t="shared" ref="K14:M14" si="20">K15+K16</f>
        <v>13000</v>
      </c>
      <c r="L14" s="491">
        <f t="shared" si="20"/>
        <v>0</v>
      </c>
      <c r="M14" s="491">
        <f t="shared" si="20"/>
        <v>0</v>
      </c>
      <c r="N14" s="491">
        <f t="shared" si="5"/>
        <v>13000</v>
      </c>
      <c r="O14" s="357">
        <f t="shared" ref="O14:Q14" si="21">O15+O16</f>
        <v>18558</v>
      </c>
      <c r="P14" s="491">
        <f t="shared" si="21"/>
        <v>0</v>
      </c>
      <c r="Q14" s="491">
        <f t="shared" si="21"/>
        <v>0</v>
      </c>
      <c r="R14" s="491">
        <f t="shared" si="7"/>
        <v>18558</v>
      </c>
      <c r="S14" s="357">
        <f t="shared" ref="S14:U14" si="22">S15+S16</f>
        <v>17000</v>
      </c>
      <c r="T14" s="491">
        <f t="shared" si="22"/>
        <v>0</v>
      </c>
      <c r="U14" s="491">
        <f t="shared" si="22"/>
        <v>0</v>
      </c>
      <c r="V14" s="491">
        <f t="shared" si="9"/>
        <v>17000</v>
      </c>
      <c r="W14" s="357">
        <f t="shared" ref="W14:Y14" si="23">W15+W16</f>
        <v>17000</v>
      </c>
      <c r="X14" s="491">
        <f t="shared" si="23"/>
        <v>0</v>
      </c>
      <c r="Y14" s="491">
        <f t="shared" si="23"/>
        <v>0</v>
      </c>
      <c r="Z14" s="491">
        <f t="shared" si="11"/>
        <v>17000</v>
      </c>
    </row>
    <row r="15" spans="1:26" x14ac:dyDescent="0.25">
      <c r="A15" s="522"/>
      <c r="B15" s="356" t="s">
        <v>500</v>
      </c>
      <c r="C15" s="357">
        <f>'2A Önk bev'!C37+'3A PH'!C12</f>
        <v>3000</v>
      </c>
      <c r="D15" s="357">
        <f>'2A Önk bev'!D37+'3A PH'!D12</f>
        <v>0</v>
      </c>
      <c r="E15" s="357">
        <f>'2A Önk bev'!E37+'3A PH'!E12</f>
        <v>0</v>
      </c>
      <c r="F15" s="357">
        <f t="shared" si="1"/>
        <v>3000</v>
      </c>
      <c r="G15" s="357">
        <f>'2A Önk bev'!G37+'3A PH'!G12</f>
        <v>3000</v>
      </c>
      <c r="H15" s="491">
        <f>'2A Önk bev'!H37+'3A PH'!H12</f>
        <v>0</v>
      </c>
      <c r="I15" s="491">
        <f>'2A Önk bev'!I37+'3A PH'!I12</f>
        <v>0</v>
      </c>
      <c r="J15" s="491">
        <f t="shared" si="3"/>
        <v>3000</v>
      </c>
      <c r="K15" s="357">
        <f>'2A Önk bev'!K37+'3A PH'!K12</f>
        <v>3000</v>
      </c>
      <c r="L15" s="491">
        <f>'2A Önk bev'!L37+'3A PH'!L12</f>
        <v>0</v>
      </c>
      <c r="M15" s="491">
        <f>'2A Önk bev'!M37+'3A PH'!M12</f>
        <v>0</v>
      </c>
      <c r="N15" s="491">
        <f t="shared" si="5"/>
        <v>3000</v>
      </c>
      <c r="O15" s="357">
        <f>'2A Önk bev'!O37+'3A PH'!O12</f>
        <v>7175</v>
      </c>
      <c r="P15" s="491">
        <f>'2A Önk bev'!P37+'3A PH'!P12</f>
        <v>0</v>
      </c>
      <c r="Q15" s="491">
        <f>'2A Önk bev'!Q37+'3A PH'!Q12</f>
        <v>0</v>
      </c>
      <c r="R15" s="491">
        <f t="shared" si="7"/>
        <v>7175</v>
      </c>
      <c r="S15" s="357">
        <f>'2A Önk bev'!S37+'3A PH'!S12</f>
        <v>7000</v>
      </c>
      <c r="T15" s="491">
        <f>'2A Önk bev'!T37+'3A PH'!T12</f>
        <v>0</v>
      </c>
      <c r="U15" s="491">
        <f>'2A Önk bev'!U37+'3A PH'!U12</f>
        <v>0</v>
      </c>
      <c r="V15" s="491">
        <f t="shared" si="9"/>
        <v>7000</v>
      </c>
      <c r="W15" s="357">
        <f>'2A Önk bev'!W37+'3A PH'!W12</f>
        <v>7000</v>
      </c>
      <c r="X15" s="491">
        <f>'2A Önk bev'!X37+'3A PH'!X12</f>
        <v>0</v>
      </c>
      <c r="Y15" s="491">
        <f>'2A Önk bev'!Y37+'3A PH'!Y12</f>
        <v>0</v>
      </c>
      <c r="Z15" s="491">
        <f t="shared" si="11"/>
        <v>7000</v>
      </c>
    </row>
    <row r="16" spans="1:26" x14ac:dyDescent="0.25">
      <c r="A16" s="522"/>
      <c r="B16" s="356" t="s">
        <v>669</v>
      </c>
      <c r="C16" s="357">
        <f>'2A Önk bev'!C38+'2A Önk bev'!C39+'2A Önk bev'!C40</f>
        <v>10000</v>
      </c>
      <c r="D16" s="357">
        <f>'2A Önk bev'!D38+'2A Önk bev'!D39+'2A Önk bev'!D40</f>
        <v>0</v>
      </c>
      <c r="E16" s="357">
        <f>'2A Önk bev'!E38+'2A Önk bev'!E39+'2A Önk bev'!E40</f>
        <v>0</v>
      </c>
      <c r="F16" s="357">
        <f t="shared" si="1"/>
        <v>10000</v>
      </c>
      <c r="G16" s="357">
        <f>'2A Önk bev'!G38+'2A Önk bev'!G39+'2A Önk bev'!G40</f>
        <v>10000</v>
      </c>
      <c r="H16" s="491">
        <f>'2A Önk bev'!H38+'2A Önk bev'!H39+'2A Önk bev'!H40</f>
        <v>0</v>
      </c>
      <c r="I16" s="491">
        <f>'2A Önk bev'!I38+'2A Önk bev'!I39+'2A Önk bev'!I40</f>
        <v>0</v>
      </c>
      <c r="J16" s="491">
        <f t="shared" si="3"/>
        <v>10000</v>
      </c>
      <c r="K16" s="357">
        <f>'2A Önk bev'!K38+'2A Önk bev'!K39+'2A Önk bev'!K40</f>
        <v>10000</v>
      </c>
      <c r="L16" s="491">
        <f>'2A Önk bev'!L38+'2A Önk bev'!L39+'2A Önk bev'!L40</f>
        <v>0</v>
      </c>
      <c r="M16" s="491">
        <f>'2A Önk bev'!M38+'2A Önk bev'!M39+'2A Önk bev'!M40</f>
        <v>0</v>
      </c>
      <c r="N16" s="491">
        <f t="shared" si="5"/>
        <v>10000</v>
      </c>
      <c r="O16" s="357">
        <f>'2A Önk bev'!O38+'2A Önk bev'!O39+'2A Önk bev'!O40</f>
        <v>11383</v>
      </c>
      <c r="P16" s="491">
        <f>'2A Önk bev'!P38+'2A Önk bev'!P39+'2A Önk bev'!P40</f>
        <v>0</v>
      </c>
      <c r="Q16" s="491">
        <f>'2A Önk bev'!Q38+'2A Önk bev'!Q39+'2A Önk bev'!Q40</f>
        <v>0</v>
      </c>
      <c r="R16" s="491">
        <f t="shared" si="7"/>
        <v>11383</v>
      </c>
      <c r="S16" s="357">
        <f>'2A Önk bev'!S38+'2A Önk bev'!S39+'2A Önk bev'!S40</f>
        <v>10000</v>
      </c>
      <c r="T16" s="491">
        <f>'2A Önk bev'!T38+'2A Önk bev'!T39+'2A Önk bev'!T40</f>
        <v>0</v>
      </c>
      <c r="U16" s="491">
        <f>'2A Önk bev'!U38+'2A Önk bev'!U39+'2A Önk bev'!U40</f>
        <v>0</v>
      </c>
      <c r="V16" s="491">
        <f t="shared" si="9"/>
        <v>10000</v>
      </c>
      <c r="W16" s="357">
        <f>'2A Önk bev'!W38+'2A Önk bev'!W39+'2A Önk bev'!W40</f>
        <v>10000</v>
      </c>
      <c r="X16" s="491">
        <f>'2A Önk bev'!X38+'2A Önk bev'!X39+'2A Önk bev'!X40</f>
        <v>0</v>
      </c>
      <c r="Y16" s="491">
        <f>'2A Önk bev'!Y38+'2A Önk bev'!Y39+'2A Önk bev'!Y40</f>
        <v>0</v>
      </c>
      <c r="Z16" s="491">
        <f t="shared" si="11"/>
        <v>10000</v>
      </c>
    </row>
    <row r="17" spans="1:26" x14ac:dyDescent="0.25">
      <c r="A17" s="560" t="s">
        <v>315</v>
      </c>
      <c r="B17" s="561" t="s">
        <v>314</v>
      </c>
      <c r="C17" s="562">
        <f t="shared" ref="C17:E17" si="24">SUM(C18:C25)</f>
        <v>181066</v>
      </c>
      <c r="D17" s="562">
        <f t="shared" si="24"/>
        <v>62090</v>
      </c>
      <c r="E17" s="562">
        <f t="shared" si="24"/>
        <v>0</v>
      </c>
      <c r="F17" s="562">
        <f t="shared" si="1"/>
        <v>243156</v>
      </c>
      <c r="G17" s="562">
        <f t="shared" ref="G17:I17" si="25">SUM(G18:G25)</f>
        <v>263547</v>
      </c>
      <c r="H17" s="573">
        <f t="shared" si="25"/>
        <v>189649</v>
      </c>
      <c r="I17" s="573">
        <f t="shared" si="25"/>
        <v>0</v>
      </c>
      <c r="J17" s="573">
        <f t="shared" si="3"/>
        <v>453196</v>
      </c>
      <c r="K17" s="562">
        <f t="shared" ref="K17:M17" si="26">SUM(K18:K25)</f>
        <v>203988</v>
      </c>
      <c r="L17" s="573">
        <f t="shared" si="26"/>
        <v>59543</v>
      </c>
      <c r="M17" s="573" t="e">
        <f t="shared" si="26"/>
        <v>#REF!</v>
      </c>
      <c r="N17" s="573" t="e">
        <f t="shared" si="5"/>
        <v>#REF!</v>
      </c>
      <c r="O17" s="562">
        <f t="shared" ref="O17:Q17" si="27">SUM(O18:O25)</f>
        <v>419822</v>
      </c>
      <c r="P17" s="573">
        <f t="shared" si="27"/>
        <v>0</v>
      </c>
      <c r="Q17" s="573">
        <f t="shared" si="27"/>
        <v>0</v>
      </c>
      <c r="R17" s="573">
        <f t="shared" si="7"/>
        <v>419822</v>
      </c>
      <c r="S17" s="562">
        <f t="shared" ref="S17:U17" si="28">SUM(S18:S25)</f>
        <v>211975</v>
      </c>
      <c r="T17" s="573">
        <f t="shared" si="28"/>
        <v>36637</v>
      </c>
      <c r="U17" s="573">
        <f t="shared" si="28"/>
        <v>0</v>
      </c>
      <c r="V17" s="573">
        <f t="shared" si="9"/>
        <v>248612</v>
      </c>
      <c r="W17" s="562">
        <f t="shared" ref="W17:Y17" si="29">SUM(W18:W25)</f>
        <v>47760</v>
      </c>
      <c r="X17" s="573">
        <f t="shared" si="29"/>
        <v>200852</v>
      </c>
      <c r="Y17" s="573">
        <f t="shared" si="29"/>
        <v>0</v>
      </c>
      <c r="Z17" s="573">
        <f t="shared" si="11"/>
        <v>248612</v>
      </c>
    </row>
    <row r="18" spans="1:26" x14ac:dyDescent="0.25">
      <c r="A18" s="522"/>
      <c r="B18" s="356" t="s">
        <v>504</v>
      </c>
      <c r="C18" s="357">
        <f>'2A Önk bev'!C42+'3A PH'!C15+'4H VG bev kiad'!C12+'4A Walla'!C12+'4B Nyitnikék'!C12+'4C Bóbita'!C12+'4D MMMH'!C12+'4E Könyvtár'!C12+'4F Segítő Kéz'!C12</f>
        <v>4000</v>
      </c>
      <c r="D18" s="357">
        <f>'2A Önk bev'!D42+'3A PH'!D15+'4H VG bev kiad'!D12+'4A Walla'!D12+'4B Nyitnikék'!D12+'4C Bóbita'!D12+'4D MMMH'!D12+'4E Könyvtár'!D12+'4F Segítő Kéz'!D12</f>
        <v>0</v>
      </c>
      <c r="E18" s="357">
        <f>'2A Önk bev'!E42+'3A PH'!E15</f>
        <v>0</v>
      </c>
      <c r="F18" s="357">
        <f t="shared" si="1"/>
        <v>4000</v>
      </c>
      <c r="G18" s="357">
        <f>'2A Önk bev'!G42+'3A PH'!G15+'4H VG bev kiad'!F12+'4A Walla'!F12+'4B Nyitnikék'!F12+'4C Bóbita'!F12+'4D MMMH'!F12+'4E Könyvtár'!F12+'4F Segítő Kéz'!F12</f>
        <v>4000</v>
      </c>
      <c r="H18" s="491">
        <f>'2A Önk bev'!H42+'3A PH'!H15+'4H VG bev kiad'!G12+'4A Walla'!G12+'4B Nyitnikék'!G12+'4C Bóbita'!G12+'4D MMMH'!G12+'4E Könyvtár'!G12+'4F Segítő Kéz'!G12</f>
        <v>0</v>
      </c>
      <c r="I18" s="491">
        <f>'2A Önk bev'!I42+'3A PH'!I15</f>
        <v>0</v>
      </c>
      <c r="J18" s="491">
        <f t="shared" si="3"/>
        <v>4000</v>
      </c>
      <c r="K18" s="357">
        <f>'2A Önk bev'!K42+'3A PH'!K15+'4H VG bev kiad'!I12+'4A Walla'!I12+'4B Nyitnikék'!I12+'4C Bóbita'!I12+'4D MMMH'!I12+'4E Könyvtár'!I12+'4F Segítő Kéz'!I12</f>
        <v>4000</v>
      </c>
      <c r="L18" s="491">
        <f>'2A Önk bev'!L42+'3A PH'!L15+'4H VG bev kiad'!J12+'4A Walla'!J12+'4B Nyitnikék'!J12+'4C Bóbita'!J12+'4D MMMH'!J12+'4E Könyvtár'!J12+'4F Segítő Kéz'!J12</f>
        <v>0</v>
      </c>
      <c r="M18" s="491" t="e">
        <f>'2A Önk bev'!M42+'3A PH'!M15+'4H VG bev kiad'!#REF!+'4A Walla'!#REF!+'4B Nyitnikék'!#REF!+'4C Bóbita'!#REF!+'4D MMMH'!#REF!+'4E Könyvtár'!#REF!+'4F Segítő Kéz'!#REF!</f>
        <v>#REF!</v>
      </c>
      <c r="N18" s="491" t="e">
        <f t="shared" si="5"/>
        <v>#REF!</v>
      </c>
      <c r="O18" s="357">
        <f>'2A Önk bev'!O42+'3A PH'!O15+'4H VG bev kiad'!L12+'4A Walla'!L12+'4B Nyitnikék'!L12+'4C Bóbita'!L12+'4D MMMH'!L12+'4E Könyvtár'!L12+'4F Segítő Kéz'!L12</f>
        <v>5994</v>
      </c>
      <c r="P18" s="491">
        <f>'2A Önk bev'!P42+'3A PH'!P15+'4H VG bev kiad'!M12+'4A Walla'!M12+'4B Nyitnikék'!M12+'4C Bóbita'!M12+'4D MMMH'!M12+'4E Könyvtár'!M12+'4F Segítő Kéz'!M12</f>
        <v>0</v>
      </c>
      <c r="Q18" s="491">
        <f>'2A Önk bev'!Q42+'3A PH'!Q15</f>
        <v>0</v>
      </c>
      <c r="R18" s="491">
        <f t="shared" si="7"/>
        <v>5994</v>
      </c>
      <c r="S18" s="357">
        <f>'2A Önk bev'!S42+'3A PH'!S15+'4H VG bev kiad'!O12+'4A Walla'!O12+'4B Nyitnikék'!O12+'4C Bóbita'!O12+'4D MMMH'!O12+'4E Könyvtár'!O12+'4F Segítő Kéz'!O12</f>
        <v>0</v>
      </c>
      <c r="T18" s="491">
        <f>'2A Önk bev'!T42+'3A PH'!T15+'4H VG bev kiad'!P12+'4A Walla'!P12+'4B Nyitnikék'!P12+'4C Bóbita'!P12+'4D MMMH'!P12+'4E Könyvtár'!P12+'4F Segítő Kéz'!P12</f>
        <v>0</v>
      </c>
      <c r="U18" s="491">
        <f>'2A Önk bev'!U42+'3A PH'!U15</f>
        <v>0</v>
      </c>
      <c r="V18" s="491">
        <f t="shared" si="9"/>
        <v>0</v>
      </c>
      <c r="W18" s="357">
        <f>'2A Önk bev'!W42+'3A PH'!W15+'4H VG bev kiad'!S12+'4A Walla'!S12+'4B Nyitnikék'!S12+'4C Bóbita'!S12+'4D MMMH'!S12+'4E Könyvtár'!S12+'4F Segítő Kéz'!S12</f>
        <v>0</v>
      </c>
      <c r="X18" s="491">
        <f>'2A Önk bev'!X42+'3A PH'!X15+'4H VG bev kiad'!T12+'4A Walla'!T12+'4B Nyitnikék'!T12+'4C Bóbita'!T12+'4D MMMH'!T12+'4E Könyvtár'!T12+'4F Segítő Kéz'!T12</f>
        <v>0</v>
      </c>
      <c r="Y18" s="491">
        <f>'2A Önk bev'!Y42+'3A PH'!Y15</f>
        <v>0</v>
      </c>
      <c r="Z18" s="491">
        <f t="shared" si="11"/>
        <v>0</v>
      </c>
    </row>
    <row r="19" spans="1:26" x14ac:dyDescent="0.25">
      <c r="A19" s="522"/>
      <c r="B19" s="356" t="s">
        <v>505</v>
      </c>
      <c r="C19" s="357">
        <f>'2A Önk bev'!C43+'3A PH'!C16+'4H VG bev kiad'!C13+'4A Walla'!C13+'4B Nyitnikék'!C13+'4C Bóbita'!C13+'4D MMMH'!C13+'4E Könyvtár'!C13+'4F Segítő Kéz'!C13</f>
        <v>49998</v>
      </c>
      <c r="D19" s="357">
        <f>'2A Önk bev'!D43+'3A PH'!D16+'4H VG bev kiad'!D13+'4A Walla'!D13+'4B Nyitnikék'!D13+'4C Bóbita'!D13+'4D MMMH'!D13+'4E Könyvtár'!D13+'4F Segítő Kéz'!D13</f>
        <v>0</v>
      </c>
      <c r="E19" s="357">
        <f>'2A Önk bev'!E43+'3A PH'!E16</f>
        <v>0</v>
      </c>
      <c r="F19" s="357">
        <f t="shared" si="1"/>
        <v>49998</v>
      </c>
      <c r="G19" s="357">
        <f>'2A Önk bev'!G43+'3A PH'!G16+'4H VG bev kiad'!F13+'4A Walla'!F13+'4B Nyitnikék'!F13+'4C Bóbita'!F13+'4D MMMH'!F13+'4E Könyvtár'!F13+'4F Segítő Kéz'!F13</f>
        <v>96226</v>
      </c>
      <c r="H19" s="491">
        <f>'2A Önk bev'!H43+'3A PH'!H16+'4H VG bev kiad'!G13+'4A Walla'!G13+'4B Nyitnikék'!G13+'4C Bóbita'!G13+'4D MMMH'!G13+'4E Könyvtár'!G13+'4F Segítő Kéz'!G13</f>
        <v>0</v>
      </c>
      <c r="I19" s="491">
        <f>'2A Önk bev'!I43+'3A PH'!I16</f>
        <v>0</v>
      </c>
      <c r="J19" s="491">
        <f t="shared" si="3"/>
        <v>96226</v>
      </c>
      <c r="K19" s="357">
        <f>'2A Önk bev'!K43+'3A PH'!K16+'4H VG bev kiad'!I13+'4A Walla'!I13+'4B Nyitnikék'!I13+'4C Bóbita'!I13+'4D MMMH'!I13+'4E Könyvtár'!I13+'4F Segítő Kéz'!I13</f>
        <v>50090</v>
      </c>
      <c r="L19" s="491">
        <f>'2A Önk bev'!L43+'3A PH'!L16+'4H VG bev kiad'!J13+'4A Walla'!J13+'4B Nyitnikék'!J13+'4C Bóbita'!J13+'4D MMMH'!J13+'4E Könyvtár'!J13+'4F Segítő Kéz'!J13</f>
        <v>0</v>
      </c>
      <c r="M19" s="491" t="e">
        <f>'2A Önk bev'!M43+'3A PH'!M16+'4H VG bev kiad'!#REF!+'4A Walla'!#REF!+'4B Nyitnikék'!#REF!+'4C Bóbita'!#REF!+'4D MMMH'!#REF!+'4E Könyvtár'!#REF!+'4F Segítő Kéz'!#REF!</f>
        <v>#REF!</v>
      </c>
      <c r="N19" s="491" t="e">
        <f t="shared" si="5"/>
        <v>#REF!</v>
      </c>
      <c r="O19" s="357">
        <f>'2A Önk bev'!O43+'3A PH'!O16+'4H VG bev kiad'!L13+'4A Walla'!L13+'4B Nyitnikék'!L13+'4C Bóbita'!L13+'4D MMMH'!L13+'4E Könyvtár'!L13+'4F Segítő Kéz'!L13</f>
        <v>80313</v>
      </c>
      <c r="P19" s="491">
        <f>'2A Önk bev'!P43+'3A PH'!P16+'4H VG bev kiad'!M13+'4A Walla'!M13+'4B Nyitnikék'!M13+'4C Bóbita'!M13+'4D MMMH'!M13+'4E Könyvtár'!M13+'4F Segítő Kéz'!M13</f>
        <v>0</v>
      </c>
      <c r="Q19" s="491">
        <f>'2A Önk bev'!Q43+'3A PH'!Q16</f>
        <v>0</v>
      </c>
      <c r="R19" s="491">
        <f t="shared" si="7"/>
        <v>80313</v>
      </c>
      <c r="S19" s="357">
        <f>'2A Önk bev'!S43+'3A PH'!S16+'4H VG bev kiad'!O13+'4A Walla'!O13+'4B Nyitnikék'!O13+'4C Bóbita'!O13+'4D MMMH'!O13+'4E Könyvtár'!O13+'4F Segítő Kéz'!O13</f>
        <v>73830</v>
      </c>
      <c r="T19" s="491">
        <f>'2A Önk bev'!T43+'3A PH'!T16+'4H VG bev kiad'!P13+'4A Walla'!P13+'4B Nyitnikék'!P13+'4C Bóbita'!P13+'4D MMMH'!P13+'4E Könyvtár'!P13+'4F Segítő Kéz'!P13</f>
        <v>0</v>
      </c>
      <c r="U19" s="491">
        <f>'2A Önk bev'!U43+'3A PH'!U16</f>
        <v>0</v>
      </c>
      <c r="V19" s="491">
        <f t="shared" si="9"/>
        <v>73830</v>
      </c>
      <c r="W19" s="357">
        <f>'2A Önk bev'!W43+'3A PH'!W16+'4H VG bev kiad'!S13+'4A Walla'!S13+'4B Nyitnikék'!S13+'4C Bóbita'!S13+'4D MMMH'!S13+'4E Könyvtár'!S13+'4F Segítő Kéz'!S13</f>
        <v>25490</v>
      </c>
      <c r="X19" s="491">
        <f>'2A Önk bev'!X43+'3A PH'!X16+'4H VG bev kiad'!T13+'4A Walla'!T13+'4B Nyitnikék'!T13+'4C Bóbita'!T13+'4D MMMH'!T13+'4E Könyvtár'!T13+'4F Segítő Kéz'!T13</f>
        <v>48340</v>
      </c>
      <c r="Y19" s="491">
        <f>'2A Önk bev'!Y43+'3A PH'!Y16</f>
        <v>0</v>
      </c>
      <c r="Z19" s="491">
        <f t="shared" si="11"/>
        <v>73830</v>
      </c>
    </row>
    <row r="20" spans="1:26" x14ac:dyDescent="0.25">
      <c r="A20" s="522"/>
      <c r="B20" s="356" t="s">
        <v>508</v>
      </c>
      <c r="C20" s="357">
        <f>'2A Önk bev'!C46+'3A PH'!C17+'4H VG bev kiad'!C14+'4A Walla'!C14+'4B Nyitnikék'!C14+'4C Bóbita'!C14+'4D MMMH'!C14+'4E Könyvtár'!C14+'4F Segítő Kéz'!C14</f>
        <v>8674</v>
      </c>
      <c r="D20" s="357">
        <f>'2A Önk bev'!D46+'3A PH'!D17+'4H VG bev kiad'!D14+'4A Walla'!D14+'4B Nyitnikék'!D14+'4C Bóbita'!D14+'4D MMMH'!D14+'4E Könyvtár'!D14+'4F Segítő Kéz'!D14</f>
        <v>48890</v>
      </c>
      <c r="E20" s="357">
        <f>'2A Önk bev'!E46+'3A PH'!E17</f>
        <v>0</v>
      </c>
      <c r="F20" s="357">
        <f t="shared" si="1"/>
        <v>57564</v>
      </c>
      <c r="G20" s="357">
        <f>'2A Önk bev'!G46+'3A PH'!G17+'4H VG bev kiad'!F14+'4A Walla'!F14+'4B Nyitnikék'!F14+'4C Bóbita'!F14+'4D MMMH'!F14+'4E Könyvtár'!F14+'4F Segítő Kéz'!F14</f>
        <v>8674</v>
      </c>
      <c r="H20" s="491">
        <f>'2A Önk bev'!H46+'3A PH'!H17+'4H VG bev kiad'!G14+'4A Walla'!G14+'4B Nyitnikék'!G14+'4C Bóbita'!G14+'4D MMMH'!G14+'4E Könyvtár'!G14+'4F Segítő Kéz'!G14</f>
        <v>48890</v>
      </c>
      <c r="I20" s="491">
        <f>'2A Önk bev'!I46+'3A PH'!I17</f>
        <v>0</v>
      </c>
      <c r="J20" s="491">
        <f t="shared" si="3"/>
        <v>57564</v>
      </c>
      <c r="K20" s="357">
        <f>'2A Önk bev'!K46+'3A PH'!K17+'4H VG bev kiad'!I14+'4A Walla'!I14+'4B Nyitnikék'!I14+'4C Bóbita'!I14+'4D MMMH'!I14+'4E Könyvtár'!I14+'4F Segítő Kéz'!I14</f>
        <v>8673</v>
      </c>
      <c r="L20" s="491">
        <f>'2A Önk bev'!L46+'3A PH'!L17+'4H VG bev kiad'!J14+'4A Walla'!J14+'4B Nyitnikék'!J14+'4C Bóbita'!J14+'4D MMMH'!J14+'4E Könyvtár'!J14+'4F Segítő Kéz'!J14</f>
        <v>46884</v>
      </c>
      <c r="M20" s="491" t="e">
        <f>'2A Önk bev'!M46+'3A PH'!M17+'4H VG bev kiad'!#REF!+'4A Walla'!#REF!+'4B Nyitnikék'!#REF!+'4C Bóbita'!#REF!+'4D MMMH'!#REF!+'4E Könyvtár'!#REF!+'4F Segítő Kéz'!#REF!</f>
        <v>#REF!</v>
      </c>
      <c r="N20" s="491" t="e">
        <f t="shared" si="5"/>
        <v>#REF!</v>
      </c>
      <c r="O20" s="357">
        <f>'2A Önk bev'!O46+'3A PH'!O17+'4H VG bev kiad'!L14+'4A Walla'!L14+'4B Nyitnikék'!L14+'4C Bóbita'!L14+'4D MMMH'!L14+'4E Könyvtár'!L14+'4F Segítő Kéz'!L14</f>
        <v>17078</v>
      </c>
      <c r="P20" s="491">
        <f>'2A Önk bev'!P46+'3A PH'!P17+'4H VG bev kiad'!M14+'4A Walla'!M14+'4B Nyitnikék'!M14+'4C Bóbita'!M14+'4D MMMH'!M14+'4E Könyvtár'!M14+'4F Segítő Kéz'!M14</f>
        <v>0</v>
      </c>
      <c r="Q20" s="491">
        <f>'2A Önk bev'!Q46+'3A PH'!Q17</f>
        <v>0</v>
      </c>
      <c r="R20" s="491">
        <f t="shared" si="7"/>
        <v>17078</v>
      </c>
      <c r="S20" s="357">
        <f>'2A Önk bev'!S46+'3A PH'!S17+'4H VG bev kiad'!O14+'4A Walla'!O14+'4B Nyitnikék'!O14+'4C Bóbita'!O14+'4D MMMH'!O14+'4E Könyvtár'!O14+'4F Segítő Kéz'!O14</f>
        <v>8000</v>
      </c>
      <c r="T20" s="491">
        <f>'2A Önk bev'!T46+'3A PH'!T17+'4H VG bev kiad'!P14+'4A Walla'!P14+'4B Nyitnikék'!P14+'4C Bóbita'!P14+'4D MMMH'!P14+'4E Könyvtár'!P14+'4F Segítő Kéz'!P14</f>
        <v>28848</v>
      </c>
      <c r="U20" s="491">
        <f>'2A Önk bev'!U46+'3A PH'!U17</f>
        <v>0</v>
      </c>
      <c r="V20" s="491">
        <f t="shared" si="9"/>
        <v>36848</v>
      </c>
      <c r="W20" s="357">
        <f>'2A Önk bev'!W46+'3A PH'!W17+'4H VG bev kiad'!S14+'4A Walla'!S14+'4B Nyitnikék'!S14+'4C Bóbita'!S14+'4D MMMH'!S14+'4E Könyvtár'!S14+'4F Segítő Kéz'!S14</f>
        <v>8000</v>
      </c>
      <c r="X20" s="491">
        <f>'2A Önk bev'!X46+'3A PH'!X17+'4H VG bev kiad'!T14+'4A Walla'!T14+'4B Nyitnikék'!T14+'4C Bóbita'!T14+'4D MMMH'!T14+'4E Könyvtár'!T14+'4F Segítő Kéz'!T14</f>
        <v>28848</v>
      </c>
      <c r="Y20" s="491">
        <f>'2A Önk bev'!Y46+'3A PH'!Y17</f>
        <v>0</v>
      </c>
      <c r="Z20" s="491">
        <f t="shared" si="11"/>
        <v>36848</v>
      </c>
    </row>
    <row r="21" spans="1:26" x14ac:dyDescent="0.25">
      <c r="A21" s="522"/>
      <c r="B21" s="356" t="s">
        <v>511</v>
      </c>
      <c r="C21" s="357">
        <f>'2A Önk bev'!C50+'3A PH'!C18+'4H VG bev kiad'!C15+'4A Walla'!C15+'4B Nyitnikék'!C15+'4C Bóbita'!C15+'4D MMMH'!C15+'4E Könyvtár'!C15+'4F Segítő Kéz'!C15+'4G Szérüskert'!C15</f>
        <v>73800</v>
      </c>
      <c r="D21" s="357">
        <f>'2A Önk bev'!D50+'3A PH'!D18+'4H VG bev kiad'!D15+'4A Walla'!D15+'4B Nyitnikék'!D15+'4C Bóbita'!D15+'4D MMMH'!D15+'4E Könyvtár'!D15+'4F Segítő Kéz'!D15+'4G Szérüskert'!D15</f>
        <v>0</v>
      </c>
      <c r="E21" s="357">
        <f>'2A Önk bev'!E50+'3A PH'!E18</f>
        <v>0</v>
      </c>
      <c r="F21" s="357">
        <f t="shared" si="1"/>
        <v>73800</v>
      </c>
      <c r="G21" s="357">
        <f>'2A Önk bev'!G50+'3A PH'!G18+'4H VG bev kiad'!F15+'4A Walla'!F15+'4B Nyitnikék'!F15+'4C Bóbita'!F15+'4D MMMH'!F15+'4E Könyvtár'!F15+'4F Segítő Kéz'!F15+'4G Szérüskert'!F15</f>
        <v>73800</v>
      </c>
      <c r="H21" s="491">
        <f>'2A Önk bev'!H50+'3A PH'!H18+'4H VG bev kiad'!G15+'4A Walla'!G15+'4B Nyitnikék'!G15+'4C Bóbita'!G15+'4D MMMH'!G15+'4E Könyvtár'!G15+'4F Segítő Kéz'!G15+'4G Szérüskert'!G15</f>
        <v>0</v>
      </c>
      <c r="I21" s="491">
        <f>'2A Önk bev'!I50+'3A PH'!I18</f>
        <v>0</v>
      </c>
      <c r="J21" s="491">
        <f t="shared" si="3"/>
        <v>73800</v>
      </c>
      <c r="K21" s="357">
        <f>'2A Önk bev'!K50+'3A PH'!K18+'4H VG bev kiad'!I15+'4A Walla'!I15+'4B Nyitnikék'!I15+'4C Bóbita'!I15+'4D MMMH'!I15+'4E Könyvtár'!I15+'4F Segítő Kéz'!I15+'4G Szérüskert'!I15</f>
        <v>73060</v>
      </c>
      <c r="L21" s="491">
        <f>'2A Önk bev'!L50+'3A PH'!L18+'4H VG bev kiad'!J15+'4A Walla'!J15+'4B Nyitnikék'!J15+'4C Bóbita'!J15+'4D MMMH'!J15+'4E Könyvtár'!J15+'4F Segítő Kéz'!J15+'4G Szérüskert'!J15</f>
        <v>0</v>
      </c>
      <c r="M21" s="491" t="e">
        <f>'2A Önk bev'!M50+'3A PH'!M18+'4H VG bev kiad'!#REF!+'4A Walla'!#REF!+'4B Nyitnikék'!#REF!+'4C Bóbita'!#REF!+'4D MMMH'!#REF!+'4E Könyvtár'!#REF!+'4F Segítő Kéz'!#REF!+'4G Szérüskert'!#REF!</f>
        <v>#REF!</v>
      </c>
      <c r="N21" s="491" t="e">
        <f t="shared" si="5"/>
        <v>#REF!</v>
      </c>
      <c r="O21" s="357">
        <f>'2A Önk bev'!O50+'3A PH'!O18+'4H VG bev kiad'!L15+'4A Walla'!L15+'4B Nyitnikék'!L15+'4C Bóbita'!L15+'4D MMMH'!L15+'4E Könyvtár'!L15+'4F Segítő Kéz'!L15+'4G Szérüskert'!L15</f>
        <v>87304</v>
      </c>
      <c r="P21" s="491">
        <f>'2A Önk bev'!P50+'3A PH'!P18+'4H VG bev kiad'!M15+'4A Walla'!M15+'4B Nyitnikék'!M15+'4C Bóbita'!M15+'4D MMMH'!M15+'4E Könyvtár'!M15+'4F Segítő Kéz'!M15+'4G Szérüskert'!M15</f>
        <v>0</v>
      </c>
      <c r="Q21" s="491">
        <f>'2A Önk bev'!Q50+'3A PH'!Q18</f>
        <v>0</v>
      </c>
      <c r="R21" s="491">
        <f t="shared" si="7"/>
        <v>87304</v>
      </c>
      <c r="S21" s="357">
        <f>'2A Önk bev'!S50+'3A PH'!S18+'4H VG bev kiad'!O15+'4A Walla'!O15+'4B Nyitnikék'!O15+'4C Bóbita'!O15+'4D MMMH'!O15+'4E Könyvtár'!O15+'4F Segítő Kéz'!O15+'4G Szérüskert'!O15</f>
        <v>83590</v>
      </c>
      <c r="T21" s="491">
        <f>'2A Önk bev'!T50+'3A PH'!T18+'4H VG bev kiad'!P15+'4A Walla'!P15+'4B Nyitnikék'!P15+'4C Bóbita'!P15+'4D MMMH'!P15+'4E Könyvtár'!P15+'4F Segítő Kéz'!P15+'4G Szérüskert'!P15</f>
        <v>0</v>
      </c>
      <c r="U21" s="491">
        <f>'2A Önk bev'!U50+'3A PH'!U18</f>
        <v>0</v>
      </c>
      <c r="V21" s="491">
        <f t="shared" si="9"/>
        <v>83590</v>
      </c>
      <c r="W21" s="357">
        <f>'2A Önk bev'!W50+'3A PH'!W18+'4H VG bev kiad'!S15+'4A Walla'!S15+'4B Nyitnikék'!S15+'4C Bóbita'!S15+'4D MMMH'!S15+'4E Könyvtár'!S15+'4F Segítő Kéz'!S15+'4G Szérüskert'!S15</f>
        <v>0</v>
      </c>
      <c r="X21" s="491">
        <f>'2A Önk bev'!X50+'3A PH'!X18+'4H VG bev kiad'!T15+'4A Walla'!T15+'4B Nyitnikék'!T15+'4C Bóbita'!T15+'4D MMMH'!T15+'4E Könyvtár'!T15+'4F Segítő Kéz'!T15+'4G Szérüskert'!T15</f>
        <v>83590</v>
      </c>
      <c r="Y21" s="491">
        <f>'2A Önk bev'!Y50+'3A PH'!Y18</f>
        <v>0</v>
      </c>
      <c r="Z21" s="491">
        <f t="shared" si="11"/>
        <v>83590</v>
      </c>
    </row>
    <row r="22" spans="1:26" x14ac:dyDescent="0.25">
      <c r="A22" s="522"/>
      <c r="B22" s="356" t="s">
        <v>512</v>
      </c>
      <c r="C22" s="357">
        <f>'2A Önk bev'!C51+'3A PH'!C19+'4H VG bev kiad'!C16+'4A Walla'!C16+'4B Nyitnikék'!C16+'4C Bóbita'!C16+'4D MMMH'!C16+'4E Könyvtár'!C16+'4F Segítő Kéz'!C16+'4G Szérüskert'!C16</f>
        <v>30103</v>
      </c>
      <c r="D22" s="357">
        <f>'2A Önk bev'!D51+'3A PH'!D19+'4H VG bev kiad'!D16+'4A Walla'!D16+'4B Nyitnikék'!D16+'4C Bóbita'!D16+'4D MMMH'!D16+'4E Könyvtár'!D16+'4F Segítő Kéz'!D16+'4G Szérüskert'!D16</f>
        <v>13200</v>
      </c>
      <c r="E22" s="357">
        <f>'2A Önk bev'!E51+'3A PH'!E19</f>
        <v>0</v>
      </c>
      <c r="F22" s="357">
        <f t="shared" si="1"/>
        <v>43303</v>
      </c>
      <c r="G22" s="357">
        <f>'2A Önk bev'!G51+'3A PH'!G19+'4H VG bev kiad'!F16+'4A Walla'!F16+'4B Nyitnikék'!F16+'4C Bóbita'!F16+'4D MMMH'!F16+'4E Könyvtár'!F16+'4F Segítő Kéz'!F16+'4G Szérüskert'!F16</f>
        <v>42585</v>
      </c>
      <c r="H22" s="491">
        <f>'2A Önk bev'!H51+'3A PH'!H19+'4H VG bev kiad'!G16+'4A Walla'!G16+'4B Nyitnikék'!G16+'4C Bóbita'!G16+'4D MMMH'!G16+'4E Könyvtár'!G16+'4F Segítő Kéz'!G16+'4G Szérüskert'!G16</f>
        <v>140759</v>
      </c>
      <c r="I22" s="491">
        <f>'2A Önk bev'!I51+'3A PH'!I19</f>
        <v>0</v>
      </c>
      <c r="J22" s="491">
        <f t="shared" si="3"/>
        <v>183344</v>
      </c>
      <c r="K22" s="357">
        <f>'2A Önk bev'!K51+'3A PH'!K19+'4H VG bev kiad'!I16+'4A Walla'!I16+'4B Nyitnikék'!I16+'4C Bóbita'!I16+'4D MMMH'!I16+'4E Könyvtár'!I16+'4F Segítő Kéz'!I16+'4G Szérüskert'!I16</f>
        <v>29903</v>
      </c>
      <c r="L22" s="491">
        <f>'2A Önk bev'!L51+'3A PH'!L19+'4H VG bev kiad'!J16+'4A Walla'!J16+'4B Nyitnikék'!J16+'4C Bóbita'!J16+'4D MMMH'!J16+'4E Könyvtár'!J16+'4F Segítő Kéz'!J16+'4G Szérüskert'!J16</f>
        <v>12659</v>
      </c>
      <c r="M22" s="491" t="e">
        <f>'2A Önk bev'!M51+'3A PH'!M19+'4H VG bev kiad'!#REF!+'4A Walla'!#REF!+'4B Nyitnikék'!#REF!+'4C Bóbita'!#REF!+'4D MMMH'!#REF!+'4E Könyvtár'!#REF!+'4F Segítő Kéz'!#REF!+'4G Szérüskert'!#REF!</f>
        <v>#REF!</v>
      </c>
      <c r="N22" s="491" t="e">
        <f t="shared" si="5"/>
        <v>#REF!</v>
      </c>
      <c r="O22" s="357">
        <f>'2A Önk bev'!O51+'3A PH'!O19+'4H VG bev kiad'!L16+'4A Walla'!L16+'4B Nyitnikék'!L16+'4C Bóbita'!L16+'4D MMMH'!L16+'4E Könyvtár'!L16+'4F Segítő Kéz'!L16+'4G Szérüskert'!L16</f>
        <v>187899</v>
      </c>
      <c r="P22" s="491">
        <f>'2A Önk bev'!P51+'3A PH'!P19+'4H VG bev kiad'!M16+'4A Walla'!M16+'4B Nyitnikék'!M16+'4C Bóbita'!M16+'4D MMMH'!M16+'4E Könyvtár'!M16+'4F Segítő Kéz'!M16+'4G Szérüskert'!M16</f>
        <v>0</v>
      </c>
      <c r="Q22" s="491">
        <f>'2A Önk bev'!Q51+'3A PH'!Q19</f>
        <v>0</v>
      </c>
      <c r="R22" s="491">
        <f t="shared" si="7"/>
        <v>187899</v>
      </c>
      <c r="S22" s="357">
        <f>'2A Önk bev'!S51+'3A PH'!S19+'4H VG bev kiad'!O16+'4A Walla'!O16+'4B Nyitnikék'!O16+'4C Bóbita'!O16+'4D MMMH'!O16+'4E Könyvtár'!O16+'4F Segítő Kéz'!O16+'4G Szérüskert'!O16</f>
        <v>31447</v>
      </c>
      <c r="T22" s="491">
        <f>'2A Önk bev'!T51+'3A PH'!T19+'4H VG bev kiad'!P16+'4A Walla'!P16+'4B Nyitnikék'!P16+'4C Bóbita'!P16+'4D MMMH'!P16+'4E Könyvtár'!P16+'4F Segítő Kéz'!P16+'4G Szérüskert'!P16</f>
        <v>7789</v>
      </c>
      <c r="U22" s="491">
        <f>'2A Önk bev'!U51+'3A PH'!U19</f>
        <v>0</v>
      </c>
      <c r="V22" s="491">
        <f t="shared" si="9"/>
        <v>39236</v>
      </c>
      <c r="W22" s="357">
        <f>'2A Önk bev'!W51+'3A PH'!W19+'4H VG bev kiad'!S16+'4A Walla'!S16+'4B Nyitnikék'!S16+'4C Bóbita'!S16+'4D MMMH'!S16+'4E Könyvtár'!S16+'4F Segítő Kéz'!S16+'4G Szérüskert'!S16</f>
        <v>270</v>
      </c>
      <c r="X22" s="491">
        <f>'2A Önk bev'!X51+'3A PH'!X19+'4H VG bev kiad'!T16+'4A Walla'!T16+'4B Nyitnikék'!T16+'4C Bóbita'!T16+'4D MMMH'!T16+'4E Könyvtár'!T16+'4F Segítő Kéz'!T16+'4G Szérüskert'!T16</f>
        <v>38966</v>
      </c>
      <c r="Y22" s="491">
        <f>'2A Önk bev'!Y51+'3A PH'!Y19</f>
        <v>0</v>
      </c>
      <c r="Z22" s="491">
        <f t="shared" si="11"/>
        <v>39236</v>
      </c>
    </row>
    <row r="23" spans="1:26" x14ac:dyDescent="0.25">
      <c r="A23" s="522"/>
      <c r="B23" s="356" t="s">
        <v>513</v>
      </c>
      <c r="C23" s="357">
        <f>'2A Önk bev'!C52+'3A PH'!C20+'4H VG bev kiad'!C17+'4A Walla'!C17+'4B Nyitnikék'!C17+'4C Bóbita'!C17+'4D MMMH'!C17+'4E Könyvtár'!C17+'4F Segítő Kéz'!C17</f>
        <v>0</v>
      </c>
      <c r="D23" s="357">
        <f>'2A Önk bev'!D52+'3A PH'!D20+'4H VG bev kiad'!D17+'4A Walla'!D17+'4B Nyitnikék'!D17+'4C Bóbita'!D17+'4D MMMH'!D17+'4E Könyvtár'!D17+'4F Segítő Kéz'!D17</f>
        <v>0</v>
      </c>
      <c r="E23" s="357">
        <f>'2A Önk bev'!E52+'3A PH'!E20</f>
        <v>0</v>
      </c>
      <c r="F23" s="357">
        <f t="shared" si="1"/>
        <v>0</v>
      </c>
      <c r="G23" s="357">
        <f>'2A Önk bev'!G52+'3A PH'!G20+'4H VG bev kiad'!F17+'4A Walla'!F17+'4B Nyitnikék'!F17+'4C Bóbita'!F17+'4D MMMH'!F17+'4E Könyvtár'!F17+'4F Segítő Kéz'!F17</f>
        <v>23771</v>
      </c>
      <c r="H23" s="491">
        <f>'2A Önk bev'!H52+'3A PH'!H20+'4H VG bev kiad'!G17+'4A Walla'!G17+'4B Nyitnikék'!G17+'4C Bóbita'!G17+'4D MMMH'!G17+'4E Könyvtár'!G17+'4F Segítő Kéz'!G17</f>
        <v>0</v>
      </c>
      <c r="I23" s="491">
        <f>'2A Önk bev'!I52+'3A PH'!I20</f>
        <v>0</v>
      </c>
      <c r="J23" s="491">
        <f t="shared" si="3"/>
        <v>23771</v>
      </c>
      <c r="K23" s="357">
        <f>'2A Önk bev'!K52+'3A PH'!K20+'4H VG bev kiad'!I17+'4A Walla'!I17+'4B Nyitnikék'!I17+'4C Bóbita'!I17+'4D MMMH'!I17+'4E Könyvtár'!I17+'4F Segítő Kéz'!I17</f>
        <v>23771</v>
      </c>
      <c r="L23" s="491">
        <f>'2A Önk bev'!L52+'3A PH'!L20+'4H VG bev kiad'!J17+'4A Walla'!J17+'4B Nyitnikék'!J17+'4C Bóbita'!J17+'4D MMMH'!J17+'4E Könyvtár'!J17+'4F Segítő Kéz'!J17</f>
        <v>0</v>
      </c>
      <c r="M23" s="491" t="e">
        <f>'2A Önk bev'!M52+'3A PH'!M20+'4H VG bev kiad'!#REF!+'4A Walla'!#REF!+'4B Nyitnikék'!#REF!+'4C Bóbita'!#REF!+'4D MMMH'!#REF!+'4E Könyvtár'!#REF!+'4F Segítő Kéz'!#REF!</f>
        <v>#REF!</v>
      </c>
      <c r="N23" s="491" t="e">
        <f t="shared" si="5"/>
        <v>#REF!</v>
      </c>
      <c r="O23" s="357">
        <f>'2A Önk bev'!O52+'3A PH'!O20+'4H VG bev kiad'!L17+'4A Walla'!L17+'4B Nyitnikék'!L17+'4C Bóbita'!L17+'4D MMMH'!L17+'4E Könyvtár'!L17+'4F Segítő Kéz'!L17</f>
        <v>26241</v>
      </c>
      <c r="P23" s="491">
        <f>'2A Önk bev'!P52+'3A PH'!P20+'4H VG bev kiad'!M17+'4A Walla'!M17+'4B Nyitnikék'!M17+'4C Bóbita'!M17+'4D MMMH'!M17+'4E Könyvtár'!M17+'4F Segítő Kéz'!M17</f>
        <v>0</v>
      </c>
      <c r="Q23" s="491">
        <f>'2A Önk bev'!Q52+'3A PH'!Q20</f>
        <v>0</v>
      </c>
      <c r="R23" s="491">
        <f t="shared" si="7"/>
        <v>26241</v>
      </c>
      <c r="S23" s="357">
        <f>'2A Önk bev'!S52+'3A PH'!S20+'4H VG bev kiad'!O17+'4A Walla'!O17+'4B Nyitnikék'!O17+'4C Bóbita'!O17+'4D MMMH'!O17+'4E Könyvtár'!O17+'4F Segítő Kéz'!O17</f>
        <v>0</v>
      </c>
      <c r="T23" s="491">
        <f>'2A Önk bev'!T52+'3A PH'!T20+'4H VG bev kiad'!P17+'4A Walla'!P17+'4B Nyitnikék'!P17+'4C Bóbita'!P17+'4D MMMH'!P17+'4E Könyvtár'!P17+'4F Segítő Kéz'!P17</f>
        <v>0</v>
      </c>
      <c r="U23" s="491">
        <f>'2A Önk bev'!U52+'3A PH'!U20</f>
        <v>0</v>
      </c>
      <c r="V23" s="491">
        <f t="shared" si="9"/>
        <v>0</v>
      </c>
      <c r="W23" s="357">
        <f>'2A Önk bev'!W52+'3A PH'!W20+'4H VG bev kiad'!S17+'4A Walla'!S17+'4B Nyitnikék'!S17+'4C Bóbita'!S17+'4D MMMH'!S17+'4E Könyvtár'!S17+'4F Segítő Kéz'!S17</f>
        <v>0</v>
      </c>
      <c r="X23" s="491">
        <f>'2A Önk bev'!X52+'3A PH'!X20+'4H VG bev kiad'!T17+'4A Walla'!T17+'4B Nyitnikék'!T17+'4C Bóbita'!T17+'4D MMMH'!T17+'4E Könyvtár'!T17+'4F Segítő Kéz'!T17</f>
        <v>0</v>
      </c>
      <c r="Y23" s="491">
        <f>'2A Önk bev'!Y52+'3A PH'!Y20</f>
        <v>0</v>
      </c>
      <c r="Z23" s="491">
        <f t="shared" si="11"/>
        <v>0</v>
      </c>
    </row>
    <row r="24" spans="1:26" x14ac:dyDescent="0.25">
      <c r="A24" s="522"/>
      <c r="B24" s="356" t="s">
        <v>514</v>
      </c>
      <c r="C24" s="357">
        <f>'2A Önk bev'!C53+'3A PH'!C21+'4H VG bev kiad'!C18+'4A Walla'!C18+'4B Nyitnikék'!C18+'4C Bóbita'!C18+'4D MMMH'!C18+'4E Könyvtár'!C18+'4F Segítő Kéz'!C18</f>
        <v>6001</v>
      </c>
      <c r="D24" s="357">
        <f>'2A Önk bev'!D53+'3A PH'!D21+'4H VG bev kiad'!D18+'4A Walla'!D18+'4B Nyitnikék'!D18+'4C Bóbita'!D18+'4D MMMH'!D18+'4E Könyvtár'!D18+'4F Segítő Kéz'!D18</f>
        <v>0</v>
      </c>
      <c r="E24" s="357">
        <f>'2A Önk bev'!E53+'3A PH'!E21</f>
        <v>0</v>
      </c>
      <c r="F24" s="357">
        <f t="shared" si="1"/>
        <v>6001</v>
      </c>
      <c r="G24" s="357">
        <f>'2A Önk bev'!G53+'3A PH'!G21+'4H VG bev kiad'!F18+'4A Walla'!F18+'4B Nyitnikék'!F18+'4C Bóbita'!F18+'4D MMMH'!F18+'4E Könyvtár'!F18+'4F Segítő Kéz'!F18</f>
        <v>6001</v>
      </c>
      <c r="H24" s="491">
        <f>'2A Önk bev'!H53+'3A PH'!H21+'4H VG bev kiad'!G18+'4A Walla'!G18+'4B Nyitnikék'!G18+'4C Bóbita'!G18+'4D MMMH'!G18+'4E Könyvtár'!G18+'4F Segítő Kéz'!G18</f>
        <v>0</v>
      </c>
      <c r="I24" s="491">
        <f>'2A Önk bev'!I53+'3A PH'!I21</f>
        <v>0</v>
      </c>
      <c r="J24" s="491">
        <f t="shared" si="3"/>
        <v>6001</v>
      </c>
      <c r="K24" s="357">
        <f>'2A Önk bev'!K53+'3A PH'!K21+'4H VG bev kiad'!I18+'4A Walla'!I18+'4B Nyitnikék'!I18+'4C Bóbita'!I18+'4D MMMH'!I18+'4E Könyvtár'!I18+'4F Segítő Kéz'!I18</f>
        <v>6001</v>
      </c>
      <c r="L24" s="491">
        <f>'2A Önk bev'!L53+'3A PH'!L21+'4H VG bev kiad'!J18+'4A Walla'!J18+'4B Nyitnikék'!J18+'4C Bóbita'!J18+'4D MMMH'!J18+'4E Könyvtár'!J18+'4F Segítő Kéz'!J18</f>
        <v>0</v>
      </c>
      <c r="M24" s="491" t="e">
        <f>'2A Önk bev'!M53+'3A PH'!M21+'4H VG bev kiad'!#REF!+'4A Walla'!#REF!+'4B Nyitnikék'!#REF!+'4C Bóbita'!#REF!+'4D MMMH'!#REF!+'4E Könyvtár'!#REF!+'4F Segítő Kéz'!#REF!</f>
        <v>#REF!</v>
      </c>
      <c r="N24" s="491" t="e">
        <f t="shared" si="5"/>
        <v>#REF!</v>
      </c>
      <c r="O24" s="357">
        <f>'2A Önk bev'!O53+'3A PH'!O21+'4H VG bev kiad'!L18+'4A Walla'!L18+'4B Nyitnikék'!L18+'4C Bóbita'!L18+'4D MMMH'!L18+'4E Könyvtár'!L18+'4F Segítő Kéz'!L18</f>
        <v>369</v>
      </c>
      <c r="P24" s="491">
        <f>'2A Önk bev'!P53+'3A PH'!P21+'4H VG bev kiad'!M18+'4A Walla'!M18+'4B Nyitnikék'!M18+'4C Bóbita'!M18+'4D MMMH'!M18+'4E Könyvtár'!M18+'4F Segítő Kéz'!M18</f>
        <v>0</v>
      </c>
      <c r="Q24" s="491">
        <f>'2A Önk bev'!Q53+'3A PH'!Q21</f>
        <v>0</v>
      </c>
      <c r="R24" s="491">
        <f t="shared" si="7"/>
        <v>369</v>
      </c>
      <c r="S24" s="357">
        <f>'2A Önk bev'!S53+'3A PH'!S21+'4H VG bev kiad'!O18+'4A Walla'!O18+'4B Nyitnikék'!O18+'4C Bóbita'!O18+'4D MMMH'!O18+'4E Könyvtár'!O18+'4F Segítő Kéz'!O18</f>
        <v>1</v>
      </c>
      <c r="T24" s="491">
        <f>'2A Önk bev'!T53+'3A PH'!T21+'4H VG bev kiad'!P18+'4A Walla'!P18+'4B Nyitnikék'!P18+'4C Bóbita'!P18+'4D MMMH'!P18+'4E Könyvtár'!P18+'4F Segítő Kéz'!P18</f>
        <v>0</v>
      </c>
      <c r="U24" s="491">
        <f>'2A Önk bev'!U53+'3A PH'!U21</f>
        <v>0</v>
      </c>
      <c r="V24" s="491">
        <f t="shared" si="9"/>
        <v>1</v>
      </c>
      <c r="W24" s="357">
        <f>'2A Önk bev'!W53+'3A PH'!W21+'4H VG bev kiad'!S18+'4A Walla'!S18+'4B Nyitnikék'!S18+'4C Bóbita'!S18+'4D MMMH'!S18+'4E Könyvtár'!S18+'4F Segítő Kéz'!S18</f>
        <v>0</v>
      </c>
      <c r="X24" s="491">
        <f>'2A Önk bev'!X53+'3A PH'!X21+'4H VG bev kiad'!T18+'4A Walla'!T18+'4B Nyitnikék'!T18+'4C Bóbita'!T18+'4D MMMH'!T18+'4E Könyvtár'!T18+'4F Segítő Kéz'!T18</f>
        <v>1</v>
      </c>
      <c r="Y24" s="491">
        <f>'2A Önk bev'!Y53+'3A PH'!Y21</f>
        <v>0</v>
      </c>
      <c r="Z24" s="491">
        <f t="shared" si="11"/>
        <v>1</v>
      </c>
    </row>
    <row r="25" spans="1:26" x14ac:dyDescent="0.25">
      <c r="A25" s="522"/>
      <c r="B25" s="356" t="s">
        <v>515</v>
      </c>
      <c r="C25" s="357">
        <f>'2A Önk bev'!C54+'3A PH'!C22+'4H VG bev kiad'!C19+'4A Walla'!C19+'4B Nyitnikék'!C19+'4C Bóbita'!C19+'4D MMMH'!C19+'4E Könyvtár'!C19+'4F Segítő Kéz'!C19</f>
        <v>8490</v>
      </c>
      <c r="D25" s="357">
        <f>'2A Önk bev'!D54+'3A PH'!D22+'4H VG bev kiad'!D19+'4A Walla'!D19+'4B Nyitnikék'!D19+'4C Bóbita'!D19+'4D MMMH'!D19+'4E Könyvtár'!D19+'4F Segítő Kéz'!D19</f>
        <v>0</v>
      </c>
      <c r="E25" s="357">
        <f>'2A Önk bev'!E54+'3A PH'!E22</f>
        <v>0</v>
      </c>
      <c r="F25" s="357">
        <f t="shared" si="1"/>
        <v>8490</v>
      </c>
      <c r="G25" s="357">
        <f>'2A Önk bev'!G54+'3A PH'!G22+'4H VG bev kiad'!F19+'4A Walla'!F19+'4B Nyitnikék'!F19+'4C Bóbita'!F19+'4D MMMH'!F19+'4E Könyvtár'!F19+'4F Segítő Kéz'!F19</f>
        <v>8490</v>
      </c>
      <c r="H25" s="491">
        <f>'2A Önk bev'!H54+'3A PH'!H22+'4H VG bev kiad'!G19+'4A Walla'!G19+'4B Nyitnikék'!G19+'4C Bóbita'!G19+'4D MMMH'!G19+'4E Könyvtár'!G19+'4F Segítő Kéz'!G19</f>
        <v>0</v>
      </c>
      <c r="I25" s="491">
        <f>'2A Önk bev'!I54+'3A PH'!I22</f>
        <v>0</v>
      </c>
      <c r="J25" s="491">
        <f t="shared" si="3"/>
        <v>8490</v>
      </c>
      <c r="K25" s="357">
        <f>'2A Önk bev'!K54+'3A PH'!K22+'4H VG bev kiad'!I19+'4A Walla'!I19+'4B Nyitnikék'!I19+'4C Bóbita'!I19+'4D MMMH'!I19+'4E Könyvtár'!I19+'4F Segítő Kéz'!I19</f>
        <v>8490</v>
      </c>
      <c r="L25" s="491">
        <f>'2A Önk bev'!L54+'3A PH'!L22+'4H VG bev kiad'!J19+'4A Walla'!J19+'4B Nyitnikék'!J19+'4C Bóbita'!J19+'4D MMMH'!J19+'4E Könyvtár'!J19+'4F Segítő Kéz'!J19</f>
        <v>0</v>
      </c>
      <c r="M25" s="491" t="e">
        <f>'2A Önk bev'!M54+'3A PH'!M22+'4H VG bev kiad'!#REF!+'4A Walla'!#REF!+'4B Nyitnikék'!#REF!+'4C Bóbita'!#REF!+'4D MMMH'!#REF!+'4E Könyvtár'!#REF!+'4F Segítő Kéz'!#REF!</f>
        <v>#REF!</v>
      </c>
      <c r="N25" s="491" t="e">
        <f t="shared" si="5"/>
        <v>#REF!</v>
      </c>
      <c r="O25" s="357">
        <f>'2A Önk bev'!O54+'3A PH'!O22+'4H VG bev kiad'!L19+'4A Walla'!L19+'4B Nyitnikék'!L19+'4C Bóbita'!L19+'4D MMMH'!L19+'4E Könyvtár'!L19+'4F Segítő Kéz'!L19</f>
        <v>14624</v>
      </c>
      <c r="P25" s="491">
        <f>'2A Önk bev'!P54+'3A PH'!P22+'4H VG bev kiad'!M19+'4A Walla'!M19+'4B Nyitnikék'!M19+'4C Bóbita'!M19+'4D MMMH'!M19+'4E Könyvtár'!M19+'4F Segítő Kéz'!M19</f>
        <v>0</v>
      </c>
      <c r="Q25" s="491">
        <f>'2A Önk bev'!Q54+'3A PH'!Q22</f>
        <v>0</v>
      </c>
      <c r="R25" s="491">
        <f t="shared" si="7"/>
        <v>14624</v>
      </c>
      <c r="S25" s="357">
        <f>'2A Önk bev'!S54+'3A PH'!S22+'4H VG bev kiad'!O19+'4A Walla'!O19+'4B Nyitnikék'!O19+'4C Bóbita'!O19+'4D MMMH'!O19+'4E Könyvtár'!O19+'4F Segítő Kéz'!O19</f>
        <v>15107</v>
      </c>
      <c r="T25" s="491">
        <f>'2A Önk bev'!T54+'3A PH'!T22+'4H VG bev kiad'!P19+'4A Walla'!P19+'4B Nyitnikék'!P19+'4C Bóbita'!P19+'4D MMMH'!P19+'4E Könyvtár'!P19+'4F Segítő Kéz'!P19</f>
        <v>0</v>
      </c>
      <c r="U25" s="491">
        <f>'2A Önk bev'!U54+'3A PH'!U22</f>
        <v>0</v>
      </c>
      <c r="V25" s="491">
        <f t="shared" si="9"/>
        <v>15107</v>
      </c>
      <c r="W25" s="357">
        <f>'2A Önk bev'!W54+'3A PH'!W22+'4H VG bev kiad'!S19+'4A Walla'!S19+'4B Nyitnikék'!S19+'4C Bóbita'!S19+'4D MMMH'!S19+'4E Könyvtár'!S19+'4F Segítő Kéz'!S19</f>
        <v>14000</v>
      </c>
      <c r="X25" s="491">
        <f>'2A Önk bev'!X54+'3A PH'!X22+'4H VG bev kiad'!T19+'4A Walla'!T19+'4B Nyitnikék'!T19+'4C Bóbita'!T19+'4D MMMH'!T19+'4E Könyvtár'!T19+'4F Segítő Kéz'!T19</f>
        <v>1107</v>
      </c>
      <c r="Y25" s="491">
        <f>'2A Önk bev'!Y54+'3A PH'!Y22</f>
        <v>0</v>
      </c>
      <c r="Z25" s="491">
        <f t="shared" si="11"/>
        <v>15107</v>
      </c>
    </row>
    <row r="26" spans="1:26" x14ac:dyDescent="0.25">
      <c r="A26" s="560" t="s">
        <v>336</v>
      </c>
      <c r="B26" s="561" t="s">
        <v>316</v>
      </c>
      <c r="C26" s="562">
        <f t="shared" ref="C26:E26" si="30">SUM(C27:C28)</f>
        <v>0</v>
      </c>
      <c r="D26" s="562">
        <f t="shared" si="30"/>
        <v>260</v>
      </c>
      <c r="E26" s="562">
        <f t="shared" si="30"/>
        <v>0</v>
      </c>
      <c r="F26" s="562">
        <f t="shared" si="1"/>
        <v>260</v>
      </c>
      <c r="G26" s="562">
        <f t="shared" ref="G26:I26" si="31">SUM(G27:G28)</f>
        <v>0</v>
      </c>
      <c r="H26" s="573">
        <f t="shared" si="31"/>
        <v>8408</v>
      </c>
      <c r="I26" s="573">
        <f t="shared" si="31"/>
        <v>0</v>
      </c>
      <c r="J26" s="573">
        <f t="shared" si="3"/>
        <v>8408</v>
      </c>
      <c r="K26" s="562">
        <f t="shared" ref="K26:M26" si="32">SUM(K27:K28)</f>
        <v>0</v>
      </c>
      <c r="L26" s="573">
        <f t="shared" si="32"/>
        <v>108432</v>
      </c>
      <c r="M26" s="573" t="e">
        <f t="shared" si="32"/>
        <v>#REF!</v>
      </c>
      <c r="N26" s="573" t="e">
        <f t="shared" si="5"/>
        <v>#REF!</v>
      </c>
      <c r="O26" s="562">
        <f t="shared" ref="O26:Q26" si="33">SUM(O27:O28)</f>
        <v>260</v>
      </c>
      <c r="P26" s="573">
        <f t="shared" si="33"/>
        <v>0</v>
      </c>
      <c r="Q26" s="573">
        <f t="shared" si="33"/>
        <v>0</v>
      </c>
      <c r="R26" s="573">
        <f t="shared" si="7"/>
        <v>260</v>
      </c>
      <c r="S26" s="562">
        <f t="shared" ref="S26:U26" si="34">SUM(S27:S28)</f>
        <v>0</v>
      </c>
      <c r="T26" s="573">
        <f t="shared" si="34"/>
        <v>0</v>
      </c>
      <c r="U26" s="573">
        <f t="shared" si="34"/>
        <v>0</v>
      </c>
      <c r="V26" s="573">
        <f t="shared" si="9"/>
        <v>0</v>
      </c>
      <c r="W26" s="562">
        <f t="shared" ref="W26:Y26" si="35">SUM(W27:W28)</f>
        <v>0</v>
      </c>
      <c r="X26" s="573">
        <f t="shared" si="35"/>
        <v>0</v>
      </c>
      <c r="Y26" s="573">
        <f t="shared" si="35"/>
        <v>0</v>
      </c>
      <c r="Z26" s="573">
        <f t="shared" si="11"/>
        <v>0</v>
      </c>
    </row>
    <row r="27" spans="1:26" ht="28.55" x14ac:dyDescent="0.25">
      <c r="A27" s="522"/>
      <c r="B27" s="356" t="s">
        <v>516</v>
      </c>
      <c r="C27" s="357">
        <f>'2A Önk bev'!C56</f>
        <v>0</v>
      </c>
      <c r="D27" s="357">
        <f>'2A Önk bev'!D56</f>
        <v>0</v>
      </c>
      <c r="E27" s="357">
        <f>'2A Önk bev'!E56</f>
        <v>0</v>
      </c>
      <c r="F27" s="357">
        <f t="shared" si="1"/>
        <v>0</v>
      </c>
      <c r="G27" s="357">
        <f>'2A Önk bev'!G56</f>
        <v>0</v>
      </c>
      <c r="H27" s="491">
        <f>'2A Önk bev'!H56</f>
        <v>0</v>
      </c>
      <c r="I27" s="491">
        <f>'2A Önk bev'!I56</f>
        <v>0</v>
      </c>
      <c r="J27" s="491">
        <f t="shared" si="3"/>
        <v>0</v>
      </c>
      <c r="K27" s="357">
        <f>'2A Önk bev'!K56</f>
        <v>0</v>
      </c>
      <c r="L27" s="491">
        <f>'2A Önk bev'!L56</f>
        <v>0</v>
      </c>
      <c r="M27" s="491">
        <f>'2A Önk bev'!M56</f>
        <v>0</v>
      </c>
      <c r="N27" s="491">
        <f t="shared" si="5"/>
        <v>0</v>
      </c>
      <c r="O27" s="357">
        <f>'2A Önk bev'!O56</f>
        <v>0</v>
      </c>
      <c r="P27" s="491">
        <f>'2A Önk bev'!P56</f>
        <v>0</v>
      </c>
      <c r="Q27" s="491">
        <f>'2A Önk bev'!Q56</f>
        <v>0</v>
      </c>
      <c r="R27" s="491">
        <f t="shared" si="7"/>
        <v>0</v>
      </c>
      <c r="S27" s="357">
        <f>'2A Önk bev'!S56</f>
        <v>0</v>
      </c>
      <c r="T27" s="491">
        <f>'2A Önk bev'!T56</f>
        <v>0</v>
      </c>
      <c r="U27" s="491">
        <f>'2A Önk bev'!U56</f>
        <v>0</v>
      </c>
      <c r="V27" s="491">
        <f t="shared" si="9"/>
        <v>0</v>
      </c>
      <c r="W27" s="357">
        <f>'2A Önk bev'!W56</f>
        <v>0</v>
      </c>
      <c r="X27" s="491">
        <f>'2A Önk bev'!X56</f>
        <v>0</v>
      </c>
      <c r="Y27" s="491">
        <f>'2A Önk bev'!Y56</f>
        <v>0</v>
      </c>
      <c r="Z27" s="491">
        <f t="shared" si="11"/>
        <v>0</v>
      </c>
    </row>
    <row r="28" spans="1:26" x14ac:dyDescent="0.25">
      <c r="A28" s="522"/>
      <c r="B28" s="356" t="s">
        <v>517</v>
      </c>
      <c r="C28" s="357">
        <f>'2A Önk bev'!C57+'3A PH'!C24+'4H VG bev kiad'!C21+'4A Walla'!C21+'4B Nyitnikék'!C21+'4C Bóbita'!C21+'4D MMMH'!C21+'4E Könyvtár'!C21+'4F Segítő Kéz'!C21</f>
        <v>0</v>
      </c>
      <c r="D28" s="357">
        <f>'2A Önk bev'!D57+'3A PH'!D24+'4H VG bev kiad'!D21+'4A Walla'!D21+'4B Nyitnikék'!D21+'4C Bóbita'!D21+'4D MMMH'!D21+'4E Könyvtár'!D21+'4F Segítő Kéz'!D21</f>
        <v>260</v>
      </c>
      <c r="E28" s="357">
        <f>'2A Önk bev'!E57+'3A PH'!E24</f>
        <v>0</v>
      </c>
      <c r="F28" s="357">
        <f t="shared" si="1"/>
        <v>260</v>
      </c>
      <c r="G28" s="357">
        <f>'2A Önk bev'!G57+'3A PH'!G24+'4H VG bev kiad'!F21+'4A Walla'!F21+'4B Nyitnikék'!F21+'4C Bóbita'!F21+'4D MMMH'!F21+'4E Könyvtár'!F21+'4F Segítő Kéz'!F21</f>
        <v>0</v>
      </c>
      <c r="H28" s="491">
        <f>'2A Önk bev'!H57+'3A PH'!H24+'4H VG bev kiad'!G21+'4A Walla'!G21+'4B Nyitnikék'!G21+'4C Bóbita'!G21+'4D MMMH'!G21+'4E Könyvtár'!G21+'4F Segítő Kéz'!G21</f>
        <v>8408</v>
      </c>
      <c r="I28" s="491">
        <f>'2A Önk bev'!I57+'3A PH'!I24</f>
        <v>0</v>
      </c>
      <c r="J28" s="491">
        <f t="shared" si="3"/>
        <v>8408</v>
      </c>
      <c r="K28" s="357">
        <f>'2A Önk bev'!K57+'3A PH'!K24+'4H VG bev kiad'!I21+'4A Walla'!I21+'4B Nyitnikék'!I21+'4C Bóbita'!I21+'4D MMMH'!I21+'4E Könyvtár'!I21+'4F Segítő Kéz'!I21</f>
        <v>0</v>
      </c>
      <c r="L28" s="491">
        <f>'2A Önk bev'!L57+'3A PH'!L24+'4H VG bev kiad'!J21+'4A Walla'!J21+'4B Nyitnikék'!J21+'4C Bóbita'!J21+'4D MMMH'!J21+'4E Könyvtár'!J21+'4F Segítő Kéz'!J21</f>
        <v>108432</v>
      </c>
      <c r="M28" s="491" t="e">
        <f>'2A Önk bev'!M57+'3A PH'!M24+'4H VG bev kiad'!#REF!+'4A Walla'!#REF!+'4B Nyitnikék'!#REF!+'4C Bóbita'!#REF!+'4D MMMH'!#REF!+'4E Könyvtár'!#REF!+'4F Segítő Kéz'!#REF!</f>
        <v>#REF!</v>
      </c>
      <c r="N28" s="491" t="e">
        <f t="shared" si="5"/>
        <v>#REF!</v>
      </c>
      <c r="O28" s="357">
        <f>'2A Önk bev'!O57+'3A PH'!O24+'4H VG bev kiad'!L21+'4A Walla'!L21+'4B Nyitnikék'!L21+'4C Bóbita'!L21+'4D MMMH'!L21+'4E Könyvtár'!L21+'4F Segítő Kéz'!L21</f>
        <v>260</v>
      </c>
      <c r="P28" s="491">
        <f>'2A Önk bev'!P57+'3A PH'!P24+'4H VG bev kiad'!M21+'4A Walla'!M21+'4B Nyitnikék'!M21+'4C Bóbita'!M21+'4D MMMH'!M21+'4E Könyvtár'!M21+'4F Segítő Kéz'!M21</f>
        <v>0</v>
      </c>
      <c r="Q28" s="491">
        <f>'2A Önk bev'!Q57+'3A PH'!Q24</f>
        <v>0</v>
      </c>
      <c r="R28" s="491">
        <f t="shared" si="7"/>
        <v>260</v>
      </c>
      <c r="S28" s="357">
        <f>'2A Önk bev'!S57+'3A PH'!S24+'4H VG bev kiad'!O21+'4A Walla'!O21+'4B Nyitnikék'!O21+'4C Bóbita'!O21+'4D MMMH'!O21+'4E Könyvtár'!O21+'4F Segítő Kéz'!O21</f>
        <v>0</v>
      </c>
      <c r="T28" s="491">
        <f>'2A Önk bev'!T57+'3A PH'!T24+'4H VG bev kiad'!P21+'4A Walla'!P21+'4B Nyitnikék'!P21+'4C Bóbita'!P21+'4D MMMH'!P21+'4E Könyvtár'!P21+'4F Segítő Kéz'!P21</f>
        <v>0</v>
      </c>
      <c r="U28" s="491">
        <f>'2A Önk bev'!U57+'3A PH'!U24</f>
        <v>0</v>
      </c>
      <c r="V28" s="491">
        <f t="shared" si="9"/>
        <v>0</v>
      </c>
      <c r="W28" s="357">
        <f>'2A Önk bev'!W57+'3A PH'!W24+'4H VG bev kiad'!S21+'4A Walla'!S21+'4B Nyitnikék'!S21+'4C Bóbita'!S21+'4D MMMH'!S21+'4E Könyvtár'!S21+'4F Segítő Kéz'!S21</f>
        <v>0</v>
      </c>
      <c r="X28" s="491">
        <f>'2A Önk bev'!X57+'3A PH'!X24+'4H VG bev kiad'!T21+'4A Walla'!T21+'4B Nyitnikék'!T21+'4C Bóbita'!T21+'4D MMMH'!T21+'4E Könyvtár'!T21+'4F Segítő Kéz'!T21</f>
        <v>0</v>
      </c>
      <c r="Y28" s="491">
        <f>'2A Önk bev'!Y57+'3A PH'!Y24</f>
        <v>0</v>
      </c>
      <c r="Z28" s="491">
        <f t="shared" si="11"/>
        <v>0</v>
      </c>
    </row>
    <row r="29" spans="1:26" x14ac:dyDescent="0.25">
      <c r="A29" s="557" t="s">
        <v>318</v>
      </c>
      <c r="B29" s="558" t="s">
        <v>319</v>
      </c>
      <c r="C29" s="559">
        <f t="shared" ref="C29:E29" si="36">C30+C34+C39</f>
        <v>4186</v>
      </c>
      <c r="D29" s="559">
        <f t="shared" si="36"/>
        <v>386983</v>
      </c>
      <c r="E29" s="559">
        <f t="shared" si="36"/>
        <v>0</v>
      </c>
      <c r="F29" s="559">
        <f t="shared" si="1"/>
        <v>391169</v>
      </c>
      <c r="G29" s="559">
        <f t="shared" ref="G29:I29" si="37">G30+G34+G39</f>
        <v>70588</v>
      </c>
      <c r="H29" s="572">
        <f t="shared" si="37"/>
        <v>521270</v>
      </c>
      <c r="I29" s="572">
        <f t="shared" si="37"/>
        <v>0</v>
      </c>
      <c r="J29" s="572">
        <f t="shared" si="3"/>
        <v>591858</v>
      </c>
      <c r="K29" s="559">
        <f t="shared" ref="K29:M29" si="38">K30+K34+K39</f>
        <v>4186</v>
      </c>
      <c r="L29" s="572">
        <f t="shared" si="38"/>
        <v>446528</v>
      </c>
      <c r="M29" s="572">
        <f t="shared" si="38"/>
        <v>0</v>
      </c>
      <c r="N29" s="572">
        <f t="shared" si="5"/>
        <v>450714</v>
      </c>
      <c r="O29" s="559">
        <f t="shared" ref="O29:Q29" si="39">O30+O34+O39</f>
        <v>522058</v>
      </c>
      <c r="P29" s="572">
        <f t="shared" si="39"/>
        <v>0</v>
      </c>
      <c r="Q29" s="572">
        <f t="shared" si="39"/>
        <v>0</v>
      </c>
      <c r="R29" s="572">
        <f t="shared" si="7"/>
        <v>522058</v>
      </c>
      <c r="S29" s="559">
        <f t="shared" ref="S29:U29" si="40">S30+S34+S39</f>
        <v>492377</v>
      </c>
      <c r="T29" s="572">
        <f t="shared" si="40"/>
        <v>1650</v>
      </c>
      <c r="U29" s="572">
        <f t="shared" si="40"/>
        <v>0</v>
      </c>
      <c r="V29" s="572">
        <f t="shared" si="9"/>
        <v>494027</v>
      </c>
      <c r="W29" s="559">
        <f t="shared" ref="W29:Y29" si="41">W30+W34+W39</f>
        <v>492377</v>
      </c>
      <c r="X29" s="572">
        <f t="shared" si="41"/>
        <v>1650</v>
      </c>
      <c r="Y29" s="572">
        <f t="shared" si="41"/>
        <v>0</v>
      </c>
      <c r="Z29" s="572">
        <f t="shared" si="11"/>
        <v>494027</v>
      </c>
    </row>
    <row r="30" spans="1:26" ht="28.55" x14ac:dyDescent="0.25">
      <c r="A30" s="560" t="s">
        <v>311</v>
      </c>
      <c r="B30" s="561" t="s">
        <v>320</v>
      </c>
      <c r="C30" s="562">
        <f t="shared" ref="C30:E30" si="42">SUM(C31:C33)</f>
        <v>0</v>
      </c>
      <c r="D30" s="562">
        <f t="shared" si="42"/>
        <v>0</v>
      </c>
      <c r="E30" s="562">
        <f t="shared" si="42"/>
        <v>0</v>
      </c>
      <c r="F30" s="562">
        <f t="shared" si="1"/>
        <v>0</v>
      </c>
      <c r="G30" s="562">
        <f t="shared" ref="G30:I30" si="43">SUM(G31:G33)</f>
        <v>0</v>
      </c>
      <c r="H30" s="573">
        <f t="shared" si="43"/>
        <v>14100</v>
      </c>
      <c r="I30" s="573">
        <f t="shared" si="43"/>
        <v>0</v>
      </c>
      <c r="J30" s="573">
        <f t="shared" si="3"/>
        <v>14100</v>
      </c>
      <c r="K30" s="562">
        <f t="shared" ref="K30:M30" si="44">SUM(K31:K33)</f>
        <v>0</v>
      </c>
      <c r="L30" s="573">
        <f t="shared" si="44"/>
        <v>153384</v>
      </c>
      <c r="M30" s="573">
        <f t="shared" si="44"/>
        <v>0</v>
      </c>
      <c r="N30" s="573">
        <f t="shared" si="5"/>
        <v>153384</v>
      </c>
      <c r="O30" s="562">
        <f t="shared" ref="O30:Q30" si="45">SUM(O31:O33)</f>
        <v>21100</v>
      </c>
      <c r="P30" s="573">
        <f t="shared" si="45"/>
        <v>0</v>
      </c>
      <c r="Q30" s="573">
        <f t="shared" si="45"/>
        <v>0</v>
      </c>
      <c r="R30" s="573">
        <f t="shared" si="7"/>
        <v>21100</v>
      </c>
      <c r="S30" s="562">
        <f t="shared" ref="S30:U30" si="46">SUM(S31:S33)</f>
        <v>200000</v>
      </c>
      <c r="T30" s="573">
        <f t="shared" si="46"/>
        <v>0</v>
      </c>
      <c r="U30" s="573">
        <f t="shared" si="46"/>
        <v>0</v>
      </c>
      <c r="V30" s="573">
        <f t="shared" si="9"/>
        <v>200000</v>
      </c>
      <c r="W30" s="562">
        <f t="shared" ref="W30:Y30" si="47">SUM(W31:W33)</f>
        <v>200000</v>
      </c>
      <c r="X30" s="573">
        <f t="shared" si="47"/>
        <v>0</v>
      </c>
      <c r="Y30" s="573">
        <f t="shared" si="47"/>
        <v>0</v>
      </c>
      <c r="Z30" s="573">
        <f t="shared" si="11"/>
        <v>200000</v>
      </c>
    </row>
    <row r="31" spans="1:26" ht="28.55" x14ac:dyDescent="0.25">
      <c r="A31" s="522"/>
      <c r="B31" s="272" t="s">
        <v>518</v>
      </c>
      <c r="C31" s="546">
        <f>'2A Önk bev'!C64</f>
        <v>0</v>
      </c>
      <c r="D31" s="546">
        <f>'2A Önk bev'!D64</f>
        <v>0</v>
      </c>
      <c r="E31" s="546">
        <f>'2A Önk bev'!E64</f>
        <v>0</v>
      </c>
      <c r="F31" s="546">
        <f t="shared" si="1"/>
        <v>0</v>
      </c>
      <c r="G31" s="546">
        <f>'2A Önk bev'!G64</f>
        <v>0</v>
      </c>
      <c r="H31" s="512">
        <f>'2A Önk bev'!H64</f>
        <v>14100</v>
      </c>
      <c r="I31" s="512">
        <f>'2A Önk bev'!I64</f>
        <v>0</v>
      </c>
      <c r="J31" s="512">
        <f t="shared" si="3"/>
        <v>14100</v>
      </c>
      <c r="K31" s="546">
        <f>'2A Önk bev'!K64</f>
        <v>0</v>
      </c>
      <c r="L31" s="512">
        <f>'2A Önk bev'!L64</f>
        <v>0</v>
      </c>
      <c r="M31" s="512">
        <f>'2A Önk bev'!M64</f>
        <v>0</v>
      </c>
      <c r="N31" s="512">
        <f t="shared" si="5"/>
        <v>0</v>
      </c>
      <c r="O31" s="546">
        <f>'2A Önk bev'!O64</f>
        <v>14100</v>
      </c>
      <c r="P31" s="512">
        <f>'2A Önk bev'!P64</f>
        <v>0</v>
      </c>
      <c r="Q31" s="512">
        <f>'2A Önk bev'!Q64</f>
        <v>0</v>
      </c>
      <c r="R31" s="512">
        <f t="shared" si="7"/>
        <v>14100</v>
      </c>
      <c r="S31" s="546">
        <f>'2A Önk bev'!S64</f>
        <v>200000</v>
      </c>
      <c r="T31" s="512">
        <f>'2A Önk bev'!T64</f>
        <v>0</v>
      </c>
      <c r="U31" s="512">
        <f>'2A Önk bev'!U64</f>
        <v>0</v>
      </c>
      <c r="V31" s="512">
        <f t="shared" si="9"/>
        <v>200000</v>
      </c>
      <c r="W31" s="546">
        <f>'2A Önk bev'!W64</f>
        <v>200000</v>
      </c>
      <c r="X31" s="512">
        <f>'2A Önk bev'!X64</f>
        <v>0</v>
      </c>
      <c r="Y31" s="512">
        <f>'2A Önk bev'!Y64</f>
        <v>0</v>
      </c>
      <c r="Z31" s="512">
        <f t="shared" si="11"/>
        <v>200000</v>
      </c>
    </row>
    <row r="32" spans="1:26" ht="28.55" x14ac:dyDescent="0.25">
      <c r="A32" s="522"/>
      <c r="B32" s="272" t="s">
        <v>519</v>
      </c>
      <c r="C32" s="546">
        <f>'2A Önk bev'!C65</f>
        <v>0</v>
      </c>
      <c r="D32" s="546">
        <f>'2A Önk bev'!D65</f>
        <v>0</v>
      </c>
      <c r="E32" s="546">
        <f>'2A Önk bev'!E65</f>
        <v>0</v>
      </c>
      <c r="F32" s="546">
        <f t="shared" si="1"/>
        <v>0</v>
      </c>
      <c r="G32" s="546">
        <f>'2A Önk bev'!G65</f>
        <v>0</v>
      </c>
      <c r="H32" s="512">
        <f>'2A Önk bev'!H65</f>
        <v>0</v>
      </c>
      <c r="I32" s="512">
        <f>'2A Önk bev'!I65</f>
        <v>0</v>
      </c>
      <c r="J32" s="512">
        <f t="shared" si="3"/>
        <v>0</v>
      </c>
      <c r="K32" s="546">
        <f>'2A Önk bev'!K65</f>
        <v>0</v>
      </c>
      <c r="L32" s="512">
        <f>'2A Önk bev'!L65</f>
        <v>0</v>
      </c>
      <c r="M32" s="512">
        <f>'2A Önk bev'!M65</f>
        <v>0</v>
      </c>
      <c r="N32" s="512">
        <f t="shared" si="5"/>
        <v>0</v>
      </c>
      <c r="O32" s="546">
        <f>'2A Önk bev'!O65</f>
        <v>0</v>
      </c>
      <c r="P32" s="512">
        <f>'2A Önk bev'!P65</f>
        <v>0</v>
      </c>
      <c r="Q32" s="512">
        <f>'2A Önk bev'!Q65</f>
        <v>0</v>
      </c>
      <c r="R32" s="512">
        <f t="shared" si="7"/>
        <v>0</v>
      </c>
      <c r="S32" s="546">
        <f>'2A Önk bev'!S65</f>
        <v>0</v>
      </c>
      <c r="T32" s="512">
        <f>'2A Önk bev'!T65</f>
        <v>0</v>
      </c>
      <c r="U32" s="512">
        <f>'2A Önk bev'!U65</f>
        <v>0</v>
      </c>
      <c r="V32" s="512">
        <f t="shared" si="9"/>
        <v>0</v>
      </c>
      <c r="W32" s="546">
        <f>'2A Önk bev'!W65</f>
        <v>0</v>
      </c>
      <c r="X32" s="512">
        <f>'2A Önk bev'!X65</f>
        <v>0</v>
      </c>
      <c r="Y32" s="512">
        <f>'2A Önk bev'!Y65</f>
        <v>0</v>
      </c>
      <c r="Z32" s="512">
        <f t="shared" si="11"/>
        <v>0</v>
      </c>
    </row>
    <row r="33" spans="1:26" ht="28.55" x14ac:dyDescent="0.25">
      <c r="A33" s="522"/>
      <c r="B33" s="272" t="s">
        <v>520</v>
      </c>
      <c r="C33" s="546">
        <f>'2A Önk bev'!C66</f>
        <v>0</v>
      </c>
      <c r="D33" s="546">
        <f>'2A Önk bev'!D66</f>
        <v>0</v>
      </c>
      <c r="E33" s="546">
        <f>'2A Önk bev'!E66</f>
        <v>0</v>
      </c>
      <c r="F33" s="546">
        <f t="shared" si="1"/>
        <v>0</v>
      </c>
      <c r="G33" s="546">
        <f>'2A Önk bev'!G66</f>
        <v>0</v>
      </c>
      <c r="H33" s="512">
        <f>'2A Önk bev'!H66</f>
        <v>0</v>
      </c>
      <c r="I33" s="512">
        <f>'2A Önk bev'!I66</f>
        <v>0</v>
      </c>
      <c r="J33" s="512">
        <f t="shared" si="3"/>
        <v>0</v>
      </c>
      <c r="K33" s="546">
        <f>'2A Önk bev'!K66</f>
        <v>0</v>
      </c>
      <c r="L33" s="512">
        <f>'2A Önk bev'!L66</f>
        <v>153384</v>
      </c>
      <c r="M33" s="512">
        <f>'2A Önk bev'!M66</f>
        <v>0</v>
      </c>
      <c r="N33" s="512">
        <f t="shared" si="5"/>
        <v>153384</v>
      </c>
      <c r="O33" s="546">
        <f>'2A Önk bev'!O66</f>
        <v>7000</v>
      </c>
      <c r="P33" s="512">
        <f>'2A Önk bev'!P66</f>
        <v>0</v>
      </c>
      <c r="Q33" s="512">
        <f>'2A Önk bev'!Q66</f>
        <v>0</v>
      </c>
      <c r="R33" s="512">
        <f t="shared" si="7"/>
        <v>7000</v>
      </c>
      <c r="S33" s="546">
        <f>'2A Önk bev'!S66</f>
        <v>0</v>
      </c>
      <c r="T33" s="512">
        <f>'2A Önk bev'!T66</f>
        <v>0</v>
      </c>
      <c r="U33" s="512">
        <f>'2A Önk bev'!U66</f>
        <v>0</v>
      </c>
      <c r="V33" s="512">
        <f t="shared" si="9"/>
        <v>0</v>
      </c>
      <c r="W33" s="546">
        <f>'2A Önk bev'!W66</f>
        <v>0</v>
      </c>
      <c r="X33" s="512">
        <f>'2A Önk bev'!X66</f>
        <v>0</v>
      </c>
      <c r="Y33" s="512">
        <f>'2A Önk bev'!Y66</f>
        <v>0</v>
      </c>
      <c r="Z33" s="512">
        <f t="shared" si="11"/>
        <v>0</v>
      </c>
    </row>
    <row r="34" spans="1:26" x14ac:dyDescent="0.25">
      <c r="A34" s="560" t="s">
        <v>322</v>
      </c>
      <c r="B34" s="561" t="s">
        <v>257</v>
      </c>
      <c r="C34" s="562">
        <f t="shared" ref="C34:E34" si="48">SUM(C35:C38)</f>
        <v>0</v>
      </c>
      <c r="D34" s="562">
        <f t="shared" si="48"/>
        <v>385369</v>
      </c>
      <c r="E34" s="562">
        <f t="shared" si="48"/>
        <v>0</v>
      </c>
      <c r="F34" s="562">
        <f t="shared" si="1"/>
        <v>385369</v>
      </c>
      <c r="G34" s="562">
        <f t="shared" ref="G34:I34" si="49">SUM(G35:G38)</f>
        <v>0</v>
      </c>
      <c r="H34" s="573">
        <f t="shared" si="49"/>
        <v>495556</v>
      </c>
      <c r="I34" s="573">
        <f t="shared" si="49"/>
        <v>0</v>
      </c>
      <c r="J34" s="573">
        <f t="shared" si="3"/>
        <v>495556</v>
      </c>
      <c r="K34" s="562">
        <f t="shared" ref="K34:M34" si="50">SUM(K35:K38)</f>
        <v>0</v>
      </c>
      <c r="L34" s="573">
        <f t="shared" si="50"/>
        <v>153404</v>
      </c>
      <c r="M34" s="573">
        <f t="shared" si="50"/>
        <v>0</v>
      </c>
      <c r="N34" s="573">
        <f t="shared" si="5"/>
        <v>153404</v>
      </c>
      <c r="O34" s="562">
        <f t="shared" ref="O34:Q34" si="51">SUM(O35:O38)</f>
        <v>498415</v>
      </c>
      <c r="P34" s="573">
        <f t="shared" si="51"/>
        <v>0</v>
      </c>
      <c r="Q34" s="573">
        <f t="shared" si="51"/>
        <v>0</v>
      </c>
      <c r="R34" s="573">
        <f t="shared" si="7"/>
        <v>498415</v>
      </c>
      <c r="S34" s="562">
        <f t="shared" ref="S34:U34" si="52">SUM(S35:S38)</f>
        <v>243000</v>
      </c>
      <c r="T34" s="573">
        <f t="shared" si="52"/>
        <v>0</v>
      </c>
      <c r="U34" s="573">
        <f t="shared" si="52"/>
        <v>0</v>
      </c>
      <c r="V34" s="573">
        <f t="shared" si="9"/>
        <v>243000</v>
      </c>
      <c r="W34" s="562">
        <f t="shared" ref="W34:Y34" si="53">SUM(W35:W38)</f>
        <v>243000</v>
      </c>
      <c r="X34" s="573">
        <f t="shared" si="53"/>
        <v>0</v>
      </c>
      <c r="Y34" s="573">
        <f t="shared" si="53"/>
        <v>0</v>
      </c>
      <c r="Z34" s="573">
        <f t="shared" si="11"/>
        <v>243000</v>
      </c>
    </row>
    <row r="35" spans="1:26" x14ac:dyDescent="0.25">
      <c r="A35" s="522"/>
      <c r="B35" s="272" t="s">
        <v>323</v>
      </c>
      <c r="C35" s="546">
        <f>'2A Önk bev'!C68</f>
        <v>0</v>
      </c>
      <c r="D35" s="546">
        <f>'2A Önk bev'!D68</f>
        <v>0</v>
      </c>
      <c r="E35" s="546">
        <f>'2A Önk bev'!E68</f>
        <v>0</v>
      </c>
      <c r="F35" s="546">
        <f t="shared" si="1"/>
        <v>0</v>
      </c>
      <c r="G35" s="546">
        <f>'2A Önk bev'!G68</f>
        <v>0</v>
      </c>
      <c r="H35" s="512">
        <f>'2A Önk bev'!H68</f>
        <v>0</v>
      </c>
      <c r="I35" s="512">
        <f>'2A Önk bev'!I68</f>
        <v>0</v>
      </c>
      <c r="J35" s="512">
        <f t="shared" si="3"/>
        <v>0</v>
      </c>
      <c r="K35" s="546">
        <f>'2A Önk bev'!K68</f>
        <v>0</v>
      </c>
      <c r="L35" s="512">
        <f>'2A Önk bev'!L68</f>
        <v>0</v>
      </c>
      <c r="M35" s="512">
        <f>'2A Önk bev'!M68</f>
        <v>0</v>
      </c>
      <c r="N35" s="512">
        <f t="shared" si="5"/>
        <v>0</v>
      </c>
      <c r="O35" s="546">
        <f>'2A Önk bev'!O68</f>
        <v>0</v>
      </c>
      <c r="P35" s="512">
        <f>'2A Önk bev'!P68</f>
        <v>0</v>
      </c>
      <c r="Q35" s="512">
        <f>'2A Önk bev'!Q68</f>
        <v>0</v>
      </c>
      <c r="R35" s="512">
        <f t="shared" si="7"/>
        <v>0</v>
      </c>
      <c r="S35" s="546">
        <f>'2A Önk bev'!S68</f>
        <v>0</v>
      </c>
      <c r="T35" s="512">
        <f>'2A Önk bev'!T68</f>
        <v>0</v>
      </c>
      <c r="U35" s="512">
        <f>'2A Önk bev'!U68</f>
        <v>0</v>
      </c>
      <c r="V35" s="512">
        <f t="shared" si="9"/>
        <v>0</v>
      </c>
      <c r="W35" s="546">
        <f>'2A Önk bev'!W68</f>
        <v>0</v>
      </c>
      <c r="X35" s="512">
        <f>'2A Önk bev'!X68</f>
        <v>0</v>
      </c>
      <c r="Y35" s="512">
        <f>'2A Önk bev'!Y68</f>
        <v>0</v>
      </c>
      <c r="Z35" s="512">
        <f t="shared" si="11"/>
        <v>0</v>
      </c>
    </row>
    <row r="36" spans="1:26" x14ac:dyDescent="0.25">
      <c r="A36" s="522"/>
      <c r="B36" s="272" t="s">
        <v>521</v>
      </c>
      <c r="C36" s="546">
        <f>'2A Önk bev'!C69</f>
        <v>0</v>
      </c>
      <c r="D36" s="546">
        <f>'2A Önk bev'!D69</f>
        <v>385369</v>
      </c>
      <c r="E36" s="546">
        <f>'2A Önk bev'!E69</f>
        <v>0</v>
      </c>
      <c r="F36" s="546">
        <f t="shared" si="1"/>
        <v>385369</v>
      </c>
      <c r="G36" s="546">
        <f>'2A Önk bev'!G69</f>
        <v>0</v>
      </c>
      <c r="H36" s="512">
        <f>'2A Önk bev'!H69</f>
        <v>495556</v>
      </c>
      <c r="I36" s="512">
        <f>'2A Önk bev'!I69</f>
        <v>0</v>
      </c>
      <c r="J36" s="512">
        <f t="shared" si="3"/>
        <v>495556</v>
      </c>
      <c r="K36" s="546">
        <f>'2A Önk bev'!K69</f>
        <v>0</v>
      </c>
      <c r="L36" s="512">
        <f>'2A Önk bev'!L69</f>
        <v>153404</v>
      </c>
      <c r="M36" s="512">
        <f>'2A Önk bev'!M69</f>
        <v>0</v>
      </c>
      <c r="N36" s="512">
        <f t="shared" si="5"/>
        <v>153404</v>
      </c>
      <c r="O36" s="546">
        <f>'2A Önk bev'!O69</f>
        <v>498415</v>
      </c>
      <c r="P36" s="512">
        <f>'2A Önk bev'!P69</f>
        <v>0</v>
      </c>
      <c r="Q36" s="512">
        <f>'2A Önk bev'!Q69</f>
        <v>0</v>
      </c>
      <c r="R36" s="512">
        <f t="shared" si="7"/>
        <v>498415</v>
      </c>
      <c r="S36" s="546">
        <f>'2A Önk bev'!S69</f>
        <v>243000</v>
      </c>
      <c r="T36" s="512">
        <f>'2A Önk bev'!T69</f>
        <v>0</v>
      </c>
      <c r="U36" s="512">
        <f>'2A Önk bev'!U69</f>
        <v>0</v>
      </c>
      <c r="V36" s="512">
        <f t="shared" si="9"/>
        <v>243000</v>
      </c>
      <c r="W36" s="546">
        <f>'2A Önk bev'!W69</f>
        <v>243000</v>
      </c>
      <c r="X36" s="512">
        <f>'2A Önk bev'!X69</f>
        <v>0</v>
      </c>
      <c r="Y36" s="512">
        <f>'2A Önk bev'!Y69</f>
        <v>0</v>
      </c>
      <c r="Z36" s="512">
        <f t="shared" si="11"/>
        <v>243000</v>
      </c>
    </row>
    <row r="37" spans="1:26" x14ac:dyDescent="0.25">
      <c r="A37" s="522"/>
      <c r="B37" s="272" t="s">
        <v>525</v>
      </c>
      <c r="C37" s="546">
        <f>'2A Önk bev'!C73</f>
        <v>0</v>
      </c>
      <c r="D37" s="546">
        <f>'2A Önk bev'!D73</f>
        <v>0</v>
      </c>
      <c r="E37" s="546">
        <f>'2A Önk bev'!E73</f>
        <v>0</v>
      </c>
      <c r="F37" s="546">
        <f t="shared" si="1"/>
        <v>0</v>
      </c>
      <c r="G37" s="546">
        <f>'2A Önk bev'!G73</f>
        <v>0</v>
      </c>
      <c r="H37" s="512">
        <f>'2A Önk bev'!H73</f>
        <v>0</v>
      </c>
      <c r="I37" s="512">
        <f>'2A Önk bev'!I73</f>
        <v>0</v>
      </c>
      <c r="J37" s="512">
        <f t="shared" si="3"/>
        <v>0</v>
      </c>
      <c r="K37" s="546">
        <f>'2A Önk bev'!K73</f>
        <v>0</v>
      </c>
      <c r="L37" s="512">
        <f>'2A Önk bev'!L73</f>
        <v>0</v>
      </c>
      <c r="M37" s="512">
        <f>'2A Önk bev'!M73</f>
        <v>0</v>
      </c>
      <c r="N37" s="512">
        <f t="shared" si="5"/>
        <v>0</v>
      </c>
      <c r="O37" s="546">
        <f>'2A Önk bev'!O73</f>
        <v>0</v>
      </c>
      <c r="P37" s="512">
        <f>'2A Önk bev'!P73</f>
        <v>0</v>
      </c>
      <c r="Q37" s="512">
        <f>'2A Önk bev'!Q73</f>
        <v>0</v>
      </c>
      <c r="R37" s="512">
        <f t="shared" si="7"/>
        <v>0</v>
      </c>
      <c r="S37" s="546">
        <f>'2A Önk bev'!S73</f>
        <v>0</v>
      </c>
      <c r="T37" s="512">
        <f>'2A Önk bev'!T73</f>
        <v>0</v>
      </c>
      <c r="U37" s="512">
        <f>'2A Önk bev'!U73</f>
        <v>0</v>
      </c>
      <c r="V37" s="512">
        <f t="shared" si="9"/>
        <v>0</v>
      </c>
      <c r="W37" s="546">
        <f>'2A Önk bev'!W73</f>
        <v>0</v>
      </c>
      <c r="X37" s="512">
        <f>'2A Önk bev'!X73</f>
        <v>0</v>
      </c>
      <c r="Y37" s="512">
        <f>'2A Önk bev'!Y73</f>
        <v>0</v>
      </c>
      <c r="Z37" s="512">
        <f t="shared" si="11"/>
        <v>0</v>
      </c>
    </row>
    <row r="38" spans="1:26" x14ac:dyDescent="0.25">
      <c r="A38" s="522"/>
      <c r="B38" s="272" t="s">
        <v>526</v>
      </c>
      <c r="C38" s="546">
        <f>'2A Önk bev'!C74</f>
        <v>0</v>
      </c>
      <c r="D38" s="546">
        <f>'2A Önk bev'!D74</f>
        <v>0</v>
      </c>
      <c r="E38" s="546">
        <f>'2A Önk bev'!E74</f>
        <v>0</v>
      </c>
      <c r="F38" s="546">
        <f t="shared" si="1"/>
        <v>0</v>
      </c>
      <c r="G38" s="546">
        <f>'2A Önk bev'!G74</f>
        <v>0</v>
      </c>
      <c r="H38" s="512">
        <f>'2A Önk bev'!H74</f>
        <v>0</v>
      </c>
      <c r="I38" s="512">
        <f>'2A Önk bev'!I74</f>
        <v>0</v>
      </c>
      <c r="J38" s="512">
        <f t="shared" si="3"/>
        <v>0</v>
      </c>
      <c r="K38" s="546">
        <f>'2A Önk bev'!K74</f>
        <v>0</v>
      </c>
      <c r="L38" s="512">
        <f>'2A Önk bev'!L74</f>
        <v>0</v>
      </c>
      <c r="M38" s="512">
        <f>'2A Önk bev'!M74</f>
        <v>0</v>
      </c>
      <c r="N38" s="512">
        <f t="shared" si="5"/>
        <v>0</v>
      </c>
      <c r="O38" s="546">
        <f>'2A Önk bev'!O74</f>
        <v>0</v>
      </c>
      <c r="P38" s="512">
        <f>'2A Önk bev'!P74</f>
        <v>0</v>
      </c>
      <c r="Q38" s="512">
        <f>'2A Önk bev'!Q74</f>
        <v>0</v>
      </c>
      <c r="R38" s="512">
        <f t="shared" si="7"/>
        <v>0</v>
      </c>
      <c r="S38" s="546">
        <f>'2A Önk bev'!S74</f>
        <v>0</v>
      </c>
      <c r="T38" s="512">
        <f>'2A Önk bev'!T74</f>
        <v>0</v>
      </c>
      <c r="U38" s="512">
        <f>'2A Önk bev'!U74</f>
        <v>0</v>
      </c>
      <c r="V38" s="512">
        <f t="shared" si="9"/>
        <v>0</v>
      </c>
      <c r="W38" s="546">
        <f>'2A Önk bev'!W74</f>
        <v>0</v>
      </c>
      <c r="X38" s="512">
        <f>'2A Önk bev'!X74</f>
        <v>0</v>
      </c>
      <c r="Y38" s="512">
        <f>'2A Önk bev'!Y74</f>
        <v>0</v>
      </c>
      <c r="Z38" s="512">
        <f t="shared" si="11"/>
        <v>0</v>
      </c>
    </row>
    <row r="39" spans="1:26" x14ac:dyDescent="0.25">
      <c r="A39" s="560" t="s">
        <v>315</v>
      </c>
      <c r="B39" s="561" t="s">
        <v>325</v>
      </c>
      <c r="C39" s="562">
        <f t="shared" ref="C39:E39" si="54">SUM(C40:C43)</f>
        <v>4186</v>
      </c>
      <c r="D39" s="562">
        <f t="shared" si="54"/>
        <v>1614</v>
      </c>
      <c r="E39" s="562">
        <f t="shared" si="54"/>
        <v>0</v>
      </c>
      <c r="F39" s="562">
        <f t="shared" si="1"/>
        <v>5800</v>
      </c>
      <c r="G39" s="562">
        <f>SUM(G40:G44)</f>
        <v>70588</v>
      </c>
      <c r="H39" s="562">
        <f>SUM(H40:H44)</f>
        <v>11614</v>
      </c>
      <c r="I39" s="562">
        <f>SUM(I40:I44)</f>
        <v>0</v>
      </c>
      <c r="J39" s="573">
        <f t="shared" si="3"/>
        <v>82202</v>
      </c>
      <c r="K39" s="562">
        <f t="shared" ref="K39:M39" si="55">SUM(K40:K43)</f>
        <v>4186</v>
      </c>
      <c r="L39" s="573">
        <f t="shared" si="55"/>
        <v>139740</v>
      </c>
      <c r="M39" s="573">
        <f t="shared" si="55"/>
        <v>0</v>
      </c>
      <c r="N39" s="573">
        <f t="shared" si="5"/>
        <v>143926</v>
      </c>
      <c r="O39" s="562">
        <f t="shared" ref="O39:Q39" si="56">SUM(O40:O43)</f>
        <v>2543</v>
      </c>
      <c r="P39" s="573">
        <f t="shared" si="56"/>
        <v>0</v>
      </c>
      <c r="Q39" s="573">
        <f t="shared" si="56"/>
        <v>0</v>
      </c>
      <c r="R39" s="573">
        <f t="shared" si="7"/>
        <v>2543</v>
      </c>
      <c r="S39" s="562">
        <f t="shared" ref="S39:U39" si="57">SUM(S40:S43)</f>
        <v>49377</v>
      </c>
      <c r="T39" s="573">
        <f t="shared" si="57"/>
        <v>1650</v>
      </c>
      <c r="U39" s="573">
        <f t="shared" si="57"/>
        <v>0</v>
      </c>
      <c r="V39" s="573">
        <f t="shared" si="9"/>
        <v>51027</v>
      </c>
      <c r="W39" s="562">
        <f t="shared" ref="W39:Y39" si="58">SUM(W40:W43)</f>
        <v>49377</v>
      </c>
      <c r="X39" s="573">
        <f t="shared" si="58"/>
        <v>1650</v>
      </c>
      <c r="Y39" s="573">
        <f t="shared" si="58"/>
        <v>0</v>
      </c>
      <c r="Z39" s="573">
        <f t="shared" si="11"/>
        <v>51027</v>
      </c>
    </row>
    <row r="40" spans="1:26" ht="28.55" x14ac:dyDescent="0.25">
      <c r="A40" s="522"/>
      <c r="B40" s="272" t="s">
        <v>527</v>
      </c>
      <c r="C40" s="546">
        <f>'2A Önk bev'!C76</f>
        <v>0</v>
      </c>
      <c r="D40" s="546">
        <f>'2A Önk bev'!D76</f>
        <v>0</v>
      </c>
      <c r="E40" s="546">
        <f>'2A Önk bev'!E76</f>
        <v>0</v>
      </c>
      <c r="F40" s="546">
        <f t="shared" si="1"/>
        <v>0</v>
      </c>
      <c r="G40" s="546">
        <f>'2A Önk bev'!G76</f>
        <v>0</v>
      </c>
      <c r="H40" s="512">
        <f>'2A Önk bev'!H76</f>
        <v>0</v>
      </c>
      <c r="I40" s="512">
        <f>'2A Önk bev'!I76</f>
        <v>0</v>
      </c>
      <c r="J40" s="512">
        <f t="shared" si="3"/>
        <v>0</v>
      </c>
      <c r="K40" s="546">
        <f>'2A Önk bev'!K76</f>
        <v>0</v>
      </c>
      <c r="L40" s="512">
        <f>'2A Önk bev'!L76</f>
        <v>0</v>
      </c>
      <c r="M40" s="512">
        <f>'2A Önk bev'!M76</f>
        <v>0</v>
      </c>
      <c r="N40" s="512">
        <f t="shared" si="5"/>
        <v>0</v>
      </c>
      <c r="O40" s="546">
        <f>'2A Önk bev'!O76</f>
        <v>0</v>
      </c>
      <c r="P40" s="512">
        <f>'2A Önk bev'!P76</f>
        <v>0</v>
      </c>
      <c r="Q40" s="512">
        <f>'2A Önk bev'!Q76</f>
        <v>0</v>
      </c>
      <c r="R40" s="512">
        <f t="shared" si="7"/>
        <v>0</v>
      </c>
      <c r="S40" s="546">
        <f>'2A Önk bev'!S76</f>
        <v>0</v>
      </c>
      <c r="T40" s="512">
        <f>'2A Önk bev'!T76</f>
        <v>0</v>
      </c>
      <c r="U40" s="512">
        <f>'2A Önk bev'!U76</f>
        <v>0</v>
      </c>
      <c r="V40" s="512">
        <f t="shared" si="9"/>
        <v>0</v>
      </c>
      <c r="W40" s="546">
        <f>'2A Önk bev'!W76</f>
        <v>0</v>
      </c>
      <c r="X40" s="512">
        <f>'2A Önk bev'!X76</f>
        <v>0</v>
      </c>
      <c r="Y40" s="512">
        <f>'2A Önk bev'!Y76</f>
        <v>0</v>
      </c>
      <c r="Z40" s="512">
        <f t="shared" si="11"/>
        <v>0</v>
      </c>
    </row>
    <row r="41" spans="1:26" s="96" customFormat="1" ht="42.8" x14ac:dyDescent="0.25">
      <c r="A41" s="522"/>
      <c r="B41" s="383" t="s">
        <v>551</v>
      </c>
      <c r="C41" s="384">
        <f>'2A Önk bev'!C77</f>
        <v>0</v>
      </c>
      <c r="D41" s="384">
        <f>'2A Önk bev'!D77</f>
        <v>0</v>
      </c>
      <c r="E41" s="384">
        <f>'2A Önk bev'!E77</f>
        <v>0</v>
      </c>
      <c r="F41" s="384">
        <f t="shared" si="1"/>
        <v>0</v>
      </c>
      <c r="G41" s="384">
        <f>'2A Önk bev'!G77</f>
        <v>0</v>
      </c>
      <c r="H41" s="514">
        <f>'2A Önk bev'!H77</f>
        <v>0</v>
      </c>
      <c r="I41" s="514">
        <f>'2A Önk bev'!I77</f>
        <v>0</v>
      </c>
      <c r="J41" s="514">
        <f t="shared" si="3"/>
        <v>0</v>
      </c>
      <c r="K41" s="384">
        <f>'2A Önk bev'!K77</f>
        <v>0</v>
      </c>
      <c r="L41" s="514">
        <f>'2A Önk bev'!L77</f>
        <v>0</v>
      </c>
      <c r="M41" s="514">
        <f>'2A Önk bev'!M77</f>
        <v>0</v>
      </c>
      <c r="N41" s="514">
        <f t="shared" si="5"/>
        <v>0</v>
      </c>
      <c r="O41" s="384">
        <f>'2A Önk bev'!O77</f>
        <v>0</v>
      </c>
      <c r="P41" s="514">
        <f>'2A Önk bev'!P77</f>
        <v>0</v>
      </c>
      <c r="Q41" s="514">
        <f>'2A Önk bev'!Q77</f>
        <v>0</v>
      </c>
      <c r="R41" s="514">
        <f t="shared" si="7"/>
        <v>0</v>
      </c>
      <c r="S41" s="384">
        <f>'2A Önk bev'!S77</f>
        <v>0</v>
      </c>
      <c r="T41" s="514">
        <f>'2A Önk bev'!T77</f>
        <v>0</v>
      </c>
      <c r="U41" s="514">
        <f>'2A Önk bev'!U77</f>
        <v>0</v>
      </c>
      <c r="V41" s="514">
        <f t="shared" si="9"/>
        <v>0</v>
      </c>
      <c r="W41" s="384">
        <f>'2A Önk bev'!W77</f>
        <v>0</v>
      </c>
      <c r="X41" s="514">
        <f>'2A Önk bev'!X77</f>
        <v>0</v>
      </c>
      <c r="Y41" s="514">
        <f>'2A Önk bev'!Y77</f>
        <v>0</v>
      </c>
      <c r="Z41" s="514">
        <f t="shared" si="11"/>
        <v>0</v>
      </c>
    </row>
    <row r="42" spans="1:26" ht="28.55" x14ac:dyDescent="0.25">
      <c r="A42" s="522"/>
      <c r="B42" s="272" t="s">
        <v>529</v>
      </c>
      <c r="C42" s="546">
        <f>'2A Önk bev'!C78</f>
        <v>0</v>
      </c>
      <c r="D42" s="546">
        <f>'2A Önk bev'!D78</f>
        <v>1614</v>
      </c>
      <c r="E42" s="546">
        <f>'2A Önk bev'!E78</f>
        <v>0</v>
      </c>
      <c r="F42" s="546">
        <f t="shared" si="1"/>
        <v>1614</v>
      </c>
      <c r="G42" s="546">
        <f>'2A Önk bev'!G78</f>
        <v>0</v>
      </c>
      <c r="H42" s="512">
        <f>'2A Önk bev'!H78</f>
        <v>1614</v>
      </c>
      <c r="I42" s="512">
        <f>'2A Önk bev'!I78</f>
        <v>0</v>
      </c>
      <c r="J42" s="512">
        <f t="shared" si="3"/>
        <v>1614</v>
      </c>
      <c r="K42" s="546">
        <f>'2A Önk bev'!K78</f>
        <v>0</v>
      </c>
      <c r="L42" s="512">
        <f>'2A Önk bev'!L78</f>
        <v>2815</v>
      </c>
      <c r="M42" s="512">
        <f>'2A Önk bev'!M78</f>
        <v>0</v>
      </c>
      <c r="N42" s="512">
        <f t="shared" si="5"/>
        <v>2815</v>
      </c>
      <c r="O42" s="546">
        <f>'2A Önk bev'!O78</f>
        <v>1652</v>
      </c>
      <c r="P42" s="512">
        <f>'2A Önk bev'!P78</f>
        <v>0</v>
      </c>
      <c r="Q42" s="512">
        <f>'2A Önk bev'!Q78</f>
        <v>0</v>
      </c>
      <c r="R42" s="512">
        <f t="shared" si="7"/>
        <v>1652</v>
      </c>
      <c r="S42" s="546">
        <f>'2A Önk bev'!S78</f>
        <v>0</v>
      </c>
      <c r="T42" s="512">
        <f>'2A Önk bev'!T78</f>
        <v>1650</v>
      </c>
      <c r="U42" s="512">
        <f>'2A Önk bev'!U78</f>
        <v>0</v>
      </c>
      <c r="V42" s="512">
        <f t="shared" si="9"/>
        <v>1650</v>
      </c>
      <c r="W42" s="546">
        <f>'2A Önk bev'!W78</f>
        <v>0</v>
      </c>
      <c r="X42" s="512">
        <f>'2A Önk bev'!X78</f>
        <v>1650</v>
      </c>
      <c r="Y42" s="512">
        <f>'2A Önk bev'!Y78</f>
        <v>0</v>
      </c>
      <c r="Z42" s="512">
        <f t="shared" si="11"/>
        <v>1650</v>
      </c>
    </row>
    <row r="43" spans="1:26" x14ac:dyDescent="0.25">
      <c r="A43" s="522"/>
      <c r="B43" s="272" t="s">
        <v>533</v>
      </c>
      <c r="C43" s="546">
        <f>'2A Önk bev'!C82</f>
        <v>4186</v>
      </c>
      <c r="D43" s="546">
        <f>'2A Önk bev'!D82</f>
        <v>0</v>
      </c>
      <c r="E43" s="546">
        <f>'2A Önk bev'!E82</f>
        <v>0</v>
      </c>
      <c r="F43" s="546">
        <f t="shared" si="1"/>
        <v>4186</v>
      </c>
      <c r="G43" s="546">
        <f>'2A Önk bev'!G82</f>
        <v>4186</v>
      </c>
      <c r="H43" s="512">
        <f>'2A Önk bev'!H82</f>
        <v>10000</v>
      </c>
      <c r="I43" s="512">
        <f>'2A Önk bev'!I82</f>
        <v>0</v>
      </c>
      <c r="J43" s="512">
        <f t="shared" si="3"/>
        <v>14186</v>
      </c>
      <c r="K43" s="546">
        <f>'2A Önk bev'!K82</f>
        <v>4186</v>
      </c>
      <c r="L43" s="512">
        <f>'2A Önk bev'!L82</f>
        <v>136925</v>
      </c>
      <c r="M43" s="512">
        <f>'2A Önk bev'!M82</f>
        <v>0</v>
      </c>
      <c r="N43" s="512">
        <f t="shared" si="5"/>
        <v>141111</v>
      </c>
      <c r="O43" s="546">
        <f>'2A Önk bev'!O82</f>
        <v>891</v>
      </c>
      <c r="P43" s="512">
        <f>'2A Önk bev'!P82</f>
        <v>0</v>
      </c>
      <c r="Q43" s="512">
        <f>'2A Önk bev'!Q82</f>
        <v>0</v>
      </c>
      <c r="R43" s="512">
        <f t="shared" si="7"/>
        <v>891</v>
      </c>
      <c r="S43" s="546">
        <f>'2A Önk bev'!S82</f>
        <v>49377</v>
      </c>
      <c r="T43" s="512">
        <f>'2A Önk bev'!T82</f>
        <v>0</v>
      </c>
      <c r="U43" s="512">
        <f>'2A Önk bev'!U82</f>
        <v>0</v>
      </c>
      <c r="V43" s="512">
        <f t="shared" si="9"/>
        <v>49377</v>
      </c>
      <c r="W43" s="546">
        <f>'2A Önk bev'!W82</f>
        <v>49377</v>
      </c>
      <c r="X43" s="512">
        <f>'2A Önk bev'!X82</f>
        <v>0</v>
      </c>
      <c r="Y43" s="512">
        <f>'2A Önk bev'!Y82</f>
        <v>0</v>
      </c>
      <c r="Z43" s="512">
        <f t="shared" si="11"/>
        <v>49377</v>
      </c>
    </row>
    <row r="44" spans="1:26" ht="28.55" x14ac:dyDescent="0.25">
      <c r="A44" s="728"/>
      <c r="B44" s="732" t="s">
        <v>1467</v>
      </c>
      <c r="C44" s="546"/>
      <c r="D44" s="546"/>
      <c r="E44" s="546"/>
      <c r="F44" s="546"/>
      <c r="G44" s="546">
        <f>+'2A Önk bev'!J89</f>
        <v>66402</v>
      </c>
      <c r="H44" s="546">
        <f>+'2A Önk bev'!H89</f>
        <v>0</v>
      </c>
      <c r="I44" s="512"/>
      <c r="J44" s="512">
        <f t="shared" si="3"/>
        <v>66402</v>
      </c>
      <c r="K44" s="546"/>
      <c r="L44" s="512"/>
      <c r="M44" s="512"/>
      <c r="N44" s="512"/>
      <c r="O44" s="546"/>
      <c r="P44" s="512"/>
      <c r="Q44" s="512"/>
      <c r="R44" s="512"/>
      <c r="S44" s="546"/>
      <c r="T44" s="512"/>
      <c r="U44" s="512"/>
      <c r="V44" s="512"/>
      <c r="W44" s="546"/>
      <c r="X44" s="512"/>
      <c r="Y44" s="512"/>
      <c r="Z44" s="512"/>
    </row>
    <row r="45" spans="1:26" x14ac:dyDescent="0.25">
      <c r="A45" s="521"/>
      <c r="B45" s="563" t="s">
        <v>327</v>
      </c>
      <c r="C45" s="360">
        <f>C4+C29</f>
        <v>3845101</v>
      </c>
      <c r="D45" s="360">
        <f>D4+D29</f>
        <v>462133</v>
      </c>
      <c r="E45" s="360">
        <f>E4+E29</f>
        <v>0</v>
      </c>
      <c r="F45" s="360">
        <f t="shared" si="1"/>
        <v>4307234</v>
      </c>
      <c r="G45" s="360">
        <f>G4+G29</f>
        <v>4083573</v>
      </c>
      <c r="H45" s="574">
        <f>H4+H29</f>
        <v>732127</v>
      </c>
      <c r="I45" s="574">
        <f>I4+I29</f>
        <v>0</v>
      </c>
      <c r="J45" s="574">
        <f t="shared" si="3"/>
        <v>4815700</v>
      </c>
      <c r="K45" s="360">
        <f>K4+K29</f>
        <v>3888147</v>
      </c>
      <c r="L45" s="574">
        <f>L4+L29</f>
        <v>671933</v>
      </c>
      <c r="M45" s="574" t="e">
        <f>M4+M29</f>
        <v>#REF!</v>
      </c>
      <c r="N45" s="574" t="e">
        <f t="shared" si="5"/>
        <v>#REF!</v>
      </c>
      <c r="O45" s="360">
        <f>O4+O29</f>
        <v>4895187</v>
      </c>
      <c r="P45" s="574">
        <f>P4+P29</f>
        <v>12200</v>
      </c>
      <c r="Q45" s="574">
        <f>Q4+Q29</f>
        <v>0</v>
      </c>
      <c r="R45" s="574">
        <f t="shared" si="7"/>
        <v>4907387</v>
      </c>
      <c r="S45" s="360">
        <f>S4+S29</f>
        <v>4621084.0810000002</v>
      </c>
      <c r="T45" s="574">
        <f>T4+T29</f>
        <v>50887</v>
      </c>
      <c r="U45" s="574">
        <f>U4+U29</f>
        <v>0</v>
      </c>
      <c r="V45" s="574">
        <f t="shared" si="9"/>
        <v>4671971.0810000002</v>
      </c>
      <c r="W45" s="360">
        <f>W4+W29</f>
        <v>4467096.8339999998</v>
      </c>
      <c r="X45" s="574">
        <f>X4+X29</f>
        <v>215102</v>
      </c>
      <c r="Y45" s="574">
        <f>Y4+Y29</f>
        <v>0</v>
      </c>
      <c r="Z45" s="574">
        <f t="shared" ref="Z45:Z60" si="59">SUM(W45:Y45)</f>
        <v>4682198.8339999998</v>
      </c>
    </row>
    <row r="46" spans="1:26" x14ac:dyDescent="0.25">
      <c r="A46" s="557" t="s">
        <v>328</v>
      </c>
      <c r="B46" s="558" t="s">
        <v>329</v>
      </c>
      <c r="C46" s="559">
        <f>C47+C57</f>
        <v>0</v>
      </c>
      <c r="D46" s="559">
        <f t="shared" ref="D46:E46" si="60">D47+D57</f>
        <v>2068000</v>
      </c>
      <c r="E46" s="559">
        <f t="shared" si="60"/>
        <v>0</v>
      </c>
      <c r="F46" s="559">
        <f t="shared" si="1"/>
        <v>2068000</v>
      </c>
      <c r="G46" s="559">
        <f>G47+G57</f>
        <v>335167</v>
      </c>
      <c r="H46" s="572">
        <f t="shared" ref="H46:I46" si="61">H47+H57</f>
        <v>2354045</v>
      </c>
      <c r="I46" s="572">
        <f t="shared" si="61"/>
        <v>0</v>
      </c>
      <c r="J46" s="572">
        <f t="shared" si="3"/>
        <v>2689212</v>
      </c>
      <c r="K46" s="559">
        <f>K47+K57</f>
        <v>51899</v>
      </c>
      <c r="L46" s="572">
        <f t="shared" ref="L46:M46" si="62">L47+L57</f>
        <v>2237194</v>
      </c>
      <c r="M46" s="572" t="e">
        <f t="shared" si="62"/>
        <v>#REF!</v>
      </c>
      <c r="N46" s="572" t="e">
        <f t="shared" si="5"/>
        <v>#REF!</v>
      </c>
      <c r="O46" s="559">
        <f>O47+O57</f>
        <v>2691661</v>
      </c>
      <c r="P46" s="572">
        <f t="shared" ref="P46:Q46" si="63">P47+P57</f>
        <v>0</v>
      </c>
      <c r="Q46" s="572">
        <f t="shared" si="63"/>
        <v>0</v>
      </c>
      <c r="R46" s="572">
        <f t="shared" si="7"/>
        <v>2691661</v>
      </c>
      <c r="S46" s="559">
        <f>S47+S57</f>
        <v>1100000</v>
      </c>
      <c r="T46" s="572">
        <f t="shared" ref="T46:U46" si="64">T47+T57</f>
        <v>0</v>
      </c>
      <c r="U46" s="572">
        <f t="shared" si="64"/>
        <v>0</v>
      </c>
      <c r="V46" s="572">
        <f t="shared" si="9"/>
        <v>1100000</v>
      </c>
      <c r="W46" s="559">
        <f>W47+W57</f>
        <v>1650969</v>
      </c>
      <c r="X46" s="572">
        <f t="shared" ref="X46:Y46" si="65">X47+X57</f>
        <v>0</v>
      </c>
      <c r="Y46" s="572">
        <f t="shared" si="65"/>
        <v>0</v>
      </c>
      <c r="Z46" s="572">
        <f t="shared" si="59"/>
        <v>1650969</v>
      </c>
    </row>
    <row r="47" spans="1:26" x14ac:dyDescent="0.25">
      <c r="A47" s="560" t="s">
        <v>311</v>
      </c>
      <c r="B47" s="561" t="s">
        <v>330</v>
      </c>
      <c r="C47" s="562">
        <f t="shared" ref="C47:E47" si="66">C48+C53+C54+C55+C56</f>
        <v>0</v>
      </c>
      <c r="D47" s="562">
        <f t="shared" si="66"/>
        <v>2068000</v>
      </c>
      <c r="E47" s="562">
        <f t="shared" si="66"/>
        <v>0</v>
      </c>
      <c r="F47" s="562">
        <f t="shared" si="1"/>
        <v>2068000</v>
      </c>
      <c r="G47" s="562">
        <f t="shared" ref="G47:I47" si="67">G48+G53+G54+G55+G56</f>
        <v>335167</v>
      </c>
      <c r="H47" s="573">
        <f t="shared" si="67"/>
        <v>2354045</v>
      </c>
      <c r="I47" s="573">
        <f t="shared" si="67"/>
        <v>0</v>
      </c>
      <c r="J47" s="573">
        <f t="shared" si="3"/>
        <v>2689212</v>
      </c>
      <c r="K47" s="562">
        <f t="shared" ref="K47:M47" si="68">K48+K53+K54+K55+K56</f>
        <v>51899</v>
      </c>
      <c r="L47" s="573">
        <f t="shared" si="68"/>
        <v>2237194</v>
      </c>
      <c r="M47" s="573" t="e">
        <f t="shared" si="68"/>
        <v>#REF!</v>
      </c>
      <c r="N47" s="573" t="e">
        <f t="shared" si="5"/>
        <v>#REF!</v>
      </c>
      <c r="O47" s="562">
        <f t="shared" ref="O47:Q47" si="69">O48+O53+O54+O55+O56</f>
        <v>2691661</v>
      </c>
      <c r="P47" s="573">
        <f t="shared" si="69"/>
        <v>0</v>
      </c>
      <c r="Q47" s="573">
        <f t="shared" si="69"/>
        <v>0</v>
      </c>
      <c r="R47" s="573">
        <f t="shared" si="7"/>
        <v>2691661</v>
      </c>
      <c r="S47" s="562">
        <f t="shared" ref="S47:U47" si="70">S48+S53+S54+S55+S56</f>
        <v>1100000</v>
      </c>
      <c r="T47" s="573">
        <f t="shared" si="70"/>
        <v>0</v>
      </c>
      <c r="U47" s="573">
        <f t="shared" si="70"/>
        <v>0</v>
      </c>
      <c r="V47" s="573">
        <f t="shared" si="9"/>
        <v>1100000</v>
      </c>
      <c r="W47" s="562">
        <f t="shared" ref="W47:Y47" si="71">W48+W53+W54+W55+W56</f>
        <v>1650969</v>
      </c>
      <c r="X47" s="573">
        <f t="shared" si="71"/>
        <v>0</v>
      </c>
      <c r="Y47" s="573">
        <f t="shared" si="71"/>
        <v>0</v>
      </c>
      <c r="Z47" s="573">
        <f t="shared" si="59"/>
        <v>1650969</v>
      </c>
    </row>
    <row r="48" spans="1:26" ht="28.55" x14ac:dyDescent="0.25">
      <c r="A48" s="522"/>
      <c r="B48" s="272" t="s">
        <v>538</v>
      </c>
      <c r="C48" s="546">
        <f t="shared" ref="C48:E48" si="72">SUM(C49:C52)</f>
        <v>0</v>
      </c>
      <c r="D48" s="546">
        <f t="shared" si="72"/>
        <v>768000</v>
      </c>
      <c r="E48" s="546">
        <f t="shared" si="72"/>
        <v>0</v>
      </c>
      <c r="F48" s="546">
        <f t="shared" si="1"/>
        <v>768000</v>
      </c>
      <c r="G48" s="546">
        <f t="shared" ref="G48:I48" si="73">SUM(G49:G52)</f>
        <v>0</v>
      </c>
      <c r="H48" s="512">
        <f t="shared" si="73"/>
        <v>1000000</v>
      </c>
      <c r="I48" s="512">
        <f t="shared" si="73"/>
        <v>0</v>
      </c>
      <c r="J48" s="512">
        <f t="shared" si="3"/>
        <v>1000000</v>
      </c>
      <c r="K48" s="546">
        <f t="shared" ref="K48:M48" si="74">SUM(K49:K52)</f>
        <v>0</v>
      </c>
      <c r="L48" s="512">
        <f t="shared" si="74"/>
        <v>400000</v>
      </c>
      <c r="M48" s="512">
        <f t="shared" si="74"/>
        <v>0</v>
      </c>
      <c r="N48" s="512">
        <f t="shared" si="5"/>
        <v>400000</v>
      </c>
      <c r="O48" s="546">
        <f t="shared" ref="O48:Q48" si="75">SUM(O49:O52)</f>
        <v>1000000</v>
      </c>
      <c r="P48" s="512">
        <f t="shared" si="75"/>
        <v>0</v>
      </c>
      <c r="Q48" s="512">
        <f t="shared" si="75"/>
        <v>0</v>
      </c>
      <c r="R48" s="512">
        <f t="shared" si="7"/>
        <v>1000000</v>
      </c>
      <c r="S48" s="546">
        <f t="shared" ref="S48:U48" si="76">SUM(S49:S52)</f>
        <v>0</v>
      </c>
      <c r="T48" s="512">
        <f t="shared" si="76"/>
        <v>0</v>
      </c>
      <c r="U48" s="512">
        <f t="shared" si="76"/>
        <v>0</v>
      </c>
      <c r="V48" s="512">
        <f t="shared" si="9"/>
        <v>0</v>
      </c>
      <c r="W48" s="546">
        <f t="shared" ref="W48:Y48" si="77">SUM(W49:W52)</f>
        <v>0</v>
      </c>
      <c r="X48" s="512">
        <f t="shared" si="77"/>
        <v>0</v>
      </c>
      <c r="Y48" s="512">
        <f t="shared" si="77"/>
        <v>0</v>
      </c>
      <c r="Z48" s="512">
        <f t="shared" si="59"/>
        <v>0</v>
      </c>
    </row>
    <row r="49" spans="1:26" x14ac:dyDescent="0.25">
      <c r="A49" s="522"/>
      <c r="B49" s="382" t="s">
        <v>539</v>
      </c>
      <c r="C49" s="546">
        <f>'2A Önk bev'!C95</f>
        <v>0</v>
      </c>
      <c r="D49" s="546">
        <f>'2A Önk bev'!D95</f>
        <v>600000</v>
      </c>
      <c r="E49" s="546">
        <f>'2A Önk bev'!E95</f>
        <v>0</v>
      </c>
      <c r="F49" s="546">
        <f t="shared" si="1"/>
        <v>600000</v>
      </c>
      <c r="G49" s="546">
        <f>'2A Önk bev'!G95</f>
        <v>0</v>
      </c>
      <c r="H49" s="512">
        <f>'2A Önk bev'!H95</f>
        <v>600000</v>
      </c>
      <c r="I49" s="512">
        <f>'2A Önk bev'!I95</f>
        <v>0</v>
      </c>
      <c r="J49" s="512">
        <f t="shared" si="3"/>
        <v>600000</v>
      </c>
      <c r="K49" s="546">
        <f>'2A Önk bev'!K95</f>
        <v>0</v>
      </c>
      <c r="L49" s="512">
        <f>'2A Önk bev'!L95</f>
        <v>400000</v>
      </c>
      <c r="M49" s="512">
        <f>'2A Önk bev'!M95</f>
        <v>0</v>
      </c>
      <c r="N49" s="512">
        <f t="shared" si="5"/>
        <v>400000</v>
      </c>
      <c r="O49" s="546">
        <f>'2A Önk bev'!O95</f>
        <v>600000</v>
      </c>
      <c r="P49" s="512">
        <f>'2A Önk bev'!P95</f>
        <v>0</v>
      </c>
      <c r="Q49" s="512">
        <f>'2A Önk bev'!Q95</f>
        <v>0</v>
      </c>
      <c r="R49" s="512">
        <f t="shared" si="7"/>
        <v>600000</v>
      </c>
      <c r="S49" s="546">
        <f>'2A Önk bev'!S95</f>
        <v>0</v>
      </c>
      <c r="T49" s="512">
        <f>'2A Önk bev'!T95</f>
        <v>0</v>
      </c>
      <c r="U49" s="512">
        <f>'2A Önk bev'!U95</f>
        <v>0</v>
      </c>
      <c r="V49" s="512">
        <f t="shared" si="9"/>
        <v>0</v>
      </c>
      <c r="W49" s="546">
        <f>'2A Önk bev'!W95</f>
        <v>0</v>
      </c>
      <c r="X49" s="512">
        <f>'2A Önk bev'!X95</f>
        <v>0</v>
      </c>
      <c r="Y49" s="512">
        <f>'2A Önk bev'!Y95</f>
        <v>0</v>
      </c>
      <c r="Z49" s="512">
        <f t="shared" si="59"/>
        <v>0</v>
      </c>
    </row>
    <row r="50" spans="1:26" ht="28.55" x14ac:dyDescent="0.25">
      <c r="A50" s="648"/>
      <c r="B50" s="651" t="s">
        <v>1410</v>
      </c>
      <c r="C50" s="546"/>
      <c r="D50" s="546">
        <v>168000</v>
      </c>
      <c r="E50" s="546"/>
      <c r="F50" s="546"/>
      <c r="G50" s="546"/>
      <c r="H50" s="512">
        <v>400000</v>
      </c>
      <c r="I50" s="512"/>
      <c r="J50" s="512"/>
      <c r="K50" s="546"/>
      <c r="L50" s="512"/>
      <c r="M50" s="512"/>
      <c r="N50" s="512"/>
      <c r="O50" s="546">
        <v>400000</v>
      </c>
      <c r="P50" s="512"/>
      <c r="Q50" s="512"/>
      <c r="R50" s="512">
        <f t="shared" si="7"/>
        <v>400000</v>
      </c>
      <c r="S50" s="546"/>
      <c r="T50" s="512">
        <v>0</v>
      </c>
      <c r="U50" s="512"/>
      <c r="V50" s="512">
        <f t="shared" si="9"/>
        <v>0</v>
      </c>
      <c r="W50" s="546"/>
      <c r="X50" s="512">
        <v>0</v>
      </c>
      <c r="Y50" s="512"/>
      <c r="Z50" s="512">
        <f t="shared" si="59"/>
        <v>0</v>
      </c>
    </row>
    <row r="51" spans="1:26" x14ac:dyDescent="0.25">
      <c r="A51" s="522"/>
      <c r="B51" s="382" t="s">
        <v>540</v>
      </c>
      <c r="C51" s="546">
        <v>0</v>
      </c>
      <c r="D51" s="546">
        <v>0</v>
      </c>
      <c r="E51" s="546">
        <v>0</v>
      </c>
      <c r="F51" s="546">
        <f t="shared" si="1"/>
        <v>0</v>
      </c>
      <c r="G51" s="546">
        <v>0</v>
      </c>
      <c r="H51" s="512">
        <v>0</v>
      </c>
      <c r="I51" s="512">
        <v>0</v>
      </c>
      <c r="J51" s="512">
        <f t="shared" si="3"/>
        <v>0</v>
      </c>
      <c r="K51" s="546">
        <v>0</v>
      </c>
      <c r="L51" s="512">
        <v>0</v>
      </c>
      <c r="M51" s="512">
        <v>0</v>
      </c>
      <c r="N51" s="512">
        <f t="shared" si="5"/>
        <v>0</v>
      </c>
      <c r="O51" s="546">
        <v>0</v>
      </c>
      <c r="P51" s="512">
        <v>0</v>
      </c>
      <c r="Q51" s="512">
        <v>0</v>
      </c>
      <c r="R51" s="512">
        <f t="shared" si="7"/>
        <v>0</v>
      </c>
      <c r="S51" s="546">
        <v>0</v>
      </c>
      <c r="T51" s="512">
        <v>0</v>
      </c>
      <c r="U51" s="512">
        <v>0</v>
      </c>
      <c r="V51" s="512">
        <f t="shared" si="9"/>
        <v>0</v>
      </c>
      <c r="W51" s="546">
        <v>0</v>
      </c>
      <c r="X51" s="512">
        <v>0</v>
      </c>
      <c r="Y51" s="512">
        <v>0</v>
      </c>
      <c r="Z51" s="512">
        <f t="shared" si="59"/>
        <v>0</v>
      </c>
    </row>
    <row r="52" spans="1:26" x14ac:dyDescent="0.25">
      <c r="A52" s="522"/>
      <c r="B52" s="382" t="s">
        <v>541</v>
      </c>
      <c r="C52" s="546">
        <v>0</v>
      </c>
      <c r="D52" s="546">
        <v>0</v>
      </c>
      <c r="E52" s="546">
        <v>0</v>
      </c>
      <c r="F52" s="546">
        <f t="shared" si="1"/>
        <v>0</v>
      </c>
      <c r="G52" s="546">
        <v>0</v>
      </c>
      <c r="H52" s="512">
        <v>0</v>
      </c>
      <c r="I52" s="512">
        <v>0</v>
      </c>
      <c r="J52" s="512">
        <f t="shared" si="3"/>
        <v>0</v>
      </c>
      <c r="K52" s="546">
        <v>0</v>
      </c>
      <c r="L52" s="512">
        <v>0</v>
      </c>
      <c r="M52" s="512">
        <v>0</v>
      </c>
      <c r="N52" s="512">
        <f t="shared" si="5"/>
        <v>0</v>
      </c>
      <c r="O52" s="546">
        <v>0</v>
      </c>
      <c r="P52" s="512">
        <v>0</v>
      </c>
      <c r="Q52" s="512">
        <v>0</v>
      </c>
      <c r="R52" s="512">
        <f t="shared" si="7"/>
        <v>0</v>
      </c>
      <c r="S52" s="546">
        <v>0</v>
      </c>
      <c r="T52" s="512">
        <v>0</v>
      </c>
      <c r="U52" s="512">
        <v>0</v>
      </c>
      <c r="V52" s="512">
        <f t="shared" si="9"/>
        <v>0</v>
      </c>
      <c r="W52" s="546">
        <v>0</v>
      </c>
      <c r="X52" s="512">
        <v>0</v>
      </c>
      <c r="Y52" s="512">
        <v>0</v>
      </c>
      <c r="Z52" s="512">
        <f t="shared" si="59"/>
        <v>0</v>
      </c>
    </row>
    <row r="53" spans="1:26" x14ac:dyDescent="0.25">
      <c r="A53" s="522"/>
      <c r="B53" s="272" t="s">
        <v>1476</v>
      </c>
      <c r="C53" s="546">
        <v>0</v>
      </c>
      <c r="D53" s="546">
        <v>0</v>
      </c>
      <c r="E53" s="546">
        <v>0</v>
      </c>
      <c r="F53" s="546">
        <f t="shared" si="1"/>
        <v>0</v>
      </c>
      <c r="G53" s="546">
        <v>301443</v>
      </c>
      <c r="H53" s="512">
        <v>0</v>
      </c>
      <c r="I53" s="512">
        <v>0</v>
      </c>
      <c r="J53" s="512">
        <f t="shared" si="3"/>
        <v>301443</v>
      </c>
      <c r="K53" s="546">
        <v>0</v>
      </c>
      <c r="L53" s="512">
        <v>0</v>
      </c>
      <c r="M53" s="512">
        <v>0</v>
      </c>
      <c r="N53" s="512">
        <f t="shared" si="5"/>
        <v>0</v>
      </c>
      <c r="O53" s="546">
        <v>301443</v>
      </c>
      <c r="P53" s="512">
        <v>0</v>
      </c>
      <c r="Q53" s="512">
        <v>0</v>
      </c>
      <c r="R53" s="512">
        <f t="shared" si="7"/>
        <v>301443</v>
      </c>
      <c r="S53" s="546">
        <v>0</v>
      </c>
      <c r="T53" s="512">
        <v>0</v>
      </c>
      <c r="U53" s="512">
        <v>0</v>
      </c>
      <c r="V53" s="512">
        <f t="shared" si="9"/>
        <v>0</v>
      </c>
      <c r="W53" s="546">
        <f>'2A Önk bev'!W103</f>
        <v>132298</v>
      </c>
      <c r="X53" s="512">
        <v>0</v>
      </c>
      <c r="Y53" s="512">
        <v>0</v>
      </c>
      <c r="Z53" s="512">
        <f t="shared" si="59"/>
        <v>132298</v>
      </c>
    </row>
    <row r="54" spans="1:26" x14ac:dyDescent="0.25">
      <c r="A54" s="522"/>
      <c r="B54" s="272" t="s">
        <v>543</v>
      </c>
      <c r="C54" s="546">
        <f>'2A Önk bev'!C100+'3A PH'!C36+'4H VG bev kiad'!C33+'4A Walla'!C33+'4B Nyitnikék'!C33+'4C Bóbita'!C33+'4D MMMH'!C33+'4E Könyvtár'!C33+'4F Segítő Kéz'!C33</f>
        <v>0</v>
      </c>
      <c r="D54" s="546">
        <f>'2A Önk bev'!D100+'3A PH'!D36+'4H VG bev kiad'!D33+'4A Walla'!D33+'4B Nyitnikék'!D33+'4C Bóbita'!D33+'4D MMMH'!D33+'4E Könyvtár'!D33+'4F Segítő Kéz'!D33</f>
        <v>800000</v>
      </c>
      <c r="E54" s="546">
        <f>'2A Önk bev'!E100+'3A PH'!E36</f>
        <v>0</v>
      </c>
      <c r="F54" s="546">
        <f t="shared" si="1"/>
        <v>800000</v>
      </c>
      <c r="G54" s="546">
        <f>'2A Önk bev'!G101+'3A PH'!G36+'4H VG bev kiad'!F33+'4A Walla'!F33+'4B Nyitnikék'!F33+'4C Bóbita'!F33+'4D MMMH'!F33+'4E Könyvtár'!F33+'4F Segítő Kéz'!F33+'4G Szérüskert'!F33</f>
        <v>33724</v>
      </c>
      <c r="H54" s="512">
        <f>'2A Önk bev'!H100+'3A PH'!H36+'4H VG bev kiad'!G33+'4A Walla'!G33+'4B Nyitnikék'!G33+'4C Bóbita'!G33+'4D MMMH'!G33+'4E Könyvtár'!G33+'4F Segítő Kéz'!G33</f>
        <v>854045</v>
      </c>
      <c r="I54" s="512">
        <f>'2A Önk bev'!I100+'3A PH'!I36</f>
        <v>0</v>
      </c>
      <c r="J54" s="512">
        <f t="shared" si="3"/>
        <v>887769</v>
      </c>
      <c r="K54" s="546">
        <f>'2A Önk bev'!K101+'3A PH'!K36+'4H VG bev kiad'!I33+'4A Walla'!I33+'4B Nyitnikék'!I33+'4C Bóbita'!I33+'4D MMMH'!I33+'4E Könyvtár'!I33+'4F Segítő Kéz'!I33+'4G Szérüskert'!I33</f>
        <v>51899</v>
      </c>
      <c r="L54" s="512">
        <f>'2A Önk bev'!L100+'3A PH'!L36+'4H VG bev kiad'!J33+'4A Walla'!J33+'4B Nyitnikék'!J33+'4C Bóbita'!J33+'4D MMMH'!J33+'4E Könyvtár'!J33+'4F Segítő Kéz'!J33</f>
        <v>1337194</v>
      </c>
      <c r="M54" s="512" t="e">
        <f>'2A Önk bev'!M100+'3A PH'!M36+'4H VG bev kiad'!#REF!+'4A Walla'!#REF!+'4B Nyitnikék'!#REF!+'4C Bóbita'!#REF!+'4D MMMH'!#REF!+'4E Könyvtár'!#REF!+'4F Segítő Kéz'!#REF!</f>
        <v>#REF!</v>
      </c>
      <c r="N54" s="512" t="e">
        <f t="shared" si="5"/>
        <v>#REF!</v>
      </c>
      <c r="O54" s="546">
        <f>'2A Önk bev'!O102+'3A PH'!O36+'4H VG bev kiad'!L33+'4A Walla'!L33+'4B Nyitnikék'!L33+'4C Bóbita'!L33+'4D MMMH'!L33+'4E Könyvtár'!L33+'4F Segítő Kéz'!L33+'4G Szérüskert'!L33</f>
        <v>887768</v>
      </c>
      <c r="P54" s="512">
        <f>'2A Önk bev'!P100+'3A PH'!P36+'4H VG bev kiad'!M33+'4A Walla'!M33+'4B Nyitnikék'!M33+'4C Bóbita'!M33+'4D MMMH'!M33+'4E Könyvtár'!M33+'4F Segítő Kéz'!M33</f>
        <v>0</v>
      </c>
      <c r="Q54" s="512">
        <f>'2A Önk bev'!Q100+'3A PH'!Q36</f>
        <v>0</v>
      </c>
      <c r="R54" s="512">
        <f t="shared" si="7"/>
        <v>887768</v>
      </c>
      <c r="S54" s="546">
        <f>'2A Önk bev'!S100+'3A PH'!S36+'4H VG bev kiad'!O33+'4A Walla'!O33+'4B Nyitnikék'!O33+'4C Bóbita'!O33+'4D MMMH'!O33+'4E Könyvtár'!O33+'4F Segítő Kéz'!O33+'4G Szérüskert'!O33</f>
        <v>1100000</v>
      </c>
      <c r="T54" s="512">
        <f>'2A Önk bev'!T100+'3A PH'!T36+'4H VG bev kiad'!P33+'4A Walla'!P33+'4B Nyitnikék'!P33+'4C Bóbita'!P33+'4D MMMH'!P33+'4E Könyvtár'!P33+'4F Segítő Kéz'!P33</f>
        <v>0</v>
      </c>
      <c r="U54" s="512">
        <f>'2A Önk bev'!U100+'3A PH'!U36</f>
        <v>0</v>
      </c>
      <c r="V54" s="512">
        <f t="shared" si="9"/>
        <v>1100000</v>
      </c>
      <c r="W54" s="546">
        <f>'2A Önk bev'!W100+'3A PH'!W36+'4H VG bev kiad'!R33+'4A Walla'!R33+'4B Nyitnikék'!R33+'4C Bóbita'!R33+'4D MMMH'!R33+'4E Könyvtár'!R33+'4F Segítő Kéz'!R33+'4G Szérüskert'!R33</f>
        <v>1518671</v>
      </c>
      <c r="X54" s="512">
        <v>0</v>
      </c>
      <c r="Y54" s="512">
        <f>'2A Önk bev'!Y100+'3A PH'!Y36</f>
        <v>0</v>
      </c>
      <c r="Z54" s="512">
        <f t="shared" si="59"/>
        <v>1518671</v>
      </c>
    </row>
    <row r="55" spans="1:26" x14ac:dyDescent="0.25">
      <c r="A55" s="522"/>
      <c r="B55" s="272" t="s">
        <v>546</v>
      </c>
      <c r="C55" s="546">
        <v>0</v>
      </c>
      <c r="D55" s="546">
        <v>0</v>
      </c>
      <c r="E55" s="546">
        <v>0</v>
      </c>
      <c r="F55" s="546">
        <f t="shared" si="1"/>
        <v>0</v>
      </c>
      <c r="G55" s="546">
        <v>0</v>
      </c>
      <c r="H55" s="512">
        <v>0</v>
      </c>
      <c r="I55" s="512">
        <v>0</v>
      </c>
      <c r="J55" s="512">
        <f t="shared" si="3"/>
        <v>0</v>
      </c>
      <c r="K55" s="546">
        <v>0</v>
      </c>
      <c r="L55" s="512">
        <v>0</v>
      </c>
      <c r="M55" s="512">
        <v>0</v>
      </c>
      <c r="N55" s="512">
        <f t="shared" si="5"/>
        <v>0</v>
      </c>
      <c r="O55" s="546">
        <v>0</v>
      </c>
      <c r="P55" s="512">
        <v>0</v>
      </c>
      <c r="Q55" s="512">
        <v>0</v>
      </c>
      <c r="R55" s="512">
        <f t="shared" si="7"/>
        <v>0</v>
      </c>
      <c r="S55" s="546">
        <v>0</v>
      </c>
      <c r="T55" s="512">
        <v>0</v>
      </c>
      <c r="U55" s="512">
        <v>0</v>
      </c>
      <c r="V55" s="512">
        <f t="shared" si="9"/>
        <v>0</v>
      </c>
      <c r="W55" s="546">
        <v>0</v>
      </c>
      <c r="X55" s="512">
        <v>0</v>
      </c>
      <c r="Y55" s="512">
        <v>0</v>
      </c>
      <c r="Z55" s="512">
        <f t="shared" si="59"/>
        <v>0</v>
      </c>
    </row>
    <row r="56" spans="1:26" x14ac:dyDescent="0.25">
      <c r="A56" s="522"/>
      <c r="B56" s="272" t="s">
        <v>547</v>
      </c>
      <c r="C56" s="546">
        <f>'2A Önk bev'!C104</f>
        <v>0</v>
      </c>
      <c r="D56" s="546">
        <f>'2A Önk bev'!D104</f>
        <v>500000</v>
      </c>
      <c r="E56" s="546">
        <f>'2A Önk bev'!E104</f>
        <v>0</v>
      </c>
      <c r="F56" s="546">
        <f t="shared" si="1"/>
        <v>500000</v>
      </c>
      <c r="G56" s="546">
        <f>'2A Önk bev'!G104</f>
        <v>0</v>
      </c>
      <c r="H56" s="512">
        <f>'2A Önk bev'!H104</f>
        <v>500000</v>
      </c>
      <c r="I56" s="512">
        <f>'2A Önk bev'!I104</f>
        <v>0</v>
      </c>
      <c r="J56" s="512">
        <f t="shared" si="3"/>
        <v>500000</v>
      </c>
      <c r="K56" s="546">
        <f>'2A Önk bev'!K104</f>
        <v>0</v>
      </c>
      <c r="L56" s="512">
        <f>'2A Önk bev'!L104</f>
        <v>500000</v>
      </c>
      <c r="M56" s="512">
        <f>'2A Önk bev'!M104</f>
        <v>0</v>
      </c>
      <c r="N56" s="512">
        <f t="shared" si="5"/>
        <v>500000</v>
      </c>
      <c r="O56" s="546">
        <f>'2A Önk bev'!O104</f>
        <v>502450</v>
      </c>
      <c r="P56" s="512">
        <f>'2A Önk bev'!P104</f>
        <v>0</v>
      </c>
      <c r="Q56" s="512">
        <f>'2A Önk bev'!Q104</f>
        <v>0</v>
      </c>
      <c r="R56" s="512">
        <f t="shared" si="7"/>
        <v>502450</v>
      </c>
      <c r="S56" s="546">
        <f>'2A Önk bev'!S104</f>
        <v>0</v>
      </c>
      <c r="T56" s="512">
        <f>'2A Önk bev'!T104</f>
        <v>0</v>
      </c>
      <c r="U56" s="512">
        <f>'2A Önk bev'!U104</f>
        <v>0</v>
      </c>
      <c r="V56" s="512">
        <f t="shared" si="9"/>
        <v>0</v>
      </c>
      <c r="W56" s="546">
        <f>'2A Önk bev'!W104</f>
        <v>0</v>
      </c>
      <c r="X56" s="512">
        <f>'2A Önk bev'!X104</f>
        <v>0</v>
      </c>
      <c r="Y56" s="512">
        <f>'2A Önk bev'!Y104</f>
        <v>0</v>
      </c>
      <c r="Z56" s="512">
        <f t="shared" si="59"/>
        <v>0</v>
      </c>
    </row>
    <row r="57" spans="1:26" x14ac:dyDescent="0.25">
      <c r="A57" s="560" t="s">
        <v>322</v>
      </c>
      <c r="B57" s="561" t="s">
        <v>548</v>
      </c>
      <c r="C57" s="562">
        <f>SUM(C58:C59)</f>
        <v>0</v>
      </c>
      <c r="D57" s="562">
        <f t="shared" ref="D57:E57" si="78">SUM(D58:D59)</f>
        <v>0</v>
      </c>
      <c r="E57" s="562">
        <f t="shared" si="78"/>
        <v>0</v>
      </c>
      <c r="F57" s="562">
        <f t="shared" si="1"/>
        <v>0</v>
      </c>
      <c r="G57" s="562">
        <f>SUM(G58:G59)</f>
        <v>0</v>
      </c>
      <c r="H57" s="573">
        <f t="shared" ref="H57:I57" si="79">SUM(H58:H59)</f>
        <v>0</v>
      </c>
      <c r="I57" s="573">
        <f t="shared" si="79"/>
        <v>0</v>
      </c>
      <c r="J57" s="573">
        <f t="shared" si="3"/>
        <v>0</v>
      </c>
      <c r="K57" s="562">
        <f>SUM(K58:K59)</f>
        <v>0</v>
      </c>
      <c r="L57" s="573">
        <f t="shared" ref="L57:M57" si="80">SUM(L58:L59)</f>
        <v>0</v>
      </c>
      <c r="M57" s="573">
        <f t="shared" si="80"/>
        <v>0</v>
      </c>
      <c r="N57" s="573">
        <f t="shared" si="5"/>
        <v>0</v>
      </c>
      <c r="O57" s="562">
        <f>SUM(O58:O59)</f>
        <v>0</v>
      </c>
      <c r="P57" s="573">
        <f t="shared" ref="P57:Q57" si="81">SUM(P58:P59)</f>
        <v>0</v>
      </c>
      <c r="Q57" s="573">
        <f t="shared" si="81"/>
        <v>0</v>
      </c>
      <c r="R57" s="573">
        <f t="shared" si="7"/>
        <v>0</v>
      </c>
      <c r="S57" s="562">
        <f>SUM(S58:S59)</f>
        <v>0</v>
      </c>
      <c r="T57" s="573">
        <f t="shared" ref="T57:U57" si="82">SUM(T58:T59)</f>
        <v>0</v>
      </c>
      <c r="U57" s="573">
        <f t="shared" si="82"/>
        <v>0</v>
      </c>
      <c r="V57" s="573">
        <f t="shared" si="9"/>
        <v>0</v>
      </c>
      <c r="W57" s="562">
        <f>SUM(W58:W59)</f>
        <v>0</v>
      </c>
      <c r="X57" s="573">
        <f t="shared" ref="X57:Y57" si="83">SUM(X58:X59)</f>
        <v>0</v>
      </c>
      <c r="Y57" s="573">
        <f t="shared" si="83"/>
        <v>0</v>
      </c>
      <c r="Z57" s="573">
        <f t="shared" si="59"/>
        <v>0</v>
      </c>
    </row>
    <row r="58" spans="1:26" x14ac:dyDescent="0.25">
      <c r="A58" s="522"/>
      <c r="B58" s="272" t="s">
        <v>549</v>
      </c>
      <c r="C58" s="546">
        <v>0</v>
      </c>
      <c r="D58" s="546">
        <v>0</v>
      </c>
      <c r="E58" s="546">
        <v>0</v>
      </c>
      <c r="F58" s="546">
        <f t="shared" si="1"/>
        <v>0</v>
      </c>
      <c r="G58" s="546">
        <v>0</v>
      </c>
      <c r="H58" s="512">
        <v>0</v>
      </c>
      <c r="I58" s="512">
        <v>0</v>
      </c>
      <c r="J58" s="512">
        <f t="shared" si="3"/>
        <v>0</v>
      </c>
      <c r="K58" s="546">
        <v>0</v>
      </c>
      <c r="L58" s="512">
        <v>0</v>
      </c>
      <c r="M58" s="512">
        <v>0</v>
      </c>
      <c r="N58" s="512">
        <f t="shared" si="5"/>
        <v>0</v>
      </c>
      <c r="O58" s="546">
        <v>0</v>
      </c>
      <c r="P58" s="512">
        <v>0</v>
      </c>
      <c r="Q58" s="512">
        <v>0</v>
      </c>
      <c r="R58" s="512">
        <f t="shared" si="7"/>
        <v>0</v>
      </c>
      <c r="S58" s="546">
        <v>0</v>
      </c>
      <c r="T58" s="512">
        <v>0</v>
      </c>
      <c r="U58" s="512">
        <v>0</v>
      </c>
      <c r="V58" s="512">
        <f t="shared" si="9"/>
        <v>0</v>
      </c>
      <c r="W58" s="546">
        <v>0</v>
      </c>
      <c r="X58" s="512">
        <v>0</v>
      </c>
      <c r="Y58" s="512">
        <v>0</v>
      </c>
      <c r="Z58" s="512">
        <f t="shared" si="59"/>
        <v>0</v>
      </c>
    </row>
    <row r="59" spans="1:26" x14ac:dyDescent="0.25">
      <c r="A59" s="522"/>
      <c r="B59" s="272" t="s">
        <v>550</v>
      </c>
      <c r="C59" s="546">
        <v>0</v>
      </c>
      <c r="D59" s="546">
        <v>0</v>
      </c>
      <c r="E59" s="546">
        <v>0</v>
      </c>
      <c r="F59" s="546">
        <f t="shared" si="1"/>
        <v>0</v>
      </c>
      <c r="G59" s="546">
        <v>0</v>
      </c>
      <c r="H59" s="512">
        <v>0</v>
      </c>
      <c r="I59" s="512">
        <v>0</v>
      </c>
      <c r="J59" s="512">
        <f t="shared" si="3"/>
        <v>0</v>
      </c>
      <c r="K59" s="546">
        <v>0</v>
      </c>
      <c r="L59" s="512">
        <v>0</v>
      </c>
      <c r="M59" s="512">
        <v>0</v>
      </c>
      <c r="N59" s="512">
        <f t="shared" si="5"/>
        <v>0</v>
      </c>
      <c r="O59" s="546">
        <v>0</v>
      </c>
      <c r="P59" s="512">
        <v>0</v>
      </c>
      <c r="Q59" s="512">
        <v>0</v>
      </c>
      <c r="R59" s="512">
        <f t="shared" si="7"/>
        <v>0</v>
      </c>
      <c r="S59" s="546">
        <v>0</v>
      </c>
      <c r="T59" s="512">
        <v>0</v>
      </c>
      <c r="U59" s="512">
        <v>0</v>
      </c>
      <c r="V59" s="512">
        <f t="shared" si="9"/>
        <v>0</v>
      </c>
      <c r="W59" s="546">
        <v>0</v>
      </c>
      <c r="X59" s="512">
        <v>0</v>
      </c>
      <c r="Y59" s="512">
        <v>0</v>
      </c>
      <c r="Z59" s="512">
        <f t="shared" si="59"/>
        <v>0</v>
      </c>
    </row>
    <row r="60" spans="1:26" x14ac:dyDescent="0.25">
      <c r="A60" s="564"/>
      <c r="B60" s="565" t="s">
        <v>333</v>
      </c>
      <c r="C60" s="373">
        <f>C46+C29+C4</f>
        <v>3845101</v>
      </c>
      <c r="D60" s="373">
        <f>D46+D29+D4</f>
        <v>2530133</v>
      </c>
      <c r="E60" s="373">
        <f>E46+E29+E4</f>
        <v>0</v>
      </c>
      <c r="F60" s="373">
        <f t="shared" si="1"/>
        <v>6375234</v>
      </c>
      <c r="G60" s="373">
        <f>G46+G29+G4</f>
        <v>4418740</v>
      </c>
      <c r="H60" s="373">
        <f>H46+H29+H4</f>
        <v>3086172</v>
      </c>
      <c r="I60" s="373">
        <f>I46+I29+I4</f>
        <v>0</v>
      </c>
      <c r="J60" s="373">
        <f t="shared" si="3"/>
        <v>7504912</v>
      </c>
      <c r="K60" s="373">
        <f>K46+K29+K4</f>
        <v>3940046</v>
      </c>
      <c r="L60" s="373">
        <f>L46+L29+L4</f>
        <v>2909127</v>
      </c>
      <c r="M60" s="373" t="e">
        <f>M46+M29+M4</f>
        <v>#REF!</v>
      </c>
      <c r="N60" s="373" t="e">
        <f t="shared" si="5"/>
        <v>#REF!</v>
      </c>
      <c r="O60" s="373">
        <f>O46+O29+O4</f>
        <v>7586848</v>
      </c>
      <c r="P60" s="373">
        <f>P46+P29+P4</f>
        <v>12200</v>
      </c>
      <c r="Q60" s="373">
        <f>Q46+Q29+Q4</f>
        <v>0</v>
      </c>
      <c r="R60" s="373">
        <f t="shared" si="7"/>
        <v>7599048</v>
      </c>
      <c r="S60" s="373">
        <f>S46+S29+S4</f>
        <v>5721084.0810000002</v>
      </c>
      <c r="T60" s="373">
        <f>T46+T29+T4</f>
        <v>50887</v>
      </c>
      <c r="U60" s="373">
        <f>U46+U29+U4</f>
        <v>0</v>
      </c>
      <c r="V60" s="373">
        <f t="shared" si="9"/>
        <v>5771971.0810000002</v>
      </c>
      <c r="W60" s="373">
        <f>W46+W29+W4</f>
        <v>6118065.8339999998</v>
      </c>
      <c r="X60" s="373">
        <f>X46+X29+X4</f>
        <v>215102</v>
      </c>
      <c r="Y60" s="373">
        <f>Y46+Y29+Y4</f>
        <v>0</v>
      </c>
      <c r="Z60" s="373">
        <f t="shared" si="59"/>
        <v>6333167.8339999998</v>
      </c>
    </row>
  </sheetData>
  <mergeCells count="8">
    <mergeCell ref="A2:A3"/>
    <mergeCell ref="C2:F2"/>
    <mergeCell ref="G2:J2"/>
    <mergeCell ref="W2:Z2"/>
    <mergeCell ref="O2:R2"/>
    <mergeCell ref="S2:V2"/>
    <mergeCell ref="K2:N2"/>
    <mergeCell ref="B2:B3"/>
  </mergeCells>
  <printOptions horizontalCentered="1"/>
  <pageMargins left="0.19685039370078741" right="0.19685039370078741" top="0.84" bottom="0.61" header="0.23" footer="0.31496062992125984"/>
  <pageSetup paperSize="9" scale="56" fitToWidth="0" fitToHeight="0" orientation="portrait" r:id="rId1"/>
  <headerFooter>
    <oddHeader>&amp;L1/A.  melléklet a ...../2019. (.......) önkormányzati rendelethez&amp;C&amp;"-,Félkövér"&amp;16
Az Önkormányzat 2019.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2"/>
  <sheetViews>
    <sheetView view="pageBreakPreview" zoomScale="75" zoomScaleNormal="100" zoomScaleSheetLayoutView="75" workbookViewId="0">
      <selection activeCell="A23" sqref="A23"/>
    </sheetView>
  </sheetViews>
  <sheetFormatPr defaultRowHeight="14.3" x14ac:dyDescent="0.25"/>
  <cols>
    <col min="2" max="2" width="55.125" style="283" customWidth="1"/>
    <col min="3" max="3" width="18.375" customWidth="1"/>
    <col min="9" max="9" width="10" bestFit="1" customWidth="1"/>
    <col min="11" max="11" width="14.375" customWidth="1"/>
    <col min="12" max="12" width="14.625" bestFit="1" customWidth="1"/>
    <col min="13" max="13" width="14.625" customWidth="1"/>
    <col min="14" max="14" width="18.125" customWidth="1"/>
  </cols>
  <sheetData>
    <row r="1" spans="1:13" ht="75.75" customHeight="1" x14ac:dyDescent="0.25">
      <c r="A1" s="941" t="s">
        <v>1185</v>
      </c>
      <c r="B1" s="941"/>
      <c r="C1" s="941"/>
    </row>
    <row r="2" spans="1:13" ht="18.7" customHeight="1" x14ac:dyDescent="0.25">
      <c r="A2" s="268"/>
      <c r="B2" s="268"/>
      <c r="C2" s="269" t="s">
        <v>302</v>
      </c>
      <c r="K2" s="284"/>
      <c r="L2" s="284"/>
      <c r="M2" s="284"/>
    </row>
    <row r="3" spans="1:13" x14ac:dyDescent="0.25">
      <c r="A3" s="270" t="s">
        <v>1186</v>
      </c>
      <c r="B3" s="270" t="s">
        <v>306</v>
      </c>
      <c r="C3" s="270" t="s">
        <v>1661</v>
      </c>
    </row>
    <row r="4" spans="1:13" x14ac:dyDescent="0.25">
      <c r="A4" s="271" t="s">
        <v>1187</v>
      </c>
      <c r="B4" s="272" t="s">
        <v>1188</v>
      </c>
      <c r="C4" s="273">
        <f>+'1A. Fő bev'!V11+'1A. Fő bev'!V12+'1A. Fő bev'!V14+'1A. Fő bev'!V15-'2A Önk bev'!V31</f>
        <v>3244000</v>
      </c>
      <c r="K4" s="649"/>
      <c r="L4" s="649"/>
      <c r="M4" s="649"/>
    </row>
    <row r="5" spans="1:13" x14ac:dyDescent="0.25">
      <c r="A5" s="271" t="s">
        <v>1189</v>
      </c>
      <c r="B5" s="272" t="s">
        <v>249</v>
      </c>
      <c r="C5" s="273">
        <f>+'1A. Fő bev'!V20</f>
        <v>36848</v>
      </c>
      <c r="K5" s="284"/>
      <c r="L5" s="284"/>
      <c r="M5" s="284"/>
    </row>
    <row r="6" spans="1:13" x14ac:dyDescent="0.25">
      <c r="A6" s="271" t="s">
        <v>1190</v>
      </c>
      <c r="B6" s="272" t="s">
        <v>1662</v>
      </c>
      <c r="C6" s="273">
        <f>+'1A. Fő bev'!V16</f>
        <v>10000</v>
      </c>
    </row>
    <row r="7" spans="1:13" ht="28.55" x14ac:dyDescent="0.25">
      <c r="A7" s="271" t="s">
        <v>1191</v>
      </c>
      <c r="B7" s="272" t="s">
        <v>1663</v>
      </c>
      <c r="C7" s="273">
        <f>+'1A. Fő bev'!V34</f>
        <v>243000</v>
      </c>
      <c r="M7" s="284"/>
    </row>
    <row r="8" spans="1:13" ht="28.55" x14ac:dyDescent="0.25">
      <c r="A8" s="271" t="s">
        <v>1192</v>
      </c>
      <c r="B8" s="272" t="s">
        <v>1664</v>
      </c>
      <c r="C8" s="273"/>
    </row>
    <row r="9" spans="1:13" x14ac:dyDescent="0.25">
      <c r="A9" s="271" t="s">
        <v>1193</v>
      </c>
      <c r="B9" s="272" t="s">
        <v>1665</v>
      </c>
      <c r="C9" s="273"/>
      <c r="M9" s="649"/>
    </row>
    <row r="10" spans="1:13" x14ac:dyDescent="0.25">
      <c r="A10" s="271" t="s">
        <v>1194</v>
      </c>
      <c r="B10" s="272" t="s">
        <v>1666</v>
      </c>
      <c r="C10" s="273"/>
      <c r="M10" s="284"/>
    </row>
    <row r="11" spans="1:13" x14ac:dyDescent="0.25">
      <c r="A11" s="274" t="s">
        <v>1195</v>
      </c>
      <c r="B11" s="275" t="s">
        <v>1667</v>
      </c>
      <c r="C11" s="276">
        <f>SUM(C4:C10)</f>
        <v>3533848</v>
      </c>
    </row>
    <row r="12" spans="1:13" x14ac:dyDescent="0.25">
      <c r="A12" s="277" t="s">
        <v>1196</v>
      </c>
      <c r="B12" s="278" t="s">
        <v>1197</v>
      </c>
      <c r="C12" s="279">
        <f>C11*0.5</f>
        <v>1766924</v>
      </c>
      <c r="M12" s="284"/>
    </row>
    <row r="13" spans="1:13" ht="27.2" x14ac:dyDescent="0.25">
      <c r="A13" s="274" t="s">
        <v>1198</v>
      </c>
      <c r="B13" s="275" t="s">
        <v>1676</v>
      </c>
      <c r="C13" s="276">
        <f>SUM(C14:C21)</f>
        <v>200627</v>
      </c>
    </row>
    <row r="14" spans="1:13" x14ac:dyDescent="0.25">
      <c r="A14" s="271" t="s">
        <v>1199</v>
      </c>
      <c r="B14" s="726" t="s">
        <v>1668</v>
      </c>
      <c r="C14" s="436">
        <v>200627</v>
      </c>
      <c r="M14" s="649"/>
    </row>
    <row r="15" spans="1:13" x14ac:dyDescent="0.25">
      <c r="A15" s="271" t="s">
        <v>1200</v>
      </c>
      <c r="B15" s="726" t="s">
        <v>1669</v>
      </c>
      <c r="C15" s="273"/>
      <c r="M15" s="284"/>
    </row>
    <row r="16" spans="1:13" ht="28.55" x14ac:dyDescent="0.25">
      <c r="A16" s="271" t="s">
        <v>1201</v>
      </c>
      <c r="B16" s="726" t="s">
        <v>1670</v>
      </c>
      <c r="C16" s="273"/>
    </row>
    <row r="17" spans="1:14" x14ac:dyDescent="0.25">
      <c r="A17" s="271" t="s">
        <v>1202</v>
      </c>
      <c r="B17" s="726" t="s">
        <v>1671</v>
      </c>
      <c r="C17" s="273"/>
      <c r="M17" s="284"/>
      <c r="N17" s="284"/>
    </row>
    <row r="18" spans="1:14" x14ac:dyDescent="0.25">
      <c r="A18" s="271" t="s">
        <v>1203</v>
      </c>
      <c r="B18" s="726" t="s">
        <v>1672</v>
      </c>
      <c r="C18" s="273"/>
    </row>
    <row r="19" spans="1:14" x14ac:dyDescent="0.25">
      <c r="A19" s="271" t="s">
        <v>1204</v>
      </c>
      <c r="B19" s="726" t="s">
        <v>1673</v>
      </c>
      <c r="C19" s="273"/>
    </row>
    <row r="20" spans="1:14" x14ac:dyDescent="0.25">
      <c r="A20" s="271" t="s">
        <v>1205</v>
      </c>
      <c r="B20" s="726" t="s">
        <v>1674</v>
      </c>
      <c r="C20" s="273"/>
      <c r="M20" s="649"/>
      <c r="N20" s="649"/>
    </row>
    <row r="21" spans="1:14" x14ac:dyDescent="0.25">
      <c r="A21" s="271" t="s">
        <v>1206</v>
      </c>
      <c r="B21" s="726" t="s">
        <v>1675</v>
      </c>
      <c r="C21" s="417"/>
      <c r="M21" s="284"/>
      <c r="N21" s="284"/>
    </row>
    <row r="22" spans="1:14" ht="27.2" x14ac:dyDescent="0.25">
      <c r="A22" s="274">
        <v>19</v>
      </c>
      <c r="B22" s="727" t="s">
        <v>1677</v>
      </c>
      <c r="C22" s="276">
        <f>SUM(C23:C30)</f>
        <v>0</v>
      </c>
      <c r="N22" s="650"/>
    </row>
    <row r="23" spans="1:14" x14ac:dyDescent="0.25">
      <c r="A23" s="271" t="s">
        <v>1207</v>
      </c>
      <c r="B23" s="726" t="s">
        <v>1668</v>
      </c>
      <c r="C23" s="273"/>
    </row>
    <row r="24" spans="1:14" x14ac:dyDescent="0.25">
      <c r="A24" s="271" t="s">
        <v>1208</v>
      </c>
      <c r="B24" s="726" t="s">
        <v>1669</v>
      </c>
      <c r="C24" s="273"/>
    </row>
    <row r="25" spans="1:14" ht="28.55" x14ac:dyDescent="0.25">
      <c r="A25" s="271" t="s">
        <v>1209</v>
      </c>
      <c r="B25" s="726" t="s">
        <v>1670</v>
      </c>
      <c r="C25" s="273"/>
    </row>
    <row r="26" spans="1:14" x14ac:dyDescent="0.25">
      <c r="A26" s="271" t="s">
        <v>1210</v>
      </c>
      <c r="B26" s="726" t="s">
        <v>1671</v>
      </c>
      <c r="C26" s="273"/>
    </row>
    <row r="27" spans="1:14" x14ac:dyDescent="0.25">
      <c r="A27" s="271" t="s">
        <v>1211</v>
      </c>
      <c r="B27" s="726" t="s">
        <v>1672</v>
      </c>
      <c r="C27" s="273"/>
    </row>
    <row r="28" spans="1:14" x14ac:dyDescent="0.25">
      <c r="A28" s="271" t="s">
        <v>1212</v>
      </c>
      <c r="B28" s="726" t="s">
        <v>1673</v>
      </c>
      <c r="C28" s="273"/>
    </row>
    <row r="29" spans="1:14" x14ac:dyDescent="0.25">
      <c r="A29" s="271" t="s">
        <v>1213</v>
      </c>
      <c r="B29" s="726" t="s">
        <v>1674</v>
      </c>
      <c r="C29" s="273"/>
    </row>
    <row r="30" spans="1:14" x14ac:dyDescent="0.25">
      <c r="A30" s="271" t="s">
        <v>1214</v>
      </c>
      <c r="B30" s="726" t="s">
        <v>1675</v>
      </c>
      <c r="C30" s="273"/>
    </row>
    <row r="31" spans="1:14" x14ac:dyDescent="0.25">
      <c r="A31" s="277">
        <v>28</v>
      </c>
      <c r="B31" s="278" t="s">
        <v>1678</v>
      </c>
      <c r="C31" s="279">
        <f>C13+C22</f>
        <v>200627</v>
      </c>
    </row>
    <row r="32" spans="1:14" x14ac:dyDescent="0.25">
      <c r="A32" s="280">
        <v>29</v>
      </c>
      <c r="B32" s="281" t="s">
        <v>1679</v>
      </c>
      <c r="C32" s="282">
        <f>C12-C31</f>
        <v>1566297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&amp;L8. melléklet a ...../2019. (.......) önkormányzati rendelethez</oddHeader>
    <oddFooter>&amp;C&amp;P</oddFooter>
  </headerFooter>
  <colBreaks count="1" manualBreakCount="1">
    <brk id="3" max="2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7"/>
  <sheetViews>
    <sheetView view="pageBreakPreview" zoomScale="80" zoomScaleNormal="100" zoomScaleSheetLayoutView="80" workbookViewId="0">
      <selection activeCell="A5" sqref="A5:A6"/>
    </sheetView>
  </sheetViews>
  <sheetFormatPr defaultRowHeight="14.3" x14ac:dyDescent="0.25"/>
  <cols>
    <col min="1" max="1" width="20.375" customWidth="1"/>
    <col min="2" max="2" width="14.625" style="284" bestFit="1" customWidth="1"/>
    <col min="3" max="3" width="16.375" style="284" customWidth="1"/>
    <col min="4" max="4" width="14.625" style="284" bestFit="1" customWidth="1"/>
    <col min="5" max="5" width="15.625" style="284" customWidth="1"/>
    <col min="6" max="6" width="14.625" style="284" bestFit="1" customWidth="1"/>
    <col min="7" max="7" width="13.25" style="284" customWidth="1"/>
    <col min="8" max="8" width="15.625" style="284" bestFit="1" customWidth="1"/>
    <col min="9" max="9" width="17" style="285" bestFit="1" customWidth="1"/>
  </cols>
  <sheetData>
    <row r="1" spans="1:9" x14ac:dyDescent="0.25">
      <c r="I1" s="285" t="s">
        <v>1215</v>
      </c>
    </row>
    <row r="2" spans="1:9" ht="21.25" customHeight="1" x14ac:dyDescent="0.25">
      <c r="A2" s="942" t="s">
        <v>1216</v>
      </c>
      <c r="B2" s="943" t="s">
        <v>470</v>
      </c>
      <c r="C2" s="943"/>
      <c r="D2" s="943"/>
      <c r="E2" s="943" t="s">
        <v>586</v>
      </c>
      <c r="F2" s="943"/>
      <c r="G2" s="943"/>
      <c r="H2" s="943"/>
      <c r="I2" s="943"/>
    </row>
    <row r="3" spans="1:9" ht="28.55" x14ac:dyDescent="0.25">
      <c r="A3" s="942"/>
      <c r="B3" s="286" t="s">
        <v>1217</v>
      </c>
      <c r="C3" s="286" t="s">
        <v>1218</v>
      </c>
      <c r="D3" s="287" t="s">
        <v>1219</v>
      </c>
      <c r="E3" s="286" t="s">
        <v>1220</v>
      </c>
      <c r="F3" s="286" t="s">
        <v>1660</v>
      </c>
      <c r="G3" s="286" t="s">
        <v>1221</v>
      </c>
      <c r="H3" s="286" t="s">
        <v>1222</v>
      </c>
      <c r="I3" s="286" t="s">
        <v>1223</v>
      </c>
    </row>
    <row r="4" spans="1:9" ht="31.75" hidden="1" customHeight="1" x14ac:dyDescent="0.25">
      <c r="A4" s="288" t="s">
        <v>1224</v>
      </c>
      <c r="B4" s="289"/>
      <c r="C4" s="289"/>
      <c r="D4" s="290"/>
      <c r="E4" s="289"/>
      <c r="F4" s="290"/>
      <c r="G4" s="289"/>
      <c r="H4" s="289"/>
      <c r="I4" s="291">
        <f>SUM(E4:G4)</f>
        <v>0</v>
      </c>
    </row>
    <row r="5" spans="1:9" ht="30.25" customHeight="1" x14ac:dyDescent="0.25">
      <c r="A5" s="944"/>
      <c r="B5" s="289"/>
      <c r="C5" s="289"/>
      <c r="D5" s="289"/>
      <c r="E5" s="289"/>
      <c r="F5" s="289"/>
      <c r="G5" s="289"/>
      <c r="H5" s="289"/>
      <c r="I5" s="291"/>
    </row>
    <row r="6" spans="1:9" x14ac:dyDescent="0.25">
      <c r="A6" s="945"/>
      <c r="B6" s="289"/>
      <c r="C6" s="289"/>
      <c r="D6" s="289"/>
      <c r="E6" s="289"/>
      <c r="F6" s="289"/>
      <c r="G6" s="289"/>
      <c r="H6" s="289"/>
      <c r="I6" s="291"/>
    </row>
    <row r="7" spans="1:9" s="47" customFormat="1" x14ac:dyDescent="0.25">
      <c r="A7" s="292" t="s">
        <v>553</v>
      </c>
      <c r="B7" s="293">
        <f>SUM(B4:B6)</f>
        <v>0</v>
      </c>
      <c r="C7" s="293">
        <f t="shared" ref="C7:I7" si="0">SUM(C4:C6)</f>
        <v>0</v>
      </c>
      <c r="D7" s="293">
        <f t="shared" si="0"/>
        <v>0</v>
      </c>
      <c r="E7" s="293">
        <f t="shared" si="0"/>
        <v>0</v>
      </c>
      <c r="F7" s="293">
        <f t="shared" si="0"/>
        <v>0</v>
      </c>
      <c r="G7" s="293">
        <f t="shared" si="0"/>
        <v>0</v>
      </c>
      <c r="H7" s="293">
        <f t="shared" si="0"/>
        <v>0</v>
      </c>
      <c r="I7" s="294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&amp;L9. melléklet a ...../2019. (.......) önkormányzati rendelethez
&amp;C&amp;"-,Félkövér"&amp;16
Törökbálint Város Önkormányzata 2019.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G8" sqref="G8"/>
    </sheetView>
  </sheetViews>
  <sheetFormatPr defaultColWidth="12.375" defaultRowHeight="15.65" x14ac:dyDescent="0.25"/>
  <cols>
    <col min="1" max="1" width="12.375" style="300"/>
    <col min="2" max="2" width="12.375" style="301"/>
    <col min="3" max="3" width="59.75" style="300" customWidth="1"/>
    <col min="4" max="16384" width="12.375" style="300"/>
  </cols>
  <sheetData>
    <row r="1" spans="1:256" s="295" customFormat="1" x14ac:dyDescent="0.25">
      <c r="A1" s="946" t="s">
        <v>1495</v>
      </c>
      <c r="B1" s="946"/>
      <c r="C1" s="946"/>
      <c r="IV1" s="296"/>
    </row>
    <row r="2" spans="1:256" s="299" customFormat="1" ht="42.65" customHeight="1" x14ac:dyDescent="0.25">
      <c r="A2" s="297"/>
      <c r="B2" s="298"/>
      <c r="IV2" s="300"/>
    </row>
    <row r="3" spans="1:256" s="295" customFormat="1" ht="20.9" customHeight="1" x14ac:dyDescent="0.25">
      <c r="A3" s="498" t="s">
        <v>1225</v>
      </c>
      <c r="B3" s="497" t="s">
        <v>1226</v>
      </c>
      <c r="C3" s="498" t="s">
        <v>306</v>
      </c>
      <c r="IV3" s="296"/>
    </row>
    <row r="4" spans="1:256" s="299" customFormat="1" ht="22.95" customHeight="1" x14ac:dyDescent="0.25">
      <c r="A4" s="501">
        <v>1</v>
      </c>
      <c r="B4" s="499"/>
      <c r="C4" s="500" t="s">
        <v>1227</v>
      </c>
      <c r="IV4" s="300"/>
    </row>
    <row r="5" spans="1:256" s="299" customFormat="1" ht="22.95" customHeight="1" x14ac:dyDescent="0.25">
      <c r="A5" s="501"/>
      <c r="B5" s="499" t="s">
        <v>1229</v>
      </c>
      <c r="C5" s="500" t="s">
        <v>1239</v>
      </c>
      <c r="IV5" s="300"/>
    </row>
    <row r="6" spans="1:256" s="299" customFormat="1" ht="22.95" customHeight="1" x14ac:dyDescent="0.25">
      <c r="A6" s="501"/>
      <c r="B6" s="499" t="s">
        <v>1230</v>
      </c>
      <c r="C6" s="500" t="s">
        <v>1240</v>
      </c>
      <c r="IV6" s="300"/>
    </row>
    <row r="7" spans="1:256" s="299" customFormat="1" ht="22.95" customHeight="1" x14ac:dyDescent="0.25">
      <c r="A7" s="501">
        <v>2</v>
      </c>
      <c r="B7" s="499"/>
      <c r="C7" s="500" t="s">
        <v>992</v>
      </c>
      <c r="IV7" s="300"/>
    </row>
    <row r="8" spans="1:256" s="299" customFormat="1" ht="22.95" customHeight="1" x14ac:dyDescent="0.25">
      <c r="A8" s="501">
        <v>3</v>
      </c>
      <c r="B8" s="499"/>
      <c r="C8" s="500" t="s">
        <v>1228</v>
      </c>
      <c r="D8" s="500"/>
      <c r="IV8" s="300"/>
    </row>
    <row r="9" spans="1:256" s="299" customFormat="1" ht="22.95" customHeight="1" x14ac:dyDescent="0.25">
      <c r="A9" s="501"/>
      <c r="B9" s="499" t="s">
        <v>1229</v>
      </c>
      <c r="C9" s="500" t="s">
        <v>347</v>
      </c>
      <c r="IV9" s="300"/>
    </row>
    <row r="10" spans="1:256" s="299" customFormat="1" ht="22.95" customHeight="1" x14ac:dyDescent="0.25">
      <c r="A10" s="501"/>
      <c r="B10" s="499" t="s">
        <v>1230</v>
      </c>
      <c r="C10" s="500" t="s">
        <v>354</v>
      </c>
      <c r="IV10" s="300"/>
    </row>
    <row r="11" spans="1:256" s="299" customFormat="1" ht="22.95" customHeight="1" x14ac:dyDescent="0.25">
      <c r="A11" s="501"/>
      <c r="B11" s="499" t="s">
        <v>1231</v>
      </c>
      <c r="C11" s="500" t="s">
        <v>355</v>
      </c>
      <c r="IV11" s="300"/>
    </row>
    <row r="12" spans="1:256" s="299" customFormat="1" ht="22.95" customHeight="1" x14ac:dyDescent="0.25">
      <c r="A12" s="501"/>
      <c r="B12" s="499" t="s">
        <v>1232</v>
      </c>
      <c r="C12" s="500" t="s">
        <v>356</v>
      </c>
      <c r="IV12" s="300"/>
    </row>
    <row r="13" spans="1:256" s="299" customFormat="1" ht="22.95" customHeight="1" x14ac:dyDescent="0.25">
      <c r="A13" s="501"/>
      <c r="B13" s="499" t="s">
        <v>1233</v>
      </c>
      <c r="C13" s="500" t="s">
        <v>1234</v>
      </c>
      <c r="IV13" s="300"/>
    </row>
    <row r="14" spans="1:256" s="299" customFormat="1" ht="22.95" customHeight="1" x14ac:dyDescent="0.25">
      <c r="A14" s="501"/>
      <c r="B14" s="499" t="s">
        <v>1235</v>
      </c>
      <c r="C14" s="500" t="s">
        <v>362</v>
      </c>
      <c r="IV14" s="300"/>
    </row>
    <row r="15" spans="1:256" s="299" customFormat="1" ht="22.95" customHeight="1" x14ac:dyDescent="0.25">
      <c r="A15" s="501"/>
      <c r="B15" s="499" t="s">
        <v>1300</v>
      </c>
      <c r="C15" s="500" t="s">
        <v>1301</v>
      </c>
      <c r="IV15" s="300"/>
    </row>
    <row r="16" spans="1:256" s="299" customFormat="1" ht="22.95" customHeight="1" x14ac:dyDescent="0.25">
      <c r="A16" s="501"/>
      <c r="B16" s="499" t="s">
        <v>1447</v>
      </c>
      <c r="C16" s="500" t="s">
        <v>995</v>
      </c>
      <c r="IV16" s="300"/>
    </row>
    <row r="17" spans="1:256" s="299" customFormat="1" x14ac:dyDescent="0.25">
      <c r="A17" s="301"/>
      <c r="B17" s="298"/>
      <c r="IV17" s="300"/>
    </row>
    <row r="18" spans="1:256" s="299" customFormat="1" x14ac:dyDescent="0.25">
      <c r="A18" s="301"/>
      <c r="B18" s="298"/>
      <c r="IV18" s="300"/>
    </row>
    <row r="19" spans="1:256" s="299" customFormat="1" x14ac:dyDescent="0.25">
      <c r="A19" s="301"/>
      <c r="B19" s="298"/>
      <c r="IV19" s="300"/>
    </row>
    <row r="20" spans="1:256" s="299" customFormat="1" x14ac:dyDescent="0.25">
      <c r="A20" s="301"/>
      <c r="B20" s="298"/>
      <c r="IV20" s="300"/>
    </row>
    <row r="21" spans="1:256" s="299" customFormat="1" x14ac:dyDescent="0.25">
      <c r="A21" s="301"/>
      <c r="B21" s="298"/>
      <c r="IV21" s="300"/>
    </row>
    <row r="22" spans="1:256" s="299" customFormat="1" x14ac:dyDescent="0.25">
      <c r="A22" s="301"/>
      <c r="B22" s="298"/>
      <c r="IV22" s="300"/>
    </row>
    <row r="23" spans="1:256" s="299" customFormat="1" x14ac:dyDescent="0.25">
      <c r="A23" s="301"/>
      <c r="B23" s="298"/>
      <c r="IV23" s="300"/>
    </row>
    <row r="24" spans="1:256" s="299" customFormat="1" x14ac:dyDescent="0.25">
      <c r="A24" s="301"/>
      <c r="B24" s="298"/>
      <c r="IV24" s="300"/>
    </row>
    <row r="25" spans="1:256" s="299" customFormat="1" x14ac:dyDescent="0.25">
      <c r="A25" s="301"/>
      <c r="B25" s="298"/>
      <c r="IV25" s="300"/>
    </row>
    <row r="26" spans="1:256" s="299" customFormat="1" x14ac:dyDescent="0.25">
      <c r="A26" s="301"/>
      <c r="B26" s="298"/>
      <c r="IV26" s="300"/>
    </row>
    <row r="27" spans="1:256" s="299" customFormat="1" x14ac:dyDescent="0.25">
      <c r="A27" s="301"/>
      <c r="B27" s="298"/>
      <c r="IV27" s="300"/>
    </row>
    <row r="28" spans="1:256" s="299" customFormat="1" x14ac:dyDescent="0.25">
      <c r="A28" s="301"/>
      <c r="B28" s="298"/>
      <c r="IV28" s="300"/>
    </row>
    <row r="29" spans="1:256" s="299" customFormat="1" x14ac:dyDescent="0.25">
      <c r="A29" s="301"/>
      <c r="B29" s="298"/>
      <c r="IV29" s="300"/>
    </row>
    <row r="30" spans="1:256" s="299" customFormat="1" x14ac:dyDescent="0.25">
      <c r="A30" s="301"/>
      <c r="B30" s="298"/>
      <c r="IV30" s="300"/>
    </row>
    <row r="31" spans="1:256" s="299" customFormat="1" x14ac:dyDescent="0.25">
      <c r="A31" s="301"/>
      <c r="B31" s="298"/>
      <c r="IV31" s="300"/>
    </row>
    <row r="32" spans="1:256" s="299" customFormat="1" x14ac:dyDescent="0.25">
      <c r="A32" s="301"/>
      <c r="B32" s="298"/>
      <c r="IV32" s="300"/>
    </row>
    <row r="33" spans="1:256" s="299" customFormat="1" x14ac:dyDescent="0.25">
      <c r="A33" s="301"/>
      <c r="B33" s="298"/>
      <c r="IV33" s="300"/>
    </row>
    <row r="34" spans="1:256" s="299" customFormat="1" x14ac:dyDescent="0.25">
      <c r="A34" s="301"/>
      <c r="B34" s="298"/>
      <c r="IV34" s="300"/>
    </row>
    <row r="35" spans="1:256" s="299" customFormat="1" x14ac:dyDescent="0.25">
      <c r="A35" s="301"/>
      <c r="B35" s="298"/>
      <c r="IV35" s="300"/>
    </row>
    <row r="36" spans="1:256" s="299" customFormat="1" x14ac:dyDescent="0.25">
      <c r="A36" s="301"/>
      <c r="B36" s="298"/>
      <c r="IV36" s="300"/>
    </row>
    <row r="37" spans="1:256" s="299" customFormat="1" x14ac:dyDescent="0.25">
      <c r="A37" s="301"/>
      <c r="B37" s="298"/>
      <c r="IV37" s="300"/>
    </row>
    <row r="38" spans="1:256" s="299" customFormat="1" x14ac:dyDescent="0.25">
      <c r="A38" s="301"/>
      <c r="B38" s="298"/>
      <c r="IV38" s="300"/>
    </row>
    <row r="39" spans="1:256" s="299" customFormat="1" x14ac:dyDescent="0.25">
      <c r="A39" s="301"/>
      <c r="B39" s="298"/>
      <c r="IV39" s="300"/>
    </row>
    <row r="40" spans="1:256" s="299" customFormat="1" x14ac:dyDescent="0.25">
      <c r="A40" s="301"/>
      <c r="B40" s="298"/>
      <c r="IV40" s="300"/>
    </row>
    <row r="41" spans="1:256" s="299" customFormat="1" x14ac:dyDescent="0.25">
      <c r="A41" s="301"/>
      <c r="B41" s="298"/>
      <c r="IV41" s="300"/>
    </row>
    <row r="42" spans="1:256" s="299" customFormat="1" x14ac:dyDescent="0.25">
      <c r="A42" s="301"/>
      <c r="B42" s="298"/>
      <c r="IV42" s="300"/>
    </row>
    <row r="43" spans="1:256" s="299" customFormat="1" x14ac:dyDescent="0.25">
      <c r="A43" s="301"/>
      <c r="B43" s="298"/>
      <c r="IV43" s="300"/>
    </row>
    <row r="44" spans="1:256" s="299" customFormat="1" x14ac:dyDescent="0.25">
      <c r="A44" s="301"/>
      <c r="B44" s="298"/>
      <c r="IV44" s="300"/>
    </row>
    <row r="45" spans="1:256" s="299" customFormat="1" x14ac:dyDescent="0.25">
      <c r="A45" s="301"/>
      <c r="B45" s="298"/>
      <c r="IV45" s="300"/>
    </row>
    <row r="46" spans="1:256" s="299" customFormat="1" x14ac:dyDescent="0.25">
      <c r="A46" s="301"/>
      <c r="B46" s="298"/>
      <c r="IV46" s="300"/>
    </row>
    <row r="47" spans="1:256" s="299" customFormat="1" x14ac:dyDescent="0.25">
      <c r="A47" s="301"/>
      <c r="B47" s="298"/>
      <c r="IV47" s="300"/>
    </row>
    <row r="48" spans="1:256" s="299" customFormat="1" x14ac:dyDescent="0.25">
      <c r="A48" s="301"/>
      <c r="B48" s="298"/>
      <c r="IV48" s="300"/>
    </row>
    <row r="49" spans="1:256" s="299" customFormat="1" x14ac:dyDescent="0.25">
      <c r="A49" s="301"/>
      <c r="B49" s="298"/>
      <c r="IV49" s="300"/>
    </row>
    <row r="50" spans="1:256" s="299" customFormat="1" x14ac:dyDescent="0.25">
      <c r="A50" s="301"/>
      <c r="B50" s="298"/>
      <c r="IV50" s="300"/>
    </row>
    <row r="51" spans="1:256" s="299" customFormat="1" x14ac:dyDescent="0.25">
      <c r="A51" s="301"/>
      <c r="B51" s="298"/>
      <c r="IV51" s="300"/>
    </row>
    <row r="52" spans="1:256" s="299" customFormat="1" x14ac:dyDescent="0.25">
      <c r="A52" s="301"/>
      <c r="B52" s="298"/>
      <c r="IV52" s="300"/>
    </row>
    <row r="53" spans="1:256" s="299" customFormat="1" x14ac:dyDescent="0.25">
      <c r="A53" s="301"/>
      <c r="B53" s="298"/>
      <c r="IV53" s="300"/>
    </row>
    <row r="54" spans="1:256" s="299" customFormat="1" x14ac:dyDescent="0.25">
      <c r="A54" s="301"/>
      <c r="B54" s="298"/>
      <c r="IV54" s="300"/>
    </row>
    <row r="55" spans="1:256" s="299" customFormat="1" x14ac:dyDescent="0.25">
      <c r="A55" s="301"/>
      <c r="B55" s="298"/>
      <c r="IV55" s="300"/>
    </row>
    <row r="56" spans="1:256" s="299" customFormat="1" x14ac:dyDescent="0.25">
      <c r="A56" s="301"/>
      <c r="B56" s="298"/>
      <c r="IV56" s="300"/>
    </row>
    <row r="57" spans="1:256" s="299" customFormat="1" x14ac:dyDescent="0.25">
      <c r="A57" s="301"/>
      <c r="B57" s="298"/>
      <c r="IV57" s="300"/>
    </row>
    <row r="58" spans="1:256" s="299" customFormat="1" x14ac:dyDescent="0.25">
      <c r="A58" s="301"/>
      <c r="B58" s="298"/>
      <c r="IV58" s="300"/>
    </row>
    <row r="59" spans="1:256" s="299" customFormat="1" x14ac:dyDescent="0.25">
      <c r="A59" s="301"/>
      <c r="B59" s="298"/>
      <c r="IV59" s="300"/>
    </row>
    <row r="60" spans="1:256" s="299" customFormat="1" x14ac:dyDescent="0.25">
      <c r="A60" s="301"/>
      <c r="B60" s="298"/>
      <c r="IV60" s="300"/>
    </row>
    <row r="61" spans="1:256" s="299" customFormat="1" x14ac:dyDescent="0.25">
      <c r="A61" s="301"/>
      <c r="B61" s="298"/>
      <c r="IV61" s="300"/>
    </row>
    <row r="62" spans="1:256" s="299" customFormat="1" x14ac:dyDescent="0.25">
      <c r="A62" s="301"/>
      <c r="B62" s="298"/>
      <c r="IV62" s="300"/>
    </row>
    <row r="63" spans="1:256" s="299" customFormat="1" x14ac:dyDescent="0.25">
      <c r="A63" s="301"/>
      <c r="B63" s="298"/>
      <c r="IV63" s="300"/>
    </row>
    <row r="64" spans="1:256" s="299" customFormat="1" x14ac:dyDescent="0.25">
      <c r="A64" s="301"/>
      <c r="B64" s="298"/>
      <c r="IV64" s="300"/>
    </row>
    <row r="65" spans="1:256" s="299" customFormat="1" x14ac:dyDescent="0.25">
      <c r="A65" s="301"/>
      <c r="B65" s="298"/>
      <c r="IV65" s="300"/>
    </row>
    <row r="66" spans="1:256" s="299" customFormat="1" x14ac:dyDescent="0.25">
      <c r="A66" s="301"/>
      <c r="B66" s="298"/>
      <c r="IV66" s="300"/>
    </row>
    <row r="67" spans="1:256" s="299" customFormat="1" x14ac:dyDescent="0.25">
      <c r="A67" s="301"/>
      <c r="B67" s="298"/>
      <c r="IV67" s="300"/>
    </row>
    <row r="68" spans="1:256" s="299" customFormat="1" x14ac:dyDescent="0.25">
      <c r="A68" s="301"/>
      <c r="B68" s="298"/>
      <c r="IV68" s="300"/>
    </row>
    <row r="69" spans="1:256" s="299" customFormat="1" x14ac:dyDescent="0.25">
      <c r="A69" s="301"/>
      <c r="B69" s="298"/>
      <c r="IV69" s="300"/>
    </row>
    <row r="70" spans="1:256" s="299" customFormat="1" x14ac:dyDescent="0.25">
      <c r="A70" s="301"/>
      <c r="B70" s="298"/>
      <c r="IV70" s="300"/>
    </row>
    <row r="71" spans="1:256" s="299" customFormat="1" x14ac:dyDescent="0.25">
      <c r="A71" s="301"/>
      <c r="B71" s="298"/>
      <c r="IV71" s="300"/>
    </row>
    <row r="72" spans="1:256" s="299" customFormat="1" x14ac:dyDescent="0.25">
      <c r="A72" s="301"/>
      <c r="B72" s="298"/>
      <c r="IV72" s="300"/>
    </row>
    <row r="73" spans="1:256" s="299" customFormat="1" x14ac:dyDescent="0.25">
      <c r="A73" s="301"/>
      <c r="B73" s="298"/>
      <c r="IV73" s="300"/>
    </row>
    <row r="74" spans="1:256" s="299" customFormat="1" x14ac:dyDescent="0.25">
      <c r="A74" s="301"/>
      <c r="B74" s="298"/>
      <c r="IV74" s="300"/>
    </row>
    <row r="75" spans="1:256" s="299" customFormat="1" x14ac:dyDescent="0.25">
      <c r="A75" s="301"/>
      <c r="B75" s="298"/>
      <c r="IV75" s="300"/>
    </row>
    <row r="76" spans="1:256" s="299" customFormat="1" x14ac:dyDescent="0.25">
      <c r="A76" s="301"/>
      <c r="B76" s="298"/>
      <c r="IV76" s="300"/>
    </row>
    <row r="77" spans="1:256" s="299" customFormat="1" x14ac:dyDescent="0.25">
      <c r="A77" s="301"/>
      <c r="B77" s="298"/>
      <c r="IV77" s="300"/>
    </row>
    <row r="78" spans="1:256" s="299" customFormat="1" x14ac:dyDescent="0.25">
      <c r="A78" s="301"/>
      <c r="B78" s="298"/>
      <c r="IV78" s="300"/>
    </row>
    <row r="79" spans="1:256" s="299" customFormat="1" x14ac:dyDescent="0.25">
      <c r="A79" s="301"/>
      <c r="B79" s="298"/>
      <c r="IV79" s="300"/>
    </row>
    <row r="80" spans="1:256" s="299" customFormat="1" x14ac:dyDescent="0.25">
      <c r="A80" s="301"/>
      <c r="B80" s="298"/>
      <c r="IV80" s="300"/>
    </row>
    <row r="81" spans="1:256" s="299" customFormat="1" x14ac:dyDescent="0.25">
      <c r="A81" s="301"/>
      <c r="B81" s="298"/>
      <c r="IV81" s="300"/>
    </row>
    <row r="82" spans="1:256" s="299" customFormat="1" x14ac:dyDescent="0.25">
      <c r="A82" s="301"/>
      <c r="B82" s="298"/>
      <c r="IV82" s="300"/>
    </row>
    <row r="83" spans="1:256" s="299" customFormat="1" x14ac:dyDescent="0.25">
      <c r="A83" s="301"/>
      <c r="B83" s="298"/>
      <c r="IV83" s="300"/>
    </row>
    <row r="84" spans="1:256" s="299" customFormat="1" x14ac:dyDescent="0.25">
      <c r="A84" s="301"/>
      <c r="B84" s="298"/>
      <c r="IV84" s="300"/>
    </row>
    <row r="85" spans="1:256" s="299" customFormat="1" x14ac:dyDescent="0.25">
      <c r="A85" s="301"/>
      <c r="B85" s="298"/>
      <c r="IV85" s="300"/>
    </row>
    <row r="86" spans="1:256" s="299" customFormat="1" x14ac:dyDescent="0.25">
      <c r="A86" s="301"/>
      <c r="B86" s="298"/>
      <c r="IV86" s="300"/>
    </row>
    <row r="87" spans="1:256" s="299" customFormat="1" x14ac:dyDescent="0.25">
      <c r="A87" s="301"/>
      <c r="B87" s="298"/>
      <c r="IV87" s="300"/>
    </row>
    <row r="88" spans="1:256" s="299" customFormat="1" x14ac:dyDescent="0.25">
      <c r="A88" s="301"/>
      <c r="B88" s="298"/>
      <c r="IV88" s="300"/>
    </row>
    <row r="89" spans="1:256" s="299" customFormat="1" x14ac:dyDescent="0.25">
      <c r="A89" s="301"/>
      <c r="B89" s="298"/>
      <c r="IV89" s="300"/>
    </row>
    <row r="90" spans="1:256" s="299" customFormat="1" x14ac:dyDescent="0.25">
      <c r="A90" s="301"/>
      <c r="B90" s="298"/>
      <c r="IV90" s="300"/>
    </row>
    <row r="91" spans="1:256" s="299" customFormat="1" x14ac:dyDescent="0.25">
      <c r="A91" s="301"/>
      <c r="B91" s="298"/>
      <c r="IV91" s="300"/>
    </row>
    <row r="92" spans="1:256" s="299" customFormat="1" x14ac:dyDescent="0.25">
      <c r="A92" s="301"/>
      <c r="B92" s="298"/>
      <c r="IV92" s="300"/>
    </row>
    <row r="93" spans="1:256" s="299" customFormat="1" x14ac:dyDescent="0.25">
      <c r="A93" s="301"/>
      <c r="B93" s="298"/>
      <c r="IV93" s="300"/>
    </row>
    <row r="94" spans="1:256" s="299" customFormat="1" x14ac:dyDescent="0.25">
      <c r="A94" s="301"/>
      <c r="B94" s="298"/>
      <c r="IV94" s="300"/>
    </row>
    <row r="95" spans="1:256" s="299" customFormat="1" x14ac:dyDescent="0.25">
      <c r="A95" s="301"/>
      <c r="B95" s="298"/>
      <c r="IV95" s="300"/>
    </row>
    <row r="96" spans="1:256" s="299" customFormat="1" x14ac:dyDescent="0.25">
      <c r="A96" s="301"/>
      <c r="B96" s="298"/>
      <c r="IV96" s="300"/>
    </row>
    <row r="97" spans="1:256" s="299" customFormat="1" x14ac:dyDescent="0.25">
      <c r="A97" s="301"/>
      <c r="B97" s="298"/>
      <c r="IV97" s="300"/>
    </row>
    <row r="98" spans="1:256" s="299" customFormat="1" x14ac:dyDescent="0.25">
      <c r="A98" s="301"/>
      <c r="B98" s="298"/>
      <c r="IV98" s="300"/>
    </row>
    <row r="99" spans="1:256" s="299" customFormat="1" x14ac:dyDescent="0.25">
      <c r="A99" s="301"/>
      <c r="B99" s="298"/>
      <c r="IV99" s="300"/>
    </row>
    <row r="100" spans="1:256" s="299" customFormat="1" x14ac:dyDescent="0.25">
      <c r="A100" s="301"/>
      <c r="B100" s="298"/>
      <c r="IV100" s="300"/>
    </row>
    <row r="101" spans="1:256" s="299" customFormat="1" x14ac:dyDescent="0.25">
      <c r="A101" s="301"/>
      <c r="B101" s="298"/>
      <c r="IV101" s="300"/>
    </row>
    <row r="102" spans="1:256" s="299" customFormat="1" x14ac:dyDescent="0.25">
      <c r="A102" s="301"/>
      <c r="B102" s="298"/>
      <c r="IV102" s="300"/>
    </row>
    <row r="103" spans="1:256" s="299" customFormat="1" x14ac:dyDescent="0.25">
      <c r="A103" s="301"/>
      <c r="B103" s="298"/>
      <c r="IV103" s="300"/>
    </row>
    <row r="104" spans="1:256" s="299" customFormat="1" x14ac:dyDescent="0.25">
      <c r="A104" s="301"/>
      <c r="B104" s="298"/>
      <c r="IV104" s="300"/>
    </row>
    <row r="105" spans="1:256" s="299" customFormat="1" x14ac:dyDescent="0.25">
      <c r="A105" s="301"/>
      <c r="B105" s="298"/>
      <c r="IV105" s="300"/>
    </row>
    <row r="106" spans="1:256" s="299" customFormat="1" x14ac:dyDescent="0.25">
      <c r="A106" s="301"/>
      <c r="B106" s="298"/>
      <c r="IV106" s="300"/>
    </row>
    <row r="107" spans="1:256" s="299" customFormat="1" x14ac:dyDescent="0.25">
      <c r="A107" s="301"/>
      <c r="B107" s="298"/>
      <c r="IV107" s="300"/>
    </row>
    <row r="108" spans="1:256" s="299" customFormat="1" x14ac:dyDescent="0.25">
      <c r="A108" s="301"/>
      <c r="B108" s="298"/>
      <c r="IV108" s="300"/>
    </row>
    <row r="109" spans="1:256" s="299" customFormat="1" x14ac:dyDescent="0.25">
      <c r="A109" s="301"/>
      <c r="B109" s="298"/>
      <c r="IV109" s="300"/>
    </row>
    <row r="110" spans="1:256" s="299" customFormat="1" x14ac:dyDescent="0.25">
      <c r="A110" s="301"/>
      <c r="B110" s="298"/>
      <c r="IV110" s="300"/>
    </row>
    <row r="111" spans="1:256" s="299" customFormat="1" x14ac:dyDescent="0.25">
      <c r="A111" s="301"/>
      <c r="B111" s="298"/>
      <c r="IV111" s="300"/>
    </row>
    <row r="112" spans="1:256" s="299" customFormat="1" x14ac:dyDescent="0.25">
      <c r="A112" s="301"/>
      <c r="B112" s="298"/>
      <c r="IV112" s="300"/>
    </row>
    <row r="113" spans="1:256" s="299" customFormat="1" x14ac:dyDescent="0.25">
      <c r="A113" s="301"/>
      <c r="B113" s="298"/>
      <c r="IV113" s="300"/>
    </row>
    <row r="114" spans="1:256" s="299" customFormat="1" x14ac:dyDescent="0.25">
      <c r="A114" s="301"/>
      <c r="B114" s="298"/>
      <c r="IV114" s="300"/>
    </row>
    <row r="115" spans="1:256" s="299" customFormat="1" x14ac:dyDescent="0.25">
      <c r="A115" s="301"/>
      <c r="B115" s="298"/>
      <c r="IV115" s="300"/>
    </row>
    <row r="116" spans="1:256" s="299" customFormat="1" x14ac:dyDescent="0.25">
      <c r="A116" s="301"/>
      <c r="B116" s="298"/>
      <c r="IV116" s="300"/>
    </row>
    <row r="117" spans="1:256" s="299" customFormat="1" x14ac:dyDescent="0.25">
      <c r="A117" s="301"/>
      <c r="B117" s="298"/>
      <c r="IV117" s="300"/>
    </row>
    <row r="118" spans="1:256" s="299" customFormat="1" x14ac:dyDescent="0.25">
      <c r="A118" s="301"/>
      <c r="B118" s="298"/>
      <c r="IV118" s="300"/>
    </row>
    <row r="119" spans="1:256" s="299" customFormat="1" x14ac:dyDescent="0.25">
      <c r="A119" s="301"/>
      <c r="B119" s="298"/>
      <c r="IV119" s="300"/>
    </row>
    <row r="120" spans="1:256" s="299" customFormat="1" x14ac:dyDescent="0.25">
      <c r="A120" s="301"/>
      <c r="B120" s="298"/>
      <c r="IV120" s="300"/>
    </row>
    <row r="121" spans="1:256" s="299" customFormat="1" x14ac:dyDescent="0.25">
      <c r="A121" s="301"/>
      <c r="B121" s="298"/>
      <c r="IV121" s="300"/>
    </row>
    <row r="122" spans="1:256" s="299" customFormat="1" x14ac:dyDescent="0.25">
      <c r="A122" s="301"/>
      <c r="B122" s="298"/>
      <c r="IV122" s="300"/>
    </row>
    <row r="123" spans="1:256" s="299" customFormat="1" x14ac:dyDescent="0.25">
      <c r="A123" s="301"/>
      <c r="B123" s="298"/>
      <c r="IV123" s="300"/>
    </row>
    <row r="124" spans="1:256" s="299" customFormat="1" x14ac:dyDescent="0.25">
      <c r="A124" s="301"/>
      <c r="B124" s="298"/>
      <c r="IV124" s="300"/>
    </row>
    <row r="125" spans="1:256" s="299" customFormat="1" x14ac:dyDescent="0.25">
      <c r="A125" s="301"/>
      <c r="B125" s="298"/>
      <c r="IV125" s="300"/>
    </row>
    <row r="126" spans="1:256" s="299" customFormat="1" x14ac:dyDescent="0.25">
      <c r="A126" s="301"/>
      <c r="B126" s="298"/>
      <c r="IV126" s="300"/>
    </row>
    <row r="127" spans="1:256" s="299" customFormat="1" x14ac:dyDescent="0.25">
      <c r="A127" s="301"/>
      <c r="B127" s="298"/>
      <c r="IV127" s="300"/>
    </row>
    <row r="128" spans="1:256" s="299" customFormat="1" x14ac:dyDescent="0.25">
      <c r="A128" s="301"/>
      <c r="B128" s="298"/>
      <c r="IV128" s="300"/>
    </row>
    <row r="129" spans="1:256" s="299" customFormat="1" x14ac:dyDescent="0.25">
      <c r="A129" s="301"/>
      <c r="B129" s="298"/>
      <c r="IV129" s="300"/>
    </row>
    <row r="130" spans="1:256" s="299" customFormat="1" x14ac:dyDescent="0.25">
      <c r="A130" s="301"/>
      <c r="B130" s="298"/>
      <c r="IV130" s="300"/>
    </row>
    <row r="131" spans="1:256" s="299" customFormat="1" x14ac:dyDescent="0.25">
      <c r="A131" s="301"/>
      <c r="B131" s="298"/>
      <c r="IV131" s="300"/>
    </row>
    <row r="132" spans="1:256" s="299" customFormat="1" x14ac:dyDescent="0.25">
      <c r="A132" s="301"/>
      <c r="B132" s="298"/>
      <c r="IV132" s="300"/>
    </row>
    <row r="133" spans="1:256" s="299" customFormat="1" x14ac:dyDescent="0.25">
      <c r="A133" s="301"/>
      <c r="B133" s="298"/>
      <c r="IV133" s="300"/>
    </row>
    <row r="134" spans="1:256" s="299" customFormat="1" x14ac:dyDescent="0.25">
      <c r="A134" s="301"/>
      <c r="B134" s="298"/>
      <c r="IV134" s="300"/>
    </row>
    <row r="135" spans="1:256" s="299" customFormat="1" x14ac:dyDescent="0.25">
      <c r="A135" s="301"/>
      <c r="B135" s="298"/>
      <c r="IV135" s="300"/>
    </row>
    <row r="136" spans="1:256" s="299" customFormat="1" x14ac:dyDescent="0.25">
      <c r="A136" s="301"/>
      <c r="B136" s="298"/>
      <c r="IV136" s="300"/>
    </row>
    <row r="137" spans="1:256" s="299" customFormat="1" x14ac:dyDescent="0.25">
      <c r="A137" s="301"/>
      <c r="B137" s="298"/>
      <c r="IV137" s="300"/>
    </row>
    <row r="138" spans="1:256" s="299" customFormat="1" x14ac:dyDescent="0.25">
      <c r="A138" s="301"/>
      <c r="B138" s="298"/>
      <c r="IV138" s="300"/>
    </row>
    <row r="139" spans="1:256" s="299" customFormat="1" x14ac:dyDescent="0.25">
      <c r="A139" s="301"/>
      <c r="B139" s="298"/>
      <c r="IV139" s="300"/>
    </row>
    <row r="140" spans="1:256" s="299" customFormat="1" x14ac:dyDescent="0.25">
      <c r="A140" s="301"/>
      <c r="B140" s="298"/>
      <c r="IV140" s="300"/>
    </row>
    <row r="141" spans="1:256" s="299" customFormat="1" x14ac:dyDescent="0.25">
      <c r="A141" s="301"/>
      <c r="B141" s="298"/>
      <c r="IV141" s="300"/>
    </row>
    <row r="142" spans="1:256" s="299" customFormat="1" x14ac:dyDescent="0.25">
      <c r="A142" s="301"/>
      <c r="B142" s="298"/>
      <c r="IV142" s="300"/>
    </row>
    <row r="143" spans="1:256" s="299" customFormat="1" x14ac:dyDescent="0.25">
      <c r="A143" s="301"/>
      <c r="B143" s="298"/>
      <c r="IV143" s="300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10. melléklet  a ...../2019. (.......) önkormányzati rendelethez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625" defaultRowHeight="12.9" x14ac:dyDescent="0.2"/>
  <cols>
    <col min="1" max="1" width="11.625" style="182"/>
    <col min="2" max="2" width="54.875" style="182" customWidth="1"/>
    <col min="3" max="3" width="11.625" style="196"/>
    <col min="4" max="4" width="11.625" style="197"/>
    <col min="5" max="5" width="11.625" style="196" customWidth="1"/>
    <col min="6" max="6" width="11.625" style="197" customWidth="1"/>
    <col min="7" max="7" width="11.625" style="196" customWidth="1"/>
    <col min="8" max="8" width="11.625" style="197" customWidth="1"/>
    <col min="9" max="9" width="11.625" style="196"/>
    <col min="10" max="10" width="11.625" style="197"/>
    <col min="11" max="11" width="21.375" style="196" customWidth="1"/>
    <col min="12" max="12" width="21.375" style="197" customWidth="1"/>
    <col min="13" max="13" width="21.375" style="196" customWidth="1"/>
    <col min="14" max="14" width="21.375" style="197" customWidth="1"/>
    <col min="15" max="15" width="15" style="198" customWidth="1"/>
    <col min="16" max="16" width="15" style="182" customWidth="1"/>
    <col min="17" max="17" width="11.625" style="198"/>
    <col min="18" max="18" width="11.625" style="182"/>
    <col min="19" max="19" width="11.625" style="198"/>
    <col min="20" max="20" width="11.625" style="182"/>
    <col min="21" max="21" width="11.625" style="198"/>
    <col min="22" max="22" width="11.625" style="182"/>
    <col min="23" max="23" width="11.625" style="198"/>
    <col min="24" max="24" width="11.625" style="182"/>
    <col min="25" max="25" width="11.625" style="198"/>
    <col min="26" max="26" width="11.625" style="182"/>
    <col min="27" max="27" width="11.625" style="198"/>
    <col min="28" max="28" width="11.625" style="182"/>
    <col min="29" max="29" width="11.625" style="198"/>
    <col min="30" max="30" width="11.625" style="182"/>
    <col min="31" max="31" width="11.625" style="198"/>
    <col min="32" max="32" width="11.625" style="182"/>
    <col min="33" max="33" width="11.625" style="198"/>
    <col min="34" max="34" width="11.625" style="182"/>
    <col min="35" max="35" width="11.625" style="198"/>
    <col min="36" max="36" width="11.625" style="182"/>
    <col min="37" max="37" width="11.625" style="198"/>
    <col min="38" max="38" width="11.625" style="182"/>
    <col min="39" max="39" width="11.625" style="198"/>
    <col min="40" max="40" width="11.625" style="182"/>
    <col min="41" max="41" width="11.625" style="198"/>
    <col min="42" max="42" width="11.625" style="182"/>
    <col min="43" max="43" width="11.625" style="198"/>
    <col min="44" max="44" width="11.625" style="182"/>
    <col min="45" max="45" width="11.625" style="198"/>
    <col min="46" max="46" width="11.625" style="182"/>
    <col min="47" max="47" width="11.625" style="198"/>
    <col min="48" max="48" width="11.625" style="182"/>
    <col min="49" max="49" width="11.625" style="198"/>
    <col min="50" max="50" width="11.625" style="182"/>
    <col min="51" max="51" width="11.625" style="198"/>
    <col min="52" max="52" width="11.625" style="182"/>
    <col min="53" max="53" width="11.625" style="198"/>
    <col min="54" max="54" width="11.625" style="182"/>
    <col min="55" max="55" width="11.625" style="198"/>
    <col min="56" max="56" width="11.625" style="182"/>
    <col min="57" max="57" width="11.625" style="198"/>
    <col min="58" max="58" width="11.625" style="182"/>
    <col min="59" max="59" width="11.625" style="198"/>
    <col min="60" max="60" width="11.625" style="182"/>
    <col min="61" max="61" width="11.625" style="198"/>
    <col min="62" max="62" width="11.625" style="182"/>
    <col min="63" max="63" width="11.625" style="198"/>
    <col min="64" max="64" width="11.625" style="182"/>
    <col min="65" max="65" width="11.625" style="198"/>
    <col min="66" max="66" width="11.625" style="182"/>
    <col min="67" max="67" width="11.625" style="198"/>
    <col min="68" max="68" width="11.625" style="182"/>
    <col min="69" max="69" width="11.625" style="198"/>
    <col min="70" max="70" width="11.625" style="182"/>
    <col min="71" max="71" width="11.625" style="198"/>
    <col min="72" max="72" width="11.625" style="182"/>
    <col min="73" max="73" width="11.625" style="198"/>
    <col min="74" max="74" width="11.625" style="182"/>
    <col min="75" max="75" width="11.625" style="198"/>
    <col min="76" max="76" width="11.625" style="182"/>
    <col min="77" max="77" width="11.625" style="198"/>
    <col min="78" max="78" width="11.625" style="182"/>
    <col min="79" max="79" width="11.625" style="198"/>
    <col min="80" max="80" width="11.625" style="182"/>
    <col min="81" max="81" width="11.625" style="198"/>
    <col min="82" max="82" width="11.625" style="182"/>
    <col min="83" max="83" width="11.625" style="198"/>
    <col min="84" max="84" width="11.625" style="182"/>
    <col min="85" max="85" width="11.625" style="198"/>
    <col min="86" max="86" width="11.625" style="182"/>
    <col min="87" max="87" width="11.625" style="198"/>
    <col min="88" max="88" width="11.625" style="182"/>
    <col min="89" max="89" width="11.625" style="198"/>
    <col min="90" max="90" width="11.625" style="182"/>
    <col min="91" max="91" width="11.625" style="198"/>
    <col min="92" max="92" width="11.625" style="182"/>
    <col min="93" max="93" width="11.625" style="198"/>
    <col min="94" max="94" width="11.625" style="182"/>
    <col min="95" max="95" width="11.625" style="198"/>
    <col min="96" max="96" width="11.625" style="182"/>
    <col min="97" max="97" width="11.625" style="198"/>
    <col min="98" max="98" width="11.625" style="182"/>
    <col min="99" max="99" width="11.625" style="198"/>
    <col min="100" max="100" width="11.625" style="182"/>
    <col min="101" max="101" width="11.625" style="198"/>
    <col min="102" max="102" width="11.625" style="182"/>
    <col min="103" max="103" width="11.625" style="198"/>
    <col min="104" max="104" width="11.625" style="182"/>
    <col min="105" max="105" width="11.625" style="198"/>
    <col min="106" max="106" width="11.625" style="182"/>
    <col min="107" max="107" width="11.625" style="198"/>
    <col min="108" max="108" width="11.625" style="182"/>
    <col min="109" max="109" width="11.625" style="198"/>
    <col min="110" max="110" width="11.625" style="182"/>
    <col min="111" max="111" width="11.625" style="198"/>
    <col min="112" max="112" width="11.625" style="182"/>
    <col min="113" max="113" width="11.625" style="198"/>
    <col min="114" max="114" width="11.625" style="182"/>
    <col min="115" max="115" width="11.625" style="198"/>
    <col min="116" max="116" width="11.625" style="182"/>
    <col min="117" max="117" width="11.625" style="198"/>
    <col min="118" max="118" width="11.625" style="182"/>
    <col min="119" max="119" width="11.625" style="198"/>
    <col min="120" max="120" width="11.625" style="182"/>
    <col min="121" max="121" width="11.625" style="198"/>
    <col min="122" max="122" width="11.625" style="182"/>
    <col min="123" max="123" width="11.625" style="198"/>
    <col min="124" max="124" width="11.625" style="182"/>
    <col min="125" max="125" width="11.625" style="198"/>
    <col min="126" max="16384" width="11.625" style="182"/>
  </cols>
  <sheetData>
    <row r="1" spans="1:126" ht="67.95" x14ac:dyDescent="0.2">
      <c r="A1" s="171" t="s">
        <v>763</v>
      </c>
      <c r="B1" s="171" t="s">
        <v>306</v>
      </c>
      <c r="C1" s="172" t="s">
        <v>260</v>
      </c>
      <c r="D1" s="173" t="s">
        <v>259</v>
      </c>
      <c r="E1" s="172" t="s">
        <v>764</v>
      </c>
      <c r="F1" s="173" t="s">
        <v>765</v>
      </c>
      <c r="G1" s="172" t="s">
        <v>766</v>
      </c>
      <c r="H1" s="173" t="s">
        <v>767</v>
      </c>
      <c r="I1" s="172" t="s">
        <v>768</v>
      </c>
      <c r="J1" s="173" t="s">
        <v>769</v>
      </c>
      <c r="K1" s="172" t="s">
        <v>770</v>
      </c>
      <c r="L1" s="173" t="s">
        <v>771</v>
      </c>
      <c r="M1" s="174" t="s">
        <v>772</v>
      </c>
      <c r="N1" s="175" t="s">
        <v>773</v>
      </c>
      <c r="O1" s="176" t="s">
        <v>774</v>
      </c>
      <c r="P1" s="177" t="s">
        <v>775</v>
      </c>
      <c r="Q1" s="176" t="s">
        <v>776</v>
      </c>
      <c r="R1" s="177" t="s">
        <v>777</v>
      </c>
      <c r="S1" s="176" t="s">
        <v>778</v>
      </c>
      <c r="T1" s="177" t="s">
        <v>1271</v>
      </c>
      <c r="U1" s="176" t="s">
        <v>779</v>
      </c>
      <c r="V1" s="177" t="s">
        <v>780</v>
      </c>
      <c r="W1" s="176" t="s">
        <v>781</v>
      </c>
      <c r="X1" s="177" t="s">
        <v>782</v>
      </c>
      <c r="Y1" s="176" t="s">
        <v>783</v>
      </c>
      <c r="Z1" s="177" t="s">
        <v>784</v>
      </c>
      <c r="AA1" s="176" t="s">
        <v>785</v>
      </c>
      <c r="AB1" s="177" t="s">
        <v>786</v>
      </c>
      <c r="AC1" s="176" t="s">
        <v>787</v>
      </c>
      <c r="AD1" s="177" t="s">
        <v>788</v>
      </c>
      <c r="AE1" s="176" t="s">
        <v>789</v>
      </c>
      <c r="AF1" s="177" t="s">
        <v>790</v>
      </c>
      <c r="AG1" s="176" t="s">
        <v>1027</v>
      </c>
      <c r="AH1" s="177" t="s">
        <v>1028</v>
      </c>
      <c r="AI1" s="176" t="s">
        <v>791</v>
      </c>
      <c r="AJ1" s="177" t="s">
        <v>792</v>
      </c>
      <c r="AK1" s="178" t="s">
        <v>793</v>
      </c>
      <c r="AL1" s="179" t="s">
        <v>794</v>
      </c>
      <c r="AM1" s="178" t="s">
        <v>795</v>
      </c>
      <c r="AN1" s="179" t="s">
        <v>796</v>
      </c>
      <c r="AO1" s="178" t="s">
        <v>797</v>
      </c>
      <c r="AP1" s="179" t="s">
        <v>798</v>
      </c>
      <c r="AQ1" s="178" t="s">
        <v>799</v>
      </c>
      <c r="AR1" s="179" t="s">
        <v>800</v>
      </c>
      <c r="AS1" s="180" t="s">
        <v>801</v>
      </c>
      <c r="AT1" s="181" t="s">
        <v>1172</v>
      </c>
      <c r="AU1" s="180" t="s">
        <v>802</v>
      </c>
      <c r="AV1" s="181" t="s">
        <v>803</v>
      </c>
      <c r="AW1" s="180" t="s">
        <v>804</v>
      </c>
      <c r="AX1" s="181" t="s">
        <v>805</v>
      </c>
      <c r="AY1" s="180" t="s">
        <v>806</v>
      </c>
      <c r="AZ1" s="181" t="s">
        <v>807</v>
      </c>
      <c r="BA1" s="180" t="s">
        <v>808</v>
      </c>
      <c r="BB1" s="181" t="s">
        <v>809</v>
      </c>
      <c r="BC1" s="180" t="s">
        <v>810</v>
      </c>
      <c r="BD1" s="181" t="s">
        <v>811</v>
      </c>
      <c r="BE1" s="180" t="s">
        <v>812</v>
      </c>
      <c r="BF1" s="181" t="s">
        <v>813</v>
      </c>
      <c r="BG1" s="180" t="s">
        <v>814</v>
      </c>
      <c r="BH1" s="181" t="s">
        <v>815</v>
      </c>
      <c r="BI1" s="180" t="s">
        <v>816</v>
      </c>
      <c r="BJ1" s="181" t="s">
        <v>817</v>
      </c>
      <c r="BK1" s="180" t="s">
        <v>818</v>
      </c>
      <c r="BL1" s="181" t="s">
        <v>819</v>
      </c>
      <c r="BM1" s="180" t="s">
        <v>820</v>
      </c>
      <c r="BN1" s="181" t="s">
        <v>821</v>
      </c>
      <c r="BO1" s="180" t="s">
        <v>822</v>
      </c>
      <c r="BP1" s="181" t="s">
        <v>823</v>
      </c>
      <c r="BQ1" s="180" t="s">
        <v>824</v>
      </c>
      <c r="BR1" s="181" t="s">
        <v>825</v>
      </c>
      <c r="BS1" s="180" t="s">
        <v>826</v>
      </c>
      <c r="BT1" s="181" t="s">
        <v>827</v>
      </c>
      <c r="BU1" s="180" t="s">
        <v>828</v>
      </c>
      <c r="BV1" s="181" t="s">
        <v>829</v>
      </c>
      <c r="BW1" s="180" t="s">
        <v>830</v>
      </c>
      <c r="BX1" s="181" t="s">
        <v>831</v>
      </c>
      <c r="BY1" s="180" t="s">
        <v>832</v>
      </c>
      <c r="BZ1" s="181" t="s">
        <v>833</v>
      </c>
      <c r="CA1" s="180" t="s">
        <v>834</v>
      </c>
      <c r="CB1" s="181" t="s">
        <v>835</v>
      </c>
      <c r="CC1" s="180" t="s">
        <v>836</v>
      </c>
      <c r="CD1" s="181" t="s">
        <v>837</v>
      </c>
      <c r="CE1" s="180" t="s">
        <v>838</v>
      </c>
      <c r="CF1" s="181" t="s">
        <v>839</v>
      </c>
      <c r="CG1" s="180" t="s">
        <v>840</v>
      </c>
      <c r="CH1" s="181" t="s">
        <v>841</v>
      </c>
      <c r="CI1" s="180" t="s">
        <v>842</v>
      </c>
      <c r="CJ1" s="181" t="s">
        <v>843</v>
      </c>
      <c r="CK1" s="180" t="s">
        <v>844</v>
      </c>
      <c r="CL1" s="181" t="s">
        <v>845</v>
      </c>
      <c r="CM1" s="180" t="s">
        <v>846</v>
      </c>
      <c r="CN1" s="181" t="s">
        <v>847</v>
      </c>
      <c r="CO1" s="180" t="s">
        <v>848</v>
      </c>
      <c r="CP1" s="181" t="s">
        <v>849</v>
      </c>
      <c r="CQ1" s="180" t="s">
        <v>850</v>
      </c>
      <c r="CR1" s="181" t="s">
        <v>851</v>
      </c>
      <c r="CS1" s="180" t="s">
        <v>1141</v>
      </c>
      <c r="CT1" s="181" t="s">
        <v>1142</v>
      </c>
      <c r="CU1" s="180" t="s">
        <v>852</v>
      </c>
      <c r="CV1" s="181" t="s">
        <v>853</v>
      </c>
      <c r="CW1" s="180" t="s">
        <v>854</v>
      </c>
      <c r="CX1" s="181" t="s">
        <v>855</v>
      </c>
      <c r="CY1" s="180" t="s">
        <v>856</v>
      </c>
      <c r="CZ1" s="181" t="s">
        <v>857</v>
      </c>
      <c r="DA1" s="180" t="s">
        <v>858</v>
      </c>
      <c r="DB1" s="181" t="s">
        <v>859</v>
      </c>
      <c r="DC1" s="180" t="s">
        <v>860</v>
      </c>
      <c r="DD1" s="181" t="s">
        <v>861</v>
      </c>
      <c r="DE1" s="180" t="s">
        <v>862</v>
      </c>
      <c r="DF1" s="181" t="s">
        <v>863</v>
      </c>
      <c r="DG1" s="180" t="s">
        <v>864</v>
      </c>
      <c r="DH1" s="181" t="s">
        <v>865</v>
      </c>
      <c r="DI1" s="180" t="s">
        <v>866</v>
      </c>
      <c r="DJ1" s="181" t="s">
        <v>867</v>
      </c>
      <c r="DK1" s="180" t="s">
        <v>868</v>
      </c>
      <c r="DL1" s="181" t="s">
        <v>869</v>
      </c>
      <c r="DM1" s="180" t="s">
        <v>870</v>
      </c>
      <c r="DN1" s="181" t="s">
        <v>1159</v>
      </c>
      <c r="DO1" s="180" t="s">
        <v>871</v>
      </c>
      <c r="DP1" s="181" t="s">
        <v>872</v>
      </c>
      <c r="DQ1" s="180" t="s">
        <v>873</v>
      </c>
      <c r="DR1" s="181" t="s">
        <v>874</v>
      </c>
      <c r="DS1" s="180" t="s">
        <v>875</v>
      </c>
      <c r="DT1" s="181" t="s">
        <v>876</v>
      </c>
      <c r="DU1" s="180" t="s">
        <v>877</v>
      </c>
      <c r="DV1" s="181" t="s">
        <v>878</v>
      </c>
    </row>
    <row r="2" spans="1:126" x14ac:dyDescent="0.2">
      <c r="A2" s="183" t="s">
        <v>4</v>
      </c>
      <c r="B2" s="183" t="s">
        <v>879</v>
      </c>
      <c r="C2" s="184">
        <f t="shared" ref="C2:D17" si="0">E2+G2+I2</f>
        <v>20034</v>
      </c>
      <c r="D2" s="185">
        <f>F2+H2+J2</f>
        <v>40002</v>
      </c>
      <c r="E2" s="184">
        <f t="shared" ref="E2:E17" si="1">K2+M2+O1:O2+Q2+S2+U2+W2+Y2+AA2+AC2+AE2+AI2</f>
        <v>20034</v>
      </c>
      <c r="F2" s="185">
        <f>L2+N2+P1:P2+R2+T2+V2+X2+Z2+AB2+AD2+AF2+AJ2+AH2</f>
        <v>40002</v>
      </c>
      <c r="G2" s="184">
        <f>AK2+AM2+AO2+AQ2+AS2+AU2+AW2+AY2+BA2+BC2+BE2+BG2+BI2+BK2+BM2+BO2+BQ2+BS2+BU2+BW2+BY2+CA2+CC2+CE2+CG2+CI2+CK2+CM2+CO2+CQ2+CS2+CU2+CW2+DA2+CY2+DC2+DE2+DG2+DI2+DK2+DM2+DO2+DQ2+DS2+DU2</f>
        <v>0</v>
      </c>
      <c r="H2" s="185">
        <f>AL2+AN2+AP2+AR2+AT2+AV2+AX2+AZ2+BB2+BD2+BF2+BH2+BJ2+BL2+BN2+BP2+BR2+BT2+BV2+BX2+BZ2+CB2+CD2+CF2+CH2+CJ2+CL2+CN2+CP2+CR2+CT2+CV2+CX2+DB2+CZ2+DD2+DF2+DH2+DJ2+DL2+DN2+DP2+DR2+DT2+DV2</f>
        <v>0</v>
      </c>
      <c r="I2" s="184"/>
      <c r="J2" s="185"/>
      <c r="K2" s="184"/>
      <c r="L2" s="185"/>
      <c r="M2" s="184"/>
      <c r="N2" s="185"/>
      <c r="O2" s="184"/>
      <c r="P2" s="185"/>
      <c r="Q2" s="184">
        <v>20034</v>
      </c>
      <c r="R2" s="185">
        <f>19273+1000</f>
        <v>20273</v>
      </c>
      <c r="S2" s="184"/>
      <c r="T2" s="185"/>
      <c r="U2" s="184"/>
      <c r="V2" s="185"/>
      <c r="W2" s="184"/>
      <c r="X2" s="185"/>
      <c r="Y2" s="184"/>
      <c r="Z2" s="185"/>
      <c r="AA2" s="184"/>
      <c r="AB2" s="185"/>
      <c r="AC2" s="184"/>
      <c r="AD2" s="185"/>
      <c r="AE2" s="184"/>
      <c r="AF2" s="185">
        <v>11413</v>
      </c>
      <c r="AG2" s="184"/>
      <c r="AH2" s="185">
        <v>8316</v>
      </c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84"/>
      <c r="AX2" s="185"/>
      <c r="AY2" s="184"/>
      <c r="AZ2" s="185"/>
      <c r="BA2" s="184"/>
      <c r="BB2" s="185"/>
      <c r="BC2" s="184"/>
      <c r="BD2" s="185"/>
      <c r="BE2" s="184"/>
      <c r="BF2" s="185"/>
      <c r="BG2" s="184"/>
      <c r="BH2" s="185"/>
      <c r="BI2" s="184"/>
      <c r="BJ2" s="185"/>
      <c r="BK2" s="184"/>
      <c r="BL2" s="185"/>
      <c r="BM2" s="184"/>
      <c r="BN2" s="185"/>
      <c r="BO2" s="184"/>
      <c r="BP2" s="185"/>
      <c r="BQ2" s="184"/>
      <c r="BR2" s="185"/>
      <c r="BS2" s="184"/>
      <c r="BT2" s="185"/>
      <c r="BU2" s="184"/>
      <c r="BV2" s="185"/>
      <c r="BW2" s="184"/>
      <c r="BX2" s="185"/>
      <c r="BY2" s="184"/>
      <c r="BZ2" s="185"/>
      <c r="CA2" s="184"/>
      <c r="CB2" s="185"/>
      <c r="CC2" s="184"/>
      <c r="CD2" s="185"/>
      <c r="CE2" s="184"/>
      <c r="CF2" s="185"/>
      <c r="CG2" s="184"/>
      <c r="CH2" s="185"/>
      <c r="CI2" s="184"/>
      <c r="CJ2" s="185"/>
      <c r="CK2" s="184"/>
      <c r="CL2" s="185"/>
      <c r="CM2" s="184"/>
      <c r="CN2" s="185"/>
      <c r="CO2" s="184"/>
      <c r="CP2" s="185"/>
      <c r="CQ2" s="184"/>
      <c r="CR2" s="185"/>
      <c r="CS2" s="184"/>
      <c r="CT2" s="185"/>
      <c r="CU2" s="184"/>
      <c r="CV2" s="185"/>
      <c r="CW2" s="184"/>
      <c r="CX2" s="185"/>
      <c r="CY2" s="184"/>
      <c r="CZ2" s="185"/>
      <c r="DA2" s="184"/>
      <c r="DB2" s="185"/>
      <c r="DC2" s="184"/>
      <c r="DD2" s="185"/>
      <c r="DE2" s="184"/>
      <c r="DF2" s="185"/>
      <c r="DG2" s="184"/>
      <c r="DH2" s="185"/>
      <c r="DI2" s="184"/>
      <c r="DJ2" s="185"/>
      <c r="DK2" s="184"/>
      <c r="DL2" s="185"/>
      <c r="DM2" s="184"/>
      <c r="DN2" s="185"/>
      <c r="DO2" s="184"/>
      <c r="DP2" s="185"/>
      <c r="DQ2" s="184"/>
      <c r="DR2" s="185"/>
      <c r="DS2" s="184"/>
      <c r="DT2" s="185"/>
      <c r="DU2" s="184"/>
      <c r="DV2" s="185"/>
    </row>
    <row r="3" spans="1:126" x14ac:dyDescent="0.2">
      <c r="A3" s="183" t="s">
        <v>7</v>
      </c>
      <c r="B3" s="183" t="s">
        <v>9</v>
      </c>
      <c r="C3" s="184">
        <f t="shared" si="0"/>
        <v>0</v>
      </c>
      <c r="D3" s="185">
        <f t="shared" si="0"/>
        <v>0</v>
      </c>
      <c r="E3" s="184">
        <f t="shared" si="1"/>
        <v>0</v>
      </c>
      <c r="F3" s="185">
        <f t="shared" ref="F3:F17" si="2">L3+N3+P2:P3+R3+T3+V3+X3+Z3+AB3+AD3+AF3+AJ3+AH3</f>
        <v>0</v>
      </c>
      <c r="G3" s="184">
        <f t="shared" ref="G3:H42" si="3">AK3+AM3+AO3+AQ3+AS3+AU3+AW3+AY3+BA3+BC3+BE3+BG3+BI3+BK3+BM3+BO3+BQ3+BS3+BU3+BW3+BY3+CA3+CC3+CE3+CG3+CI3+CK3+CM3+CO3+CQ3+CS3+CU3+CW3+DA3+CY3+DC3+DE3+DG3+DI3+DK3+DM3+DO3+DQ3+DS3+DU3</f>
        <v>0</v>
      </c>
      <c r="H3" s="185">
        <f t="shared" si="3"/>
        <v>0</v>
      </c>
      <c r="I3" s="184"/>
      <c r="J3" s="185"/>
      <c r="K3" s="184"/>
      <c r="L3" s="185"/>
      <c r="M3" s="184"/>
      <c r="N3" s="185"/>
      <c r="O3" s="184"/>
      <c r="P3" s="185"/>
      <c r="Q3" s="184"/>
      <c r="R3" s="185"/>
      <c r="S3" s="184"/>
      <c r="T3" s="185"/>
      <c r="U3" s="184"/>
      <c r="V3" s="185"/>
      <c r="W3" s="184"/>
      <c r="X3" s="185"/>
      <c r="Y3" s="184"/>
      <c r="Z3" s="185"/>
      <c r="AA3" s="184"/>
      <c r="AB3" s="185"/>
      <c r="AC3" s="184"/>
      <c r="AD3" s="185"/>
      <c r="AE3" s="184"/>
      <c r="AF3" s="185"/>
      <c r="AG3" s="184"/>
      <c r="AH3" s="185"/>
      <c r="AI3" s="184"/>
      <c r="AJ3" s="185"/>
      <c r="AK3" s="184"/>
      <c r="AL3" s="185"/>
      <c r="AM3" s="184"/>
      <c r="AN3" s="185"/>
      <c r="AO3" s="184"/>
      <c r="AP3" s="185"/>
      <c r="AQ3" s="184"/>
      <c r="AR3" s="185"/>
      <c r="AS3" s="184"/>
      <c r="AT3" s="185"/>
      <c r="AU3" s="184"/>
      <c r="AV3" s="185"/>
      <c r="AW3" s="184"/>
      <c r="AX3" s="185"/>
      <c r="AY3" s="184"/>
      <c r="AZ3" s="185"/>
      <c r="BA3" s="184"/>
      <c r="BB3" s="185"/>
      <c r="BC3" s="184"/>
      <c r="BD3" s="185"/>
      <c r="BE3" s="184"/>
      <c r="BF3" s="185"/>
      <c r="BG3" s="184"/>
      <c r="BH3" s="185"/>
      <c r="BI3" s="184"/>
      <c r="BJ3" s="185"/>
      <c r="BK3" s="184"/>
      <c r="BL3" s="185"/>
      <c r="BM3" s="184"/>
      <c r="BN3" s="185"/>
      <c r="BO3" s="184"/>
      <c r="BP3" s="185"/>
      <c r="BQ3" s="184"/>
      <c r="BR3" s="185"/>
      <c r="BS3" s="184"/>
      <c r="BT3" s="185"/>
      <c r="BU3" s="184"/>
      <c r="BV3" s="185"/>
      <c r="BW3" s="184"/>
      <c r="BX3" s="185"/>
      <c r="BY3" s="184"/>
      <c r="BZ3" s="185"/>
      <c r="CA3" s="184"/>
      <c r="CB3" s="185"/>
      <c r="CC3" s="184"/>
      <c r="CD3" s="185"/>
      <c r="CE3" s="184"/>
      <c r="CF3" s="185"/>
      <c r="CG3" s="184"/>
      <c r="CH3" s="185"/>
      <c r="CI3" s="184"/>
      <c r="CJ3" s="185"/>
      <c r="CK3" s="184"/>
      <c r="CL3" s="185"/>
      <c r="CM3" s="184"/>
      <c r="CN3" s="185"/>
      <c r="CO3" s="184"/>
      <c r="CP3" s="185"/>
      <c r="CQ3" s="184"/>
      <c r="CR3" s="185"/>
      <c r="CS3" s="184"/>
      <c r="CT3" s="185"/>
      <c r="CU3" s="184"/>
      <c r="CV3" s="185"/>
      <c r="CW3" s="184"/>
      <c r="CX3" s="185"/>
      <c r="CY3" s="184"/>
      <c r="CZ3" s="185"/>
      <c r="DA3" s="184"/>
      <c r="DB3" s="185"/>
      <c r="DC3" s="184"/>
      <c r="DD3" s="185"/>
      <c r="DE3" s="184"/>
      <c r="DF3" s="185"/>
      <c r="DG3" s="184"/>
      <c r="DH3" s="185"/>
      <c r="DI3" s="184"/>
      <c r="DJ3" s="185"/>
      <c r="DK3" s="184"/>
      <c r="DL3" s="185"/>
      <c r="DM3" s="184"/>
      <c r="DN3" s="185"/>
      <c r="DO3" s="184"/>
      <c r="DP3" s="185"/>
      <c r="DQ3" s="184"/>
      <c r="DR3" s="185"/>
      <c r="DS3" s="184"/>
      <c r="DT3" s="185"/>
      <c r="DU3" s="184"/>
      <c r="DV3" s="185"/>
    </row>
    <row r="4" spans="1:126" x14ac:dyDescent="0.2">
      <c r="A4" s="183" t="s">
        <v>10</v>
      </c>
      <c r="B4" s="183" t="s">
        <v>12</v>
      </c>
      <c r="C4" s="184">
        <f t="shared" si="0"/>
        <v>0</v>
      </c>
      <c r="D4" s="185">
        <f t="shared" si="0"/>
        <v>0</v>
      </c>
      <c r="E4" s="184">
        <f t="shared" si="1"/>
        <v>0</v>
      </c>
      <c r="F4" s="185">
        <f t="shared" si="2"/>
        <v>0</v>
      </c>
      <c r="G4" s="184">
        <f t="shared" si="3"/>
        <v>0</v>
      </c>
      <c r="H4" s="185">
        <f t="shared" si="3"/>
        <v>0</v>
      </c>
      <c r="I4" s="184"/>
      <c r="J4" s="185"/>
      <c r="K4" s="184"/>
      <c r="L4" s="185"/>
      <c r="M4" s="184"/>
      <c r="N4" s="185"/>
      <c r="O4" s="184"/>
      <c r="P4" s="185"/>
      <c r="Q4" s="184"/>
      <c r="R4" s="185"/>
      <c r="S4" s="184"/>
      <c r="T4" s="185"/>
      <c r="U4" s="184"/>
      <c r="V4" s="185"/>
      <c r="W4" s="184"/>
      <c r="X4" s="185"/>
      <c r="Y4" s="184"/>
      <c r="Z4" s="185"/>
      <c r="AA4" s="184"/>
      <c r="AB4" s="185"/>
      <c r="AC4" s="184"/>
      <c r="AD4" s="185"/>
      <c r="AE4" s="184"/>
      <c r="AF4" s="185"/>
      <c r="AG4" s="184"/>
      <c r="AH4" s="185"/>
      <c r="AI4" s="184"/>
      <c r="AJ4" s="185"/>
      <c r="AK4" s="184"/>
      <c r="AL4" s="185"/>
      <c r="AM4" s="184"/>
      <c r="AN4" s="185"/>
      <c r="AO4" s="184"/>
      <c r="AP4" s="185"/>
      <c r="AQ4" s="184"/>
      <c r="AR4" s="185"/>
      <c r="AS4" s="184"/>
      <c r="AT4" s="185"/>
      <c r="AU4" s="184"/>
      <c r="AV4" s="185"/>
      <c r="AW4" s="184"/>
      <c r="AX4" s="185"/>
      <c r="AY4" s="184"/>
      <c r="AZ4" s="185"/>
      <c r="BA4" s="184"/>
      <c r="BB4" s="185"/>
      <c r="BC4" s="184"/>
      <c r="BD4" s="185"/>
      <c r="BE4" s="184"/>
      <c r="BF4" s="185"/>
      <c r="BG4" s="184"/>
      <c r="BH4" s="185"/>
      <c r="BI4" s="184"/>
      <c r="BJ4" s="185"/>
      <c r="BK4" s="184"/>
      <c r="BL4" s="185"/>
      <c r="BM4" s="184"/>
      <c r="BN4" s="185"/>
      <c r="BO4" s="184"/>
      <c r="BP4" s="185"/>
      <c r="BQ4" s="184"/>
      <c r="BR4" s="185"/>
      <c r="BS4" s="184"/>
      <c r="BT4" s="185"/>
      <c r="BU4" s="184"/>
      <c r="BV4" s="185"/>
      <c r="BW4" s="184"/>
      <c r="BX4" s="185"/>
      <c r="BY4" s="184"/>
      <c r="BZ4" s="185"/>
      <c r="CA4" s="184"/>
      <c r="CB4" s="185"/>
      <c r="CC4" s="184"/>
      <c r="CD4" s="185"/>
      <c r="CE4" s="184"/>
      <c r="CF4" s="185"/>
      <c r="CG4" s="184"/>
      <c r="CH4" s="185"/>
      <c r="CI4" s="184"/>
      <c r="CJ4" s="185"/>
      <c r="CK4" s="184"/>
      <c r="CL4" s="185"/>
      <c r="CM4" s="184"/>
      <c r="CN4" s="185"/>
      <c r="CO4" s="184"/>
      <c r="CP4" s="185"/>
      <c r="CQ4" s="184"/>
      <c r="CR4" s="185"/>
      <c r="CS4" s="184"/>
      <c r="CT4" s="185"/>
      <c r="CU4" s="184"/>
      <c r="CV4" s="185"/>
      <c r="CW4" s="184"/>
      <c r="CX4" s="185"/>
      <c r="CY4" s="184"/>
      <c r="CZ4" s="185"/>
      <c r="DA4" s="184"/>
      <c r="DB4" s="185"/>
      <c r="DC4" s="184"/>
      <c r="DD4" s="185"/>
      <c r="DE4" s="184"/>
      <c r="DF4" s="185"/>
      <c r="DG4" s="184"/>
      <c r="DH4" s="185"/>
      <c r="DI4" s="184"/>
      <c r="DJ4" s="185"/>
      <c r="DK4" s="184"/>
      <c r="DL4" s="185"/>
      <c r="DM4" s="184"/>
      <c r="DN4" s="185"/>
      <c r="DO4" s="184"/>
      <c r="DP4" s="185"/>
      <c r="DQ4" s="184"/>
      <c r="DR4" s="185"/>
      <c r="DS4" s="184"/>
      <c r="DT4" s="185"/>
      <c r="DU4" s="184"/>
      <c r="DV4" s="185"/>
    </row>
    <row r="5" spans="1:126" x14ac:dyDescent="0.2">
      <c r="A5" s="183" t="s">
        <v>13</v>
      </c>
      <c r="B5" s="183" t="s">
        <v>15</v>
      </c>
      <c r="C5" s="184">
        <f t="shared" si="0"/>
        <v>477</v>
      </c>
      <c r="D5" s="185">
        <f t="shared" si="0"/>
        <v>1500</v>
      </c>
      <c r="E5" s="184">
        <f t="shared" si="1"/>
        <v>477</v>
      </c>
      <c r="F5" s="185">
        <f t="shared" si="2"/>
        <v>1500</v>
      </c>
      <c r="G5" s="184">
        <f t="shared" si="3"/>
        <v>0</v>
      </c>
      <c r="H5" s="185">
        <f t="shared" si="3"/>
        <v>0</v>
      </c>
      <c r="I5" s="184"/>
      <c r="J5" s="185"/>
      <c r="K5" s="184"/>
      <c r="L5" s="185"/>
      <c r="M5" s="184"/>
      <c r="N5" s="185"/>
      <c r="O5" s="184"/>
      <c r="P5" s="185"/>
      <c r="Q5" s="184">
        <v>477</v>
      </c>
      <c r="R5" s="185">
        <v>1500</v>
      </c>
      <c r="S5" s="184"/>
      <c r="T5" s="185"/>
      <c r="U5" s="184"/>
      <c r="V5" s="185"/>
      <c r="W5" s="184"/>
      <c r="X5" s="185"/>
      <c r="Y5" s="184"/>
      <c r="Z5" s="185"/>
      <c r="AA5" s="184"/>
      <c r="AB5" s="185"/>
      <c r="AC5" s="184"/>
      <c r="AD5" s="185"/>
      <c r="AE5" s="184"/>
      <c r="AF5" s="185"/>
      <c r="AG5" s="184"/>
      <c r="AH5" s="185"/>
      <c r="AI5" s="184"/>
      <c r="AJ5" s="185"/>
      <c r="AK5" s="184"/>
      <c r="AL5" s="185"/>
      <c r="AM5" s="184"/>
      <c r="AN5" s="185"/>
      <c r="AO5" s="184"/>
      <c r="AP5" s="185"/>
      <c r="AQ5" s="184"/>
      <c r="AR5" s="185"/>
      <c r="AS5" s="184"/>
      <c r="AT5" s="185"/>
      <c r="AU5" s="184"/>
      <c r="AV5" s="185"/>
      <c r="AW5" s="184"/>
      <c r="AX5" s="185"/>
      <c r="AY5" s="184"/>
      <c r="AZ5" s="185"/>
      <c r="BA5" s="184"/>
      <c r="BB5" s="185"/>
      <c r="BC5" s="184"/>
      <c r="BD5" s="185"/>
      <c r="BE5" s="184"/>
      <c r="BF5" s="185"/>
      <c r="BG5" s="184"/>
      <c r="BH5" s="185"/>
      <c r="BI5" s="184"/>
      <c r="BJ5" s="185"/>
      <c r="BK5" s="184"/>
      <c r="BL5" s="185"/>
      <c r="BM5" s="184"/>
      <c r="BN5" s="185"/>
      <c r="BO5" s="184"/>
      <c r="BP5" s="185"/>
      <c r="BQ5" s="184"/>
      <c r="BR5" s="185"/>
      <c r="BS5" s="184"/>
      <c r="BT5" s="185"/>
      <c r="BU5" s="184"/>
      <c r="BV5" s="185"/>
      <c r="BW5" s="184"/>
      <c r="BX5" s="185"/>
      <c r="BY5" s="184"/>
      <c r="BZ5" s="185"/>
      <c r="CA5" s="184"/>
      <c r="CB5" s="185"/>
      <c r="CC5" s="184"/>
      <c r="CD5" s="185"/>
      <c r="CE5" s="184"/>
      <c r="CF5" s="185"/>
      <c r="CG5" s="184"/>
      <c r="CH5" s="185"/>
      <c r="CI5" s="184"/>
      <c r="CJ5" s="185"/>
      <c r="CK5" s="184"/>
      <c r="CL5" s="185"/>
      <c r="CM5" s="184"/>
      <c r="CN5" s="185"/>
      <c r="CO5" s="184"/>
      <c r="CP5" s="185"/>
      <c r="CQ5" s="184"/>
      <c r="CR5" s="185"/>
      <c r="CS5" s="184"/>
      <c r="CT5" s="185"/>
      <c r="CU5" s="184"/>
      <c r="CV5" s="185"/>
      <c r="CW5" s="184"/>
      <c r="CX5" s="185"/>
      <c r="CY5" s="184"/>
      <c r="CZ5" s="185"/>
      <c r="DA5" s="184"/>
      <c r="DB5" s="185"/>
      <c r="DC5" s="184"/>
      <c r="DD5" s="185"/>
      <c r="DE5" s="184"/>
      <c r="DF5" s="185"/>
      <c r="DG5" s="184"/>
      <c r="DH5" s="185"/>
      <c r="DI5" s="184"/>
      <c r="DJ5" s="185"/>
      <c r="DK5" s="184"/>
      <c r="DL5" s="185"/>
      <c r="DM5" s="184"/>
      <c r="DN5" s="185"/>
      <c r="DO5" s="184"/>
      <c r="DP5" s="185"/>
      <c r="DQ5" s="184"/>
      <c r="DR5" s="185"/>
      <c r="DS5" s="184"/>
      <c r="DT5" s="185"/>
      <c r="DU5" s="184"/>
      <c r="DV5" s="185"/>
    </row>
    <row r="6" spans="1:126" x14ac:dyDescent="0.2">
      <c r="A6" s="183" t="s">
        <v>18</v>
      </c>
      <c r="B6" s="183" t="s">
        <v>20</v>
      </c>
      <c r="C6" s="184">
        <f t="shared" si="0"/>
        <v>0</v>
      </c>
      <c r="D6" s="185">
        <f t="shared" si="0"/>
        <v>0</v>
      </c>
      <c r="E6" s="184">
        <f t="shared" si="1"/>
        <v>0</v>
      </c>
      <c r="F6" s="185">
        <f t="shared" si="2"/>
        <v>0</v>
      </c>
      <c r="G6" s="184">
        <f t="shared" si="3"/>
        <v>0</v>
      </c>
      <c r="H6" s="185">
        <f t="shared" si="3"/>
        <v>0</v>
      </c>
      <c r="I6" s="184"/>
      <c r="J6" s="185"/>
      <c r="K6" s="184"/>
      <c r="L6" s="185"/>
      <c r="M6" s="184"/>
      <c r="N6" s="185"/>
      <c r="O6" s="184"/>
      <c r="P6" s="185"/>
      <c r="Q6" s="184"/>
      <c r="R6" s="185"/>
      <c r="S6" s="184"/>
      <c r="T6" s="185"/>
      <c r="U6" s="184"/>
      <c r="V6" s="185"/>
      <c r="W6" s="184"/>
      <c r="X6" s="185"/>
      <c r="Y6" s="184"/>
      <c r="Z6" s="185"/>
      <c r="AA6" s="184"/>
      <c r="AB6" s="185"/>
      <c r="AC6" s="184"/>
      <c r="AD6" s="185"/>
      <c r="AE6" s="184"/>
      <c r="AF6" s="185"/>
      <c r="AG6" s="184"/>
      <c r="AH6" s="185"/>
      <c r="AI6" s="184"/>
      <c r="AJ6" s="185"/>
      <c r="AK6" s="184"/>
      <c r="AL6" s="185"/>
      <c r="AM6" s="184"/>
      <c r="AN6" s="185"/>
      <c r="AO6" s="184"/>
      <c r="AP6" s="185"/>
      <c r="AQ6" s="184"/>
      <c r="AR6" s="185"/>
      <c r="AS6" s="184"/>
      <c r="AT6" s="185"/>
      <c r="AU6" s="184"/>
      <c r="AV6" s="185"/>
      <c r="AW6" s="184"/>
      <c r="AX6" s="185"/>
      <c r="AY6" s="184"/>
      <c r="AZ6" s="185"/>
      <c r="BA6" s="184"/>
      <c r="BB6" s="185"/>
      <c r="BC6" s="184"/>
      <c r="BD6" s="185"/>
      <c r="BE6" s="184"/>
      <c r="BF6" s="185"/>
      <c r="BG6" s="184"/>
      <c r="BH6" s="185"/>
      <c r="BI6" s="184"/>
      <c r="BJ6" s="185"/>
      <c r="BK6" s="184"/>
      <c r="BL6" s="185"/>
      <c r="BM6" s="184"/>
      <c r="BN6" s="185"/>
      <c r="BO6" s="184"/>
      <c r="BP6" s="185"/>
      <c r="BQ6" s="184"/>
      <c r="BR6" s="185"/>
      <c r="BS6" s="184"/>
      <c r="BT6" s="185"/>
      <c r="BU6" s="184"/>
      <c r="BV6" s="185"/>
      <c r="BW6" s="184"/>
      <c r="BX6" s="185"/>
      <c r="BY6" s="184"/>
      <c r="BZ6" s="185"/>
      <c r="CA6" s="184"/>
      <c r="CB6" s="185"/>
      <c r="CC6" s="184"/>
      <c r="CD6" s="185"/>
      <c r="CE6" s="184"/>
      <c r="CF6" s="185"/>
      <c r="CG6" s="184"/>
      <c r="CH6" s="185"/>
      <c r="CI6" s="184"/>
      <c r="CJ6" s="185"/>
      <c r="CK6" s="184"/>
      <c r="CL6" s="185"/>
      <c r="CM6" s="184"/>
      <c r="CN6" s="185"/>
      <c r="CO6" s="184"/>
      <c r="CP6" s="185"/>
      <c r="CQ6" s="184"/>
      <c r="CR6" s="185"/>
      <c r="CS6" s="184"/>
      <c r="CT6" s="185"/>
      <c r="CU6" s="184"/>
      <c r="CV6" s="185"/>
      <c r="CW6" s="184"/>
      <c r="CX6" s="185"/>
      <c r="CY6" s="184"/>
      <c r="CZ6" s="185"/>
      <c r="DA6" s="184"/>
      <c r="DB6" s="185"/>
      <c r="DC6" s="184"/>
      <c r="DD6" s="185"/>
      <c r="DE6" s="184"/>
      <c r="DF6" s="185"/>
      <c r="DG6" s="184"/>
      <c r="DH6" s="185"/>
      <c r="DI6" s="184"/>
      <c r="DJ6" s="185"/>
      <c r="DK6" s="184"/>
      <c r="DL6" s="185"/>
      <c r="DM6" s="184"/>
      <c r="DN6" s="185"/>
      <c r="DO6" s="184"/>
      <c r="DP6" s="185"/>
      <c r="DQ6" s="184"/>
      <c r="DR6" s="185"/>
      <c r="DS6" s="184"/>
      <c r="DT6" s="185"/>
      <c r="DU6" s="184"/>
      <c r="DV6" s="185"/>
    </row>
    <row r="7" spans="1:126" x14ac:dyDescent="0.2">
      <c r="A7" s="183" t="s">
        <v>21</v>
      </c>
      <c r="B7" s="183" t="s">
        <v>23</v>
      </c>
      <c r="C7" s="184">
        <f t="shared" si="0"/>
        <v>0</v>
      </c>
      <c r="D7" s="185">
        <f t="shared" si="0"/>
        <v>524</v>
      </c>
      <c r="E7" s="184">
        <f t="shared" si="1"/>
        <v>0</v>
      </c>
      <c r="F7" s="185">
        <f t="shared" si="2"/>
        <v>524</v>
      </c>
      <c r="G7" s="184">
        <f t="shared" si="3"/>
        <v>0</v>
      </c>
      <c r="H7" s="185">
        <f t="shared" si="3"/>
        <v>0</v>
      </c>
      <c r="I7" s="184"/>
      <c r="J7" s="185"/>
      <c r="K7" s="184"/>
      <c r="L7" s="185"/>
      <c r="M7" s="184"/>
      <c r="N7" s="185"/>
      <c r="O7" s="184"/>
      <c r="P7" s="185"/>
      <c r="Q7" s="184"/>
      <c r="R7" s="185">
        <v>524</v>
      </c>
      <c r="S7" s="184"/>
      <c r="T7" s="185"/>
      <c r="U7" s="184"/>
      <c r="V7" s="185"/>
      <c r="W7" s="184"/>
      <c r="X7" s="185"/>
      <c r="Y7" s="184"/>
      <c r="Z7" s="185"/>
      <c r="AA7" s="184"/>
      <c r="AB7" s="185"/>
      <c r="AC7" s="184"/>
      <c r="AD7" s="185"/>
      <c r="AE7" s="184"/>
      <c r="AF7" s="185"/>
      <c r="AG7" s="184"/>
      <c r="AH7" s="185"/>
      <c r="AI7" s="184"/>
      <c r="AJ7" s="185"/>
      <c r="AK7" s="184"/>
      <c r="AL7" s="185"/>
      <c r="AM7" s="184"/>
      <c r="AN7" s="185"/>
      <c r="AO7" s="184"/>
      <c r="AP7" s="185"/>
      <c r="AQ7" s="184"/>
      <c r="AR7" s="185"/>
      <c r="AS7" s="184"/>
      <c r="AT7" s="185"/>
      <c r="AU7" s="184"/>
      <c r="AV7" s="185"/>
      <c r="AW7" s="184"/>
      <c r="AX7" s="185"/>
      <c r="AY7" s="184"/>
      <c r="AZ7" s="185"/>
      <c r="BA7" s="184"/>
      <c r="BB7" s="185"/>
      <c r="BC7" s="184"/>
      <c r="BD7" s="185"/>
      <c r="BE7" s="184"/>
      <c r="BF7" s="185"/>
      <c r="BG7" s="184"/>
      <c r="BH7" s="185"/>
      <c r="BI7" s="184"/>
      <c r="BJ7" s="185"/>
      <c r="BK7" s="184"/>
      <c r="BL7" s="185"/>
      <c r="BM7" s="184"/>
      <c r="BN7" s="185"/>
      <c r="BO7" s="184"/>
      <c r="BP7" s="185"/>
      <c r="BQ7" s="184"/>
      <c r="BR7" s="185"/>
      <c r="BS7" s="184"/>
      <c r="BT7" s="185"/>
      <c r="BU7" s="184"/>
      <c r="BV7" s="185"/>
      <c r="BW7" s="184"/>
      <c r="BX7" s="185"/>
      <c r="BY7" s="184"/>
      <c r="BZ7" s="185"/>
      <c r="CA7" s="184"/>
      <c r="CB7" s="185"/>
      <c r="CC7" s="184"/>
      <c r="CD7" s="185"/>
      <c r="CE7" s="184"/>
      <c r="CF7" s="185"/>
      <c r="CG7" s="184"/>
      <c r="CH7" s="185"/>
      <c r="CI7" s="184"/>
      <c r="CJ7" s="185"/>
      <c r="CK7" s="184"/>
      <c r="CL7" s="185"/>
      <c r="CM7" s="184"/>
      <c r="CN7" s="185"/>
      <c r="CO7" s="184"/>
      <c r="CP7" s="185"/>
      <c r="CQ7" s="184"/>
      <c r="CR7" s="185"/>
      <c r="CS7" s="184"/>
      <c r="CT7" s="185"/>
      <c r="CU7" s="184"/>
      <c r="CV7" s="185"/>
      <c r="CW7" s="184"/>
      <c r="CX7" s="185"/>
      <c r="CY7" s="184"/>
      <c r="CZ7" s="185"/>
      <c r="DA7" s="184"/>
      <c r="DB7" s="185"/>
      <c r="DC7" s="184"/>
      <c r="DD7" s="185"/>
      <c r="DE7" s="184"/>
      <c r="DF7" s="185"/>
      <c r="DG7" s="184"/>
      <c r="DH7" s="185"/>
      <c r="DI7" s="184"/>
      <c r="DJ7" s="185"/>
      <c r="DK7" s="184"/>
      <c r="DL7" s="185"/>
      <c r="DM7" s="184"/>
      <c r="DN7" s="185"/>
      <c r="DO7" s="184"/>
      <c r="DP7" s="185"/>
      <c r="DQ7" s="184"/>
      <c r="DR7" s="185"/>
      <c r="DS7" s="184"/>
      <c r="DT7" s="185"/>
      <c r="DU7" s="184"/>
      <c r="DV7" s="185"/>
    </row>
    <row r="8" spans="1:126" x14ac:dyDescent="0.2">
      <c r="A8" s="183" t="s">
        <v>24</v>
      </c>
      <c r="B8" s="183" t="s">
        <v>26</v>
      </c>
      <c r="C8" s="184">
        <f t="shared" si="0"/>
        <v>672</v>
      </c>
      <c r="D8" s="185">
        <f t="shared" si="0"/>
        <v>672</v>
      </c>
      <c r="E8" s="184">
        <f t="shared" si="1"/>
        <v>672</v>
      </c>
      <c r="F8" s="185">
        <f t="shared" si="2"/>
        <v>672</v>
      </c>
      <c r="G8" s="184">
        <f t="shared" si="3"/>
        <v>0</v>
      </c>
      <c r="H8" s="185">
        <f t="shared" si="3"/>
        <v>0</v>
      </c>
      <c r="I8" s="184"/>
      <c r="J8" s="185"/>
      <c r="K8" s="184"/>
      <c r="L8" s="185"/>
      <c r="M8" s="184"/>
      <c r="N8" s="185"/>
      <c r="O8" s="184"/>
      <c r="P8" s="185"/>
      <c r="Q8" s="184">
        <v>672</v>
      </c>
      <c r="R8" s="185">
        <v>672</v>
      </c>
      <c r="S8" s="184"/>
      <c r="T8" s="185"/>
      <c r="U8" s="184"/>
      <c r="V8" s="185"/>
      <c r="W8" s="184"/>
      <c r="X8" s="185"/>
      <c r="Y8" s="184"/>
      <c r="Z8" s="185"/>
      <c r="AA8" s="184"/>
      <c r="AB8" s="185"/>
      <c r="AC8" s="184"/>
      <c r="AD8" s="185"/>
      <c r="AE8" s="184"/>
      <c r="AF8" s="185"/>
      <c r="AG8" s="184"/>
      <c r="AH8" s="185"/>
      <c r="AI8" s="184"/>
      <c r="AJ8" s="185"/>
      <c r="AK8" s="184"/>
      <c r="AL8" s="185"/>
      <c r="AM8" s="184"/>
      <c r="AN8" s="185"/>
      <c r="AO8" s="184"/>
      <c r="AP8" s="185"/>
      <c r="AQ8" s="184"/>
      <c r="AR8" s="185"/>
      <c r="AS8" s="184"/>
      <c r="AT8" s="185"/>
      <c r="AU8" s="184"/>
      <c r="AV8" s="185"/>
      <c r="AW8" s="184"/>
      <c r="AX8" s="185"/>
      <c r="AY8" s="184"/>
      <c r="AZ8" s="185"/>
      <c r="BA8" s="184"/>
      <c r="BB8" s="185"/>
      <c r="BC8" s="184"/>
      <c r="BD8" s="185"/>
      <c r="BE8" s="184"/>
      <c r="BF8" s="185"/>
      <c r="BG8" s="184"/>
      <c r="BH8" s="185"/>
      <c r="BI8" s="184"/>
      <c r="BJ8" s="185"/>
      <c r="BK8" s="184"/>
      <c r="BL8" s="185"/>
      <c r="BM8" s="184"/>
      <c r="BN8" s="185"/>
      <c r="BO8" s="184"/>
      <c r="BP8" s="185"/>
      <c r="BQ8" s="184"/>
      <c r="BR8" s="185"/>
      <c r="BS8" s="184"/>
      <c r="BT8" s="185"/>
      <c r="BU8" s="184"/>
      <c r="BV8" s="185"/>
      <c r="BW8" s="184"/>
      <c r="BX8" s="185"/>
      <c r="BY8" s="184"/>
      <c r="BZ8" s="185"/>
      <c r="CA8" s="184"/>
      <c r="CB8" s="185"/>
      <c r="CC8" s="184"/>
      <c r="CD8" s="185"/>
      <c r="CE8" s="184"/>
      <c r="CF8" s="185"/>
      <c r="CG8" s="184"/>
      <c r="CH8" s="185"/>
      <c r="CI8" s="184"/>
      <c r="CJ8" s="185"/>
      <c r="CK8" s="184"/>
      <c r="CL8" s="185"/>
      <c r="CM8" s="184"/>
      <c r="CN8" s="185"/>
      <c r="CO8" s="184"/>
      <c r="CP8" s="185"/>
      <c r="CQ8" s="184"/>
      <c r="CR8" s="185"/>
      <c r="CS8" s="184"/>
      <c r="CT8" s="185"/>
      <c r="CU8" s="184"/>
      <c r="CV8" s="185"/>
      <c r="CW8" s="184"/>
      <c r="CX8" s="185"/>
      <c r="CY8" s="184"/>
      <c r="CZ8" s="185"/>
      <c r="DA8" s="184"/>
      <c r="DB8" s="185"/>
      <c r="DC8" s="184"/>
      <c r="DD8" s="185"/>
      <c r="DE8" s="184"/>
      <c r="DF8" s="185"/>
      <c r="DG8" s="184"/>
      <c r="DH8" s="185"/>
      <c r="DI8" s="184"/>
      <c r="DJ8" s="185"/>
      <c r="DK8" s="184"/>
      <c r="DL8" s="185"/>
      <c r="DM8" s="184"/>
      <c r="DN8" s="185"/>
      <c r="DO8" s="184"/>
      <c r="DP8" s="185"/>
      <c r="DQ8" s="184"/>
      <c r="DR8" s="185"/>
      <c r="DS8" s="184"/>
      <c r="DT8" s="185"/>
      <c r="DU8" s="184"/>
      <c r="DV8" s="185"/>
    </row>
    <row r="9" spans="1:126" x14ac:dyDescent="0.2">
      <c r="A9" s="183" t="s">
        <v>27</v>
      </c>
      <c r="B9" s="183" t="s">
        <v>29</v>
      </c>
      <c r="C9" s="184">
        <f t="shared" si="0"/>
        <v>0</v>
      </c>
      <c r="D9" s="185">
        <f t="shared" si="0"/>
        <v>0</v>
      </c>
      <c r="E9" s="184">
        <f t="shared" si="1"/>
        <v>0</v>
      </c>
      <c r="F9" s="185">
        <f t="shared" si="2"/>
        <v>0</v>
      </c>
      <c r="G9" s="184">
        <f t="shared" si="3"/>
        <v>0</v>
      </c>
      <c r="H9" s="185">
        <f t="shared" si="3"/>
        <v>0</v>
      </c>
      <c r="I9" s="184"/>
      <c r="J9" s="185"/>
      <c r="K9" s="184"/>
      <c r="L9" s="185"/>
      <c r="M9" s="184"/>
      <c r="N9" s="185"/>
      <c r="O9" s="184"/>
      <c r="P9" s="185"/>
      <c r="Q9" s="184"/>
      <c r="R9" s="185"/>
      <c r="S9" s="184"/>
      <c r="T9" s="185"/>
      <c r="U9" s="184"/>
      <c r="V9" s="185"/>
      <c r="W9" s="184"/>
      <c r="X9" s="185"/>
      <c r="Y9" s="184"/>
      <c r="Z9" s="185"/>
      <c r="AA9" s="184"/>
      <c r="AB9" s="185"/>
      <c r="AC9" s="184"/>
      <c r="AD9" s="185"/>
      <c r="AE9" s="184"/>
      <c r="AF9" s="185"/>
      <c r="AG9" s="184"/>
      <c r="AH9" s="185"/>
      <c r="AI9" s="184"/>
      <c r="AJ9" s="185"/>
      <c r="AK9" s="184"/>
      <c r="AL9" s="185"/>
      <c r="AM9" s="184"/>
      <c r="AN9" s="185"/>
      <c r="AO9" s="184"/>
      <c r="AP9" s="185"/>
      <c r="AQ9" s="184"/>
      <c r="AR9" s="185"/>
      <c r="AS9" s="184"/>
      <c r="AT9" s="185"/>
      <c r="AU9" s="184"/>
      <c r="AV9" s="185"/>
      <c r="AW9" s="184"/>
      <c r="AX9" s="185"/>
      <c r="AY9" s="184"/>
      <c r="AZ9" s="185"/>
      <c r="BA9" s="184"/>
      <c r="BB9" s="185"/>
      <c r="BC9" s="184"/>
      <c r="BD9" s="185"/>
      <c r="BE9" s="184"/>
      <c r="BF9" s="185"/>
      <c r="BG9" s="184"/>
      <c r="BH9" s="185"/>
      <c r="BI9" s="184"/>
      <c r="BJ9" s="185"/>
      <c r="BK9" s="184"/>
      <c r="BL9" s="185"/>
      <c r="BM9" s="184"/>
      <c r="BN9" s="185"/>
      <c r="BO9" s="184"/>
      <c r="BP9" s="185"/>
      <c r="BQ9" s="184"/>
      <c r="BR9" s="185"/>
      <c r="BS9" s="184"/>
      <c r="BT9" s="185"/>
      <c r="BU9" s="184"/>
      <c r="BV9" s="185"/>
      <c r="BW9" s="184"/>
      <c r="BX9" s="185"/>
      <c r="BY9" s="184"/>
      <c r="BZ9" s="185"/>
      <c r="CA9" s="184"/>
      <c r="CB9" s="185"/>
      <c r="CC9" s="184"/>
      <c r="CD9" s="185"/>
      <c r="CE9" s="184"/>
      <c r="CF9" s="185"/>
      <c r="CG9" s="184"/>
      <c r="CH9" s="185"/>
      <c r="CI9" s="184"/>
      <c r="CJ9" s="185"/>
      <c r="CK9" s="184"/>
      <c r="CL9" s="185"/>
      <c r="CM9" s="184"/>
      <c r="CN9" s="185"/>
      <c r="CO9" s="184"/>
      <c r="CP9" s="185"/>
      <c r="CQ9" s="184"/>
      <c r="CR9" s="185"/>
      <c r="CS9" s="184"/>
      <c r="CT9" s="185"/>
      <c r="CU9" s="184"/>
      <c r="CV9" s="185"/>
      <c r="CW9" s="184"/>
      <c r="CX9" s="185"/>
      <c r="CY9" s="184"/>
      <c r="CZ9" s="185"/>
      <c r="DA9" s="184"/>
      <c r="DB9" s="185"/>
      <c r="DC9" s="184"/>
      <c r="DD9" s="185"/>
      <c r="DE9" s="184"/>
      <c r="DF9" s="185"/>
      <c r="DG9" s="184"/>
      <c r="DH9" s="185"/>
      <c r="DI9" s="184"/>
      <c r="DJ9" s="185"/>
      <c r="DK9" s="184"/>
      <c r="DL9" s="185"/>
      <c r="DM9" s="184"/>
      <c r="DN9" s="185"/>
      <c r="DO9" s="184"/>
      <c r="DP9" s="185"/>
      <c r="DQ9" s="184"/>
      <c r="DR9" s="185"/>
      <c r="DS9" s="184"/>
      <c r="DT9" s="185"/>
      <c r="DU9" s="184"/>
      <c r="DV9" s="185"/>
    </row>
    <row r="10" spans="1:126" x14ac:dyDescent="0.2">
      <c r="A10" s="183" t="s">
        <v>30</v>
      </c>
      <c r="B10" s="183" t="s">
        <v>32</v>
      </c>
      <c r="C10" s="184">
        <f t="shared" si="0"/>
        <v>350</v>
      </c>
      <c r="D10" s="185">
        <f t="shared" si="0"/>
        <v>350</v>
      </c>
      <c r="E10" s="184">
        <f t="shared" si="1"/>
        <v>350</v>
      </c>
      <c r="F10" s="185">
        <f t="shared" si="2"/>
        <v>350</v>
      </c>
      <c r="G10" s="184">
        <f t="shared" si="3"/>
        <v>0</v>
      </c>
      <c r="H10" s="185">
        <f t="shared" si="3"/>
        <v>0</v>
      </c>
      <c r="I10" s="184"/>
      <c r="J10" s="185"/>
      <c r="K10" s="184"/>
      <c r="L10" s="185"/>
      <c r="M10" s="184"/>
      <c r="N10" s="185"/>
      <c r="O10" s="184"/>
      <c r="P10" s="185"/>
      <c r="Q10" s="184">
        <v>350</v>
      </c>
      <c r="R10" s="185">
        <v>350</v>
      </c>
      <c r="S10" s="184"/>
      <c r="T10" s="185"/>
      <c r="U10" s="184"/>
      <c r="V10" s="185"/>
      <c r="W10" s="184"/>
      <c r="X10" s="185"/>
      <c r="Y10" s="184"/>
      <c r="Z10" s="185"/>
      <c r="AA10" s="184"/>
      <c r="AB10" s="185"/>
      <c r="AC10" s="184"/>
      <c r="AD10" s="185"/>
      <c r="AE10" s="184"/>
      <c r="AF10" s="185"/>
      <c r="AG10" s="184"/>
      <c r="AH10" s="185"/>
      <c r="AI10" s="184"/>
      <c r="AJ10" s="185"/>
      <c r="AK10" s="184"/>
      <c r="AL10" s="185"/>
      <c r="AM10" s="184"/>
      <c r="AN10" s="185"/>
      <c r="AO10" s="184"/>
      <c r="AP10" s="185"/>
      <c r="AQ10" s="184"/>
      <c r="AR10" s="185"/>
      <c r="AS10" s="184"/>
      <c r="AT10" s="185"/>
      <c r="AU10" s="184"/>
      <c r="AV10" s="185"/>
      <c r="AW10" s="184"/>
      <c r="AX10" s="185"/>
      <c r="AY10" s="184"/>
      <c r="AZ10" s="185"/>
      <c r="BA10" s="184"/>
      <c r="BB10" s="185"/>
      <c r="BC10" s="184"/>
      <c r="BD10" s="185"/>
      <c r="BE10" s="184"/>
      <c r="BF10" s="185"/>
      <c r="BG10" s="184"/>
      <c r="BH10" s="185"/>
      <c r="BI10" s="184"/>
      <c r="BJ10" s="185"/>
      <c r="BK10" s="184"/>
      <c r="BL10" s="185"/>
      <c r="BM10" s="184"/>
      <c r="BN10" s="185"/>
      <c r="BO10" s="184"/>
      <c r="BP10" s="185"/>
      <c r="BQ10" s="184"/>
      <c r="BR10" s="185"/>
      <c r="BS10" s="184"/>
      <c r="BT10" s="185"/>
      <c r="BU10" s="184"/>
      <c r="BV10" s="185"/>
      <c r="BW10" s="184"/>
      <c r="BX10" s="185"/>
      <c r="BY10" s="184"/>
      <c r="BZ10" s="185"/>
      <c r="CA10" s="184"/>
      <c r="CB10" s="185"/>
      <c r="CC10" s="184"/>
      <c r="CD10" s="185"/>
      <c r="CE10" s="184"/>
      <c r="CF10" s="185"/>
      <c r="CG10" s="184"/>
      <c r="CH10" s="185"/>
      <c r="CI10" s="184"/>
      <c r="CJ10" s="185"/>
      <c r="CK10" s="184"/>
      <c r="CL10" s="185"/>
      <c r="CM10" s="184"/>
      <c r="CN10" s="185"/>
      <c r="CO10" s="184"/>
      <c r="CP10" s="185"/>
      <c r="CQ10" s="184"/>
      <c r="CR10" s="185"/>
      <c r="CS10" s="184"/>
      <c r="CT10" s="185"/>
      <c r="CU10" s="184"/>
      <c r="CV10" s="185"/>
      <c r="CW10" s="184"/>
      <c r="CX10" s="185"/>
      <c r="CY10" s="184"/>
      <c r="CZ10" s="185"/>
      <c r="DA10" s="184"/>
      <c r="DB10" s="185"/>
      <c r="DC10" s="184"/>
      <c r="DD10" s="185"/>
      <c r="DE10" s="184"/>
      <c r="DF10" s="185"/>
      <c r="DG10" s="184"/>
      <c r="DH10" s="185"/>
      <c r="DI10" s="184"/>
      <c r="DJ10" s="185"/>
      <c r="DK10" s="184"/>
      <c r="DL10" s="185"/>
      <c r="DM10" s="184"/>
      <c r="DN10" s="185"/>
      <c r="DO10" s="184"/>
      <c r="DP10" s="185"/>
      <c r="DQ10" s="184"/>
      <c r="DR10" s="185"/>
      <c r="DS10" s="184"/>
      <c r="DT10" s="185"/>
      <c r="DU10" s="184"/>
      <c r="DV10" s="185"/>
    </row>
    <row r="11" spans="1:126" x14ac:dyDescent="0.2">
      <c r="A11" s="183" t="s">
        <v>33</v>
      </c>
      <c r="B11" s="183" t="s">
        <v>35</v>
      </c>
      <c r="C11" s="184">
        <f t="shared" si="0"/>
        <v>0</v>
      </c>
      <c r="D11" s="185">
        <f t="shared" si="0"/>
        <v>144</v>
      </c>
      <c r="E11" s="184">
        <f t="shared" si="1"/>
        <v>0</v>
      </c>
      <c r="F11" s="185">
        <f t="shared" si="2"/>
        <v>144</v>
      </c>
      <c r="G11" s="184">
        <f t="shared" si="3"/>
        <v>0</v>
      </c>
      <c r="H11" s="185">
        <f t="shared" si="3"/>
        <v>0</v>
      </c>
      <c r="I11" s="184"/>
      <c r="J11" s="185"/>
      <c r="K11" s="184"/>
      <c r="L11" s="185"/>
      <c r="M11" s="184"/>
      <c r="N11" s="185"/>
      <c r="O11" s="184"/>
      <c r="P11" s="185"/>
      <c r="Q11" s="184"/>
      <c r="R11" s="185">
        <v>84</v>
      </c>
      <c r="S11" s="184"/>
      <c r="T11" s="185"/>
      <c r="U11" s="184"/>
      <c r="V11" s="185"/>
      <c r="W11" s="184"/>
      <c r="X11" s="185"/>
      <c r="Y11" s="184"/>
      <c r="Z11" s="185"/>
      <c r="AA11" s="184"/>
      <c r="AB11" s="185"/>
      <c r="AC11" s="184"/>
      <c r="AD11" s="185"/>
      <c r="AE11" s="184"/>
      <c r="AF11" s="185">
        <v>60</v>
      </c>
      <c r="AG11" s="184"/>
      <c r="AH11" s="185"/>
      <c r="AI11" s="184"/>
      <c r="AJ11" s="185"/>
      <c r="AK11" s="184"/>
      <c r="AL11" s="185"/>
      <c r="AM11" s="184"/>
      <c r="AN11" s="185"/>
      <c r="AO11" s="184"/>
      <c r="AP11" s="185"/>
      <c r="AQ11" s="184"/>
      <c r="AR11" s="185"/>
      <c r="AS11" s="184"/>
      <c r="AT11" s="185"/>
      <c r="AU11" s="184"/>
      <c r="AV11" s="185"/>
      <c r="AW11" s="184"/>
      <c r="AX11" s="185"/>
      <c r="AY11" s="184"/>
      <c r="AZ11" s="185"/>
      <c r="BA11" s="184"/>
      <c r="BB11" s="185"/>
      <c r="BC11" s="184"/>
      <c r="BD11" s="185"/>
      <c r="BE11" s="184"/>
      <c r="BF11" s="185"/>
      <c r="BG11" s="184"/>
      <c r="BH11" s="185"/>
      <c r="BI11" s="184"/>
      <c r="BJ11" s="185"/>
      <c r="BK11" s="184"/>
      <c r="BL11" s="185"/>
      <c r="BM11" s="184"/>
      <c r="BN11" s="185"/>
      <c r="BO11" s="184"/>
      <c r="BP11" s="185"/>
      <c r="BQ11" s="184"/>
      <c r="BR11" s="185"/>
      <c r="BS11" s="184"/>
      <c r="BT11" s="185"/>
      <c r="BU11" s="184"/>
      <c r="BV11" s="185"/>
      <c r="BW11" s="184"/>
      <c r="BX11" s="185"/>
      <c r="BY11" s="184"/>
      <c r="BZ11" s="185"/>
      <c r="CA11" s="184"/>
      <c r="CB11" s="185"/>
      <c r="CC11" s="184"/>
      <c r="CD11" s="185"/>
      <c r="CE11" s="184"/>
      <c r="CF11" s="185"/>
      <c r="CG11" s="184"/>
      <c r="CH11" s="185"/>
      <c r="CI11" s="184"/>
      <c r="CJ11" s="185"/>
      <c r="CK11" s="184"/>
      <c r="CL11" s="185"/>
      <c r="CM11" s="184"/>
      <c r="CN11" s="185"/>
      <c r="CO11" s="184"/>
      <c r="CP11" s="185"/>
      <c r="CQ11" s="184"/>
      <c r="CR11" s="185"/>
      <c r="CS11" s="184"/>
      <c r="CT11" s="185"/>
      <c r="CU11" s="184"/>
      <c r="CV11" s="185"/>
      <c r="CW11" s="184"/>
      <c r="CX11" s="185"/>
      <c r="CY11" s="184"/>
      <c r="CZ11" s="185"/>
      <c r="DA11" s="184"/>
      <c r="DB11" s="185"/>
      <c r="DC11" s="184"/>
      <c r="DD11" s="185"/>
      <c r="DE11" s="184"/>
      <c r="DF11" s="185"/>
      <c r="DG11" s="184"/>
      <c r="DH11" s="185"/>
      <c r="DI11" s="184"/>
      <c r="DJ11" s="185"/>
      <c r="DK11" s="184"/>
      <c r="DL11" s="185"/>
      <c r="DM11" s="184"/>
      <c r="DN11" s="185"/>
      <c r="DO11" s="184"/>
      <c r="DP11" s="185"/>
      <c r="DQ11" s="184"/>
      <c r="DR11" s="185"/>
      <c r="DS11" s="184"/>
      <c r="DT11" s="185"/>
      <c r="DU11" s="184"/>
      <c r="DV11" s="185"/>
    </row>
    <row r="12" spans="1:126" x14ac:dyDescent="0.2">
      <c r="A12" s="183" t="s">
        <v>36</v>
      </c>
      <c r="B12" s="183" t="s">
        <v>38</v>
      </c>
      <c r="C12" s="184">
        <f t="shared" si="0"/>
        <v>0</v>
      </c>
      <c r="D12" s="185">
        <f t="shared" si="0"/>
        <v>0</v>
      </c>
      <c r="E12" s="184">
        <f t="shared" si="1"/>
        <v>0</v>
      </c>
      <c r="F12" s="185">
        <f t="shared" si="2"/>
        <v>0</v>
      </c>
      <c r="G12" s="184">
        <f t="shared" si="3"/>
        <v>0</v>
      </c>
      <c r="H12" s="185">
        <f t="shared" si="3"/>
        <v>0</v>
      </c>
      <c r="I12" s="184"/>
      <c r="J12" s="185"/>
      <c r="K12" s="184"/>
      <c r="L12" s="185"/>
      <c r="M12" s="184"/>
      <c r="N12" s="185"/>
      <c r="O12" s="184"/>
      <c r="P12" s="185"/>
      <c r="Q12" s="184"/>
      <c r="R12" s="185"/>
      <c r="S12" s="184"/>
      <c r="T12" s="185"/>
      <c r="U12" s="184"/>
      <c r="V12" s="185"/>
      <c r="W12" s="184"/>
      <c r="X12" s="185"/>
      <c r="Y12" s="184"/>
      <c r="Z12" s="185"/>
      <c r="AA12" s="184"/>
      <c r="AB12" s="185"/>
      <c r="AC12" s="184"/>
      <c r="AD12" s="185"/>
      <c r="AE12" s="184"/>
      <c r="AF12" s="185"/>
      <c r="AG12" s="184"/>
      <c r="AH12" s="185"/>
      <c r="AI12" s="184"/>
      <c r="AJ12" s="185"/>
      <c r="AK12" s="184"/>
      <c r="AL12" s="185"/>
      <c r="AM12" s="184"/>
      <c r="AN12" s="185"/>
      <c r="AO12" s="184"/>
      <c r="AP12" s="185"/>
      <c r="AQ12" s="184"/>
      <c r="AR12" s="185"/>
      <c r="AS12" s="184"/>
      <c r="AT12" s="185"/>
      <c r="AU12" s="184"/>
      <c r="AV12" s="185"/>
      <c r="AW12" s="184"/>
      <c r="AX12" s="185"/>
      <c r="AY12" s="184"/>
      <c r="AZ12" s="185"/>
      <c r="BA12" s="184"/>
      <c r="BB12" s="185"/>
      <c r="BC12" s="184"/>
      <c r="BD12" s="185"/>
      <c r="BE12" s="184"/>
      <c r="BF12" s="185"/>
      <c r="BG12" s="184"/>
      <c r="BH12" s="185"/>
      <c r="BI12" s="184"/>
      <c r="BJ12" s="185"/>
      <c r="BK12" s="184"/>
      <c r="BL12" s="185"/>
      <c r="BM12" s="184"/>
      <c r="BN12" s="185"/>
      <c r="BO12" s="184"/>
      <c r="BP12" s="185"/>
      <c r="BQ12" s="184"/>
      <c r="BR12" s="185"/>
      <c r="BS12" s="184"/>
      <c r="BT12" s="185"/>
      <c r="BU12" s="184"/>
      <c r="BV12" s="185"/>
      <c r="BW12" s="184"/>
      <c r="BX12" s="185"/>
      <c r="BY12" s="184"/>
      <c r="BZ12" s="185"/>
      <c r="CA12" s="184"/>
      <c r="CB12" s="185"/>
      <c r="CC12" s="184"/>
      <c r="CD12" s="185"/>
      <c r="CE12" s="184"/>
      <c r="CF12" s="185"/>
      <c r="CG12" s="184"/>
      <c r="CH12" s="185"/>
      <c r="CI12" s="184"/>
      <c r="CJ12" s="185"/>
      <c r="CK12" s="184"/>
      <c r="CL12" s="185"/>
      <c r="CM12" s="184"/>
      <c r="CN12" s="185"/>
      <c r="CO12" s="184"/>
      <c r="CP12" s="185"/>
      <c r="CQ12" s="184"/>
      <c r="CR12" s="185"/>
      <c r="CS12" s="184"/>
      <c r="CT12" s="185"/>
      <c r="CU12" s="184"/>
      <c r="CV12" s="185"/>
      <c r="CW12" s="184"/>
      <c r="CX12" s="185"/>
      <c r="CY12" s="184"/>
      <c r="CZ12" s="185"/>
      <c r="DA12" s="184"/>
      <c r="DB12" s="185"/>
      <c r="DC12" s="184"/>
      <c r="DD12" s="185"/>
      <c r="DE12" s="184"/>
      <c r="DF12" s="185"/>
      <c r="DG12" s="184"/>
      <c r="DH12" s="185"/>
      <c r="DI12" s="184"/>
      <c r="DJ12" s="185"/>
      <c r="DK12" s="184"/>
      <c r="DL12" s="185"/>
      <c r="DM12" s="184"/>
      <c r="DN12" s="185"/>
      <c r="DO12" s="184"/>
      <c r="DP12" s="185"/>
      <c r="DQ12" s="184"/>
      <c r="DR12" s="185"/>
      <c r="DS12" s="184"/>
      <c r="DT12" s="185"/>
      <c r="DU12" s="184"/>
      <c r="DV12" s="185"/>
    </row>
    <row r="13" spans="1:126" x14ac:dyDescent="0.2">
      <c r="A13" s="183" t="s">
        <v>39</v>
      </c>
      <c r="B13" s="183" t="s">
        <v>41</v>
      </c>
      <c r="C13" s="184">
        <f t="shared" si="0"/>
        <v>0</v>
      </c>
      <c r="D13" s="185">
        <f t="shared" si="0"/>
        <v>0</v>
      </c>
      <c r="E13" s="184">
        <f t="shared" si="1"/>
        <v>0</v>
      </c>
      <c r="F13" s="185">
        <f t="shared" si="2"/>
        <v>0</v>
      </c>
      <c r="G13" s="184">
        <f t="shared" si="3"/>
        <v>0</v>
      </c>
      <c r="H13" s="185">
        <f t="shared" si="3"/>
        <v>0</v>
      </c>
      <c r="I13" s="184"/>
      <c r="J13" s="185"/>
      <c r="K13" s="184"/>
      <c r="L13" s="185"/>
      <c r="M13" s="184"/>
      <c r="N13" s="185"/>
      <c r="O13" s="184"/>
      <c r="P13" s="185"/>
      <c r="Q13" s="184"/>
      <c r="R13" s="185"/>
      <c r="S13" s="184"/>
      <c r="T13" s="185"/>
      <c r="U13" s="184"/>
      <c r="V13" s="185"/>
      <c r="W13" s="184"/>
      <c r="X13" s="185"/>
      <c r="Y13" s="184"/>
      <c r="Z13" s="185"/>
      <c r="AA13" s="184"/>
      <c r="AB13" s="185"/>
      <c r="AC13" s="184"/>
      <c r="AD13" s="185"/>
      <c r="AE13" s="184"/>
      <c r="AF13" s="185"/>
      <c r="AG13" s="184"/>
      <c r="AH13" s="185"/>
      <c r="AI13" s="184"/>
      <c r="AJ13" s="185"/>
      <c r="AK13" s="184"/>
      <c r="AL13" s="185"/>
      <c r="AM13" s="184"/>
      <c r="AN13" s="185"/>
      <c r="AO13" s="184"/>
      <c r="AP13" s="185"/>
      <c r="AQ13" s="184"/>
      <c r="AR13" s="185"/>
      <c r="AS13" s="184"/>
      <c r="AT13" s="185"/>
      <c r="AU13" s="184"/>
      <c r="AV13" s="185"/>
      <c r="AW13" s="184"/>
      <c r="AX13" s="185"/>
      <c r="AY13" s="184"/>
      <c r="AZ13" s="185"/>
      <c r="BA13" s="184"/>
      <c r="BB13" s="185"/>
      <c r="BC13" s="184"/>
      <c r="BD13" s="185"/>
      <c r="BE13" s="184"/>
      <c r="BF13" s="185"/>
      <c r="BG13" s="184"/>
      <c r="BH13" s="185"/>
      <c r="BI13" s="184"/>
      <c r="BJ13" s="185"/>
      <c r="BK13" s="184"/>
      <c r="BL13" s="185"/>
      <c r="BM13" s="184"/>
      <c r="BN13" s="185"/>
      <c r="BO13" s="184"/>
      <c r="BP13" s="185"/>
      <c r="BQ13" s="184"/>
      <c r="BR13" s="185"/>
      <c r="BS13" s="184"/>
      <c r="BT13" s="185"/>
      <c r="BU13" s="184"/>
      <c r="BV13" s="185"/>
      <c r="BW13" s="184"/>
      <c r="BX13" s="185"/>
      <c r="BY13" s="184"/>
      <c r="BZ13" s="185"/>
      <c r="CA13" s="184"/>
      <c r="CB13" s="185"/>
      <c r="CC13" s="184"/>
      <c r="CD13" s="185"/>
      <c r="CE13" s="184"/>
      <c r="CF13" s="185"/>
      <c r="CG13" s="184"/>
      <c r="CH13" s="185"/>
      <c r="CI13" s="184"/>
      <c r="CJ13" s="185"/>
      <c r="CK13" s="184"/>
      <c r="CL13" s="185"/>
      <c r="CM13" s="184"/>
      <c r="CN13" s="185"/>
      <c r="CO13" s="184"/>
      <c r="CP13" s="185"/>
      <c r="CQ13" s="184"/>
      <c r="CR13" s="185"/>
      <c r="CS13" s="184"/>
      <c r="CT13" s="185"/>
      <c r="CU13" s="184"/>
      <c r="CV13" s="185"/>
      <c r="CW13" s="184"/>
      <c r="CX13" s="185"/>
      <c r="CY13" s="184"/>
      <c r="CZ13" s="185"/>
      <c r="DA13" s="184"/>
      <c r="DB13" s="185"/>
      <c r="DC13" s="184"/>
      <c r="DD13" s="185"/>
      <c r="DE13" s="184"/>
      <c r="DF13" s="185"/>
      <c r="DG13" s="184"/>
      <c r="DH13" s="185"/>
      <c r="DI13" s="184"/>
      <c r="DJ13" s="185"/>
      <c r="DK13" s="184"/>
      <c r="DL13" s="185"/>
      <c r="DM13" s="184"/>
      <c r="DN13" s="185"/>
      <c r="DO13" s="184"/>
      <c r="DP13" s="185"/>
      <c r="DQ13" s="184"/>
      <c r="DR13" s="185"/>
      <c r="DS13" s="184"/>
      <c r="DT13" s="185"/>
      <c r="DU13" s="184"/>
      <c r="DV13" s="185"/>
    </row>
    <row r="14" spans="1:126" x14ac:dyDescent="0.2">
      <c r="A14" s="183" t="s">
        <v>42</v>
      </c>
      <c r="B14" s="183" t="s">
        <v>880</v>
      </c>
      <c r="C14" s="184">
        <f>E14+G14+I14</f>
        <v>15643</v>
      </c>
      <c r="D14" s="185">
        <f t="shared" si="0"/>
        <v>23414</v>
      </c>
      <c r="E14" s="184">
        <f t="shared" si="1"/>
        <v>100</v>
      </c>
      <c r="F14" s="185">
        <f t="shared" si="2"/>
        <v>100</v>
      </c>
      <c r="G14" s="184">
        <f t="shared" si="3"/>
        <v>15543</v>
      </c>
      <c r="H14" s="185">
        <f t="shared" si="3"/>
        <v>23314</v>
      </c>
      <c r="I14" s="184"/>
      <c r="J14" s="185"/>
      <c r="K14" s="184"/>
      <c r="L14" s="185"/>
      <c r="M14" s="184"/>
      <c r="N14" s="185"/>
      <c r="O14" s="184"/>
      <c r="P14" s="185"/>
      <c r="Q14" s="184">
        <v>100</v>
      </c>
      <c r="R14" s="185">
        <v>100</v>
      </c>
      <c r="S14" s="184"/>
      <c r="T14" s="185"/>
      <c r="U14" s="184"/>
      <c r="V14" s="185"/>
      <c r="W14" s="184"/>
      <c r="X14" s="185"/>
      <c r="Y14" s="184"/>
      <c r="Z14" s="185"/>
      <c r="AA14" s="184"/>
      <c r="AB14" s="185"/>
      <c r="AC14" s="184"/>
      <c r="AD14" s="185"/>
      <c r="AE14" s="184"/>
      <c r="AF14" s="185"/>
      <c r="AG14" s="184"/>
      <c r="AH14" s="185"/>
      <c r="AI14" s="184"/>
      <c r="AJ14" s="185"/>
      <c r="AK14" s="184"/>
      <c r="AL14" s="185"/>
      <c r="AM14" s="184"/>
      <c r="AN14" s="185"/>
      <c r="AO14" s="184"/>
      <c r="AP14" s="185"/>
      <c r="AQ14" s="184"/>
      <c r="AR14" s="185"/>
      <c r="AS14" s="184"/>
      <c r="AT14" s="185"/>
      <c r="AU14" s="184"/>
      <c r="AV14" s="185"/>
      <c r="AW14" s="184"/>
      <c r="AX14" s="185"/>
      <c r="AY14" s="184"/>
      <c r="AZ14" s="185"/>
      <c r="BA14" s="184"/>
      <c r="BB14" s="185"/>
      <c r="BC14" s="184"/>
      <c r="BD14" s="185"/>
      <c r="BE14" s="184"/>
      <c r="BF14" s="185"/>
      <c r="BG14" s="184"/>
      <c r="BH14" s="185"/>
      <c r="BI14" s="184"/>
      <c r="BJ14" s="185"/>
      <c r="BK14" s="184"/>
      <c r="BL14" s="185"/>
      <c r="BM14" s="184"/>
      <c r="BN14" s="185"/>
      <c r="BO14" s="184"/>
      <c r="BP14" s="185"/>
      <c r="BQ14" s="184"/>
      <c r="BR14" s="185"/>
      <c r="BS14" s="184"/>
      <c r="BT14" s="185"/>
      <c r="BU14" s="184"/>
      <c r="BV14" s="185"/>
      <c r="BW14" s="184"/>
      <c r="BX14" s="185"/>
      <c r="BY14" s="184"/>
      <c r="BZ14" s="185"/>
      <c r="CA14" s="184"/>
      <c r="CB14" s="185"/>
      <c r="CC14" s="184"/>
      <c r="CD14" s="185"/>
      <c r="CE14" s="184"/>
      <c r="CF14" s="185"/>
      <c r="CG14" s="184"/>
      <c r="CH14" s="185"/>
      <c r="CI14" s="184"/>
      <c r="CJ14" s="185"/>
      <c r="CK14" s="184"/>
      <c r="CL14" s="185"/>
      <c r="CM14" s="184"/>
      <c r="CN14" s="185"/>
      <c r="CO14" s="184"/>
      <c r="CP14" s="185"/>
      <c r="CQ14" s="184"/>
      <c r="CR14" s="185"/>
      <c r="CS14" s="184"/>
      <c r="CT14" s="185"/>
      <c r="CU14" s="184"/>
      <c r="CV14" s="185"/>
      <c r="CW14" s="184"/>
      <c r="CX14" s="185"/>
      <c r="CY14" s="184"/>
      <c r="CZ14" s="185"/>
      <c r="DA14" s="184"/>
      <c r="DB14" s="185"/>
      <c r="DC14" s="184"/>
      <c r="DD14" s="185"/>
      <c r="DE14" s="184"/>
      <c r="DF14" s="185"/>
      <c r="DG14" s="184"/>
      <c r="DH14" s="185"/>
      <c r="DI14" s="184"/>
      <c r="DJ14" s="185"/>
      <c r="DK14" s="184"/>
      <c r="DL14" s="185"/>
      <c r="DM14" s="184"/>
      <c r="DN14" s="185"/>
      <c r="DO14" s="184"/>
      <c r="DP14" s="185"/>
      <c r="DQ14" s="184"/>
      <c r="DR14" s="185"/>
      <c r="DS14" s="184">
        <v>15543</v>
      </c>
      <c r="DT14" s="185">
        <v>23314</v>
      </c>
      <c r="DU14" s="184"/>
      <c r="DV14" s="185"/>
    </row>
    <row r="15" spans="1:126" x14ac:dyDescent="0.2">
      <c r="A15" s="183" t="s">
        <v>48</v>
      </c>
      <c r="B15" s="183" t="s">
        <v>50</v>
      </c>
      <c r="C15" s="184">
        <f>E15+G15+I15</f>
        <v>0</v>
      </c>
      <c r="D15" s="185">
        <f t="shared" si="0"/>
        <v>44181</v>
      </c>
      <c r="E15" s="184">
        <f t="shared" si="1"/>
        <v>0</v>
      </c>
      <c r="F15" s="185">
        <f t="shared" si="2"/>
        <v>44181</v>
      </c>
      <c r="G15" s="184">
        <f t="shared" si="3"/>
        <v>0</v>
      </c>
      <c r="H15" s="185">
        <f t="shared" si="3"/>
        <v>0</v>
      </c>
      <c r="I15" s="184"/>
      <c r="J15" s="185"/>
      <c r="K15" s="184"/>
      <c r="L15" s="185"/>
      <c r="M15" s="184"/>
      <c r="N15" s="185"/>
      <c r="O15" s="184"/>
      <c r="P15" s="185"/>
      <c r="Q15" s="184"/>
      <c r="R15" s="185"/>
      <c r="S15" s="184"/>
      <c r="T15" s="185"/>
      <c r="U15" s="184"/>
      <c r="V15" s="185"/>
      <c r="W15" s="184"/>
      <c r="X15" s="185"/>
      <c r="Y15" s="184"/>
      <c r="Z15" s="185"/>
      <c r="AA15" s="184"/>
      <c r="AB15" s="185"/>
      <c r="AC15" s="184"/>
      <c r="AD15" s="185"/>
      <c r="AE15" s="184"/>
      <c r="AF15" s="185">
        <f>23776+6660+1696+6282+5767</f>
        <v>44181</v>
      </c>
      <c r="AG15" s="184"/>
      <c r="AH15" s="185"/>
      <c r="AI15" s="184"/>
      <c r="AJ15" s="185"/>
      <c r="AK15" s="184"/>
      <c r="AL15" s="185"/>
      <c r="AM15" s="184"/>
      <c r="AN15" s="185"/>
      <c r="AO15" s="184"/>
      <c r="AP15" s="185"/>
      <c r="AQ15" s="184"/>
      <c r="AR15" s="185"/>
      <c r="AS15" s="184"/>
      <c r="AT15" s="185"/>
      <c r="AU15" s="184"/>
      <c r="AV15" s="185"/>
      <c r="AW15" s="184"/>
      <c r="AX15" s="185"/>
      <c r="AY15" s="184"/>
      <c r="AZ15" s="185"/>
      <c r="BA15" s="184"/>
      <c r="BB15" s="185"/>
      <c r="BC15" s="184"/>
      <c r="BD15" s="185"/>
      <c r="BE15" s="184"/>
      <c r="BF15" s="185"/>
      <c r="BG15" s="184"/>
      <c r="BH15" s="185"/>
      <c r="BI15" s="184"/>
      <c r="BJ15" s="185"/>
      <c r="BK15" s="184"/>
      <c r="BL15" s="185"/>
      <c r="BM15" s="184"/>
      <c r="BN15" s="185"/>
      <c r="BO15" s="184"/>
      <c r="BP15" s="185"/>
      <c r="BQ15" s="184"/>
      <c r="BR15" s="185"/>
      <c r="BS15" s="184"/>
      <c r="BT15" s="185"/>
      <c r="BU15" s="184"/>
      <c r="BV15" s="185"/>
      <c r="BW15" s="184"/>
      <c r="BX15" s="185"/>
      <c r="BY15" s="184"/>
      <c r="BZ15" s="185"/>
      <c r="CA15" s="184"/>
      <c r="CB15" s="185"/>
      <c r="CC15" s="184"/>
      <c r="CD15" s="185"/>
      <c r="CE15" s="184"/>
      <c r="CF15" s="185"/>
      <c r="CG15" s="184"/>
      <c r="CH15" s="185"/>
      <c r="CI15" s="184"/>
      <c r="CJ15" s="185"/>
      <c r="CK15" s="184"/>
      <c r="CL15" s="185"/>
      <c r="CM15" s="184"/>
      <c r="CN15" s="185"/>
      <c r="CO15" s="184"/>
      <c r="CP15" s="185"/>
      <c r="CQ15" s="184"/>
      <c r="CR15" s="185"/>
      <c r="CS15" s="184"/>
      <c r="CT15" s="185"/>
      <c r="CU15" s="184"/>
      <c r="CV15" s="185"/>
      <c r="CW15" s="184"/>
      <c r="CX15" s="185"/>
      <c r="CY15" s="184"/>
      <c r="CZ15" s="185"/>
      <c r="DA15" s="184"/>
      <c r="DB15" s="185"/>
      <c r="DC15" s="184"/>
      <c r="DD15" s="185"/>
      <c r="DE15" s="184"/>
      <c r="DF15" s="185"/>
      <c r="DG15" s="184"/>
      <c r="DH15" s="185"/>
      <c r="DI15" s="184"/>
      <c r="DJ15" s="185"/>
      <c r="DK15" s="184"/>
      <c r="DL15" s="185"/>
      <c r="DM15" s="184"/>
      <c r="DN15" s="185"/>
      <c r="DO15" s="184"/>
      <c r="DP15" s="185"/>
      <c r="DQ15" s="184"/>
      <c r="DR15" s="185"/>
      <c r="DS15" s="184"/>
      <c r="DT15" s="185"/>
      <c r="DU15" s="184"/>
      <c r="DV15" s="185"/>
    </row>
    <row r="16" spans="1:126" x14ac:dyDescent="0.2">
      <c r="A16" s="183" t="s">
        <v>51</v>
      </c>
      <c r="B16" s="183" t="s">
        <v>881</v>
      </c>
      <c r="C16" s="184">
        <f>E16+G16+I16</f>
        <v>150</v>
      </c>
      <c r="D16" s="185">
        <f t="shared" si="0"/>
        <v>20000</v>
      </c>
      <c r="E16" s="184">
        <f t="shared" si="1"/>
        <v>150</v>
      </c>
      <c r="F16" s="185">
        <f t="shared" si="2"/>
        <v>20000</v>
      </c>
      <c r="G16" s="184">
        <f t="shared" si="3"/>
        <v>0</v>
      </c>
      <c r="H16" s="185">
        <f t="shared" si="3"/>
        <v>0</v>
      </c>
      <c r="I16" s="184"/>
      <c r="J16" s="185"/>
      <c r="K16" s="184"/>
      <c r="L16" s="185"/>
      <c r="M16" s="184"/>
      <c r="N16" s="185"/>
      <c r="O16" s="184"/>
      <c r="P16" s="185"/>
      <c r="Q16" s="184">
        <v>150</v>
      </c>
      <c r="R16" s="185">
        <v>0</v>
      </c>
      <c r="S16" s="184"/>
      <c r="T16" s="185"/>
      <c r="U16" s="184"/>
      <c r="V16" s="185"/>
      <c r="W16" s="184"/>
      <c r="X16" s="185"/>
      <c r="Y16" s="184"/>
      <c r="Z16" s="185"/>
      <c r="AA16" s="184"/>
      <c r="AB16" s="185"/>
      <c r="AC16" s="184"/>
      <c r="AD16" s="185"/>
      <c r="AE16" s="184"/>
      <c r="AF16" s="185">
        <v>20000</v>
      </c>
      <c r="AG16" s="184"/>
      <c r="AH16" s="185"/>
      <c r="AI16" s="184"/>
      <c r="AJ16" s="185"/>
      <c r="AK16" s="184"/>
      <c r="AL16" s="185"/>
      <c r="AM16" s="184"/>
      <c r="AN16" s="185"/>
      <c r="AO16" s="184"/>
      <c r="AP16" s="185"/>
      <c r="AQ16" s="184"/>
      <c r="AR16" s="185"/>
      <c r="AS16" s="184"/>
      <c r="AT16" s="185"/>
      <c r="AU16" s="184"/>
      <c r="AV16" s="185"/>
      <c r="AW16" s="184"/>
      <c r="AX16" s="185"/>
      <c r="AY16" s="184"/>
      <c r="AZ16" s="185"/>
      <c r="BA16" s="184"/>
      <c r="BB16" s="185"/>
      <c r="BC16" s="184"/>
      <c r="BD16" s="185"/>
      <c r="BE16" s="184"/>
      <c r="BF16" s="185"/>
      <c r="BG16" s="184"/>
      <c r="BH16" s="185"/>
      <c r="BI16" s="184"/>
      <c r="BJ16" s="185"/>
      <c r="BK16" s="184"/>
      <c r="BL16" s="185"/>
      <c r="BM16" s="184"/>
      <c r="BN16" s="185"/>
      <c r="BO16" s="184"/>
      <c r="BP16" s="185"/>
      <c r="BQ16" s="184"/>
      <c r="BR16" s="185"/>
      <c r="BS16" s="184"/>
      <c r="BT16" s="185"/>
      <c r="BU16" s="184"/>
      <c r="BV16" s="185"/>
      <c r="BW16" s="184"/>
      <c r="BX16" s="185"/>
      <c r="BY16" s="184"/>
      <c r="BZ16" s="185"/>
      <c r="CA16" s="184"/>
      <c r="CB16" s="185"/>
      <c r="CC16" s="184"/>
      <c r="CD16" s="185"/>
      <c r="CE16" s="184"/>
      <c r="CF16" s="185"/>
      <c r="CG16" s="184"/>
      <c r="CH16" s="185"/>
      <c r="CI16" s="184"/>
      <c r="CJ16" s="185"/>
      <c r="CK16" s="184"/>
      <c r="CL16" s="185"/>
      <c r="CM16" s="184"/>
      <c r="CN16" s="185"/>
      <c r="CO16" s="184"/>
      <c r="CP16" s="185"/>
      <c r="CQ16" s="184"/>
      <c r="CR16" s="185"/>
      <c r="CS16" s="184"/>
      <c r="CT16" s="185"/>
      <c r="CU16" s="184"/>
      <c r="CV16" s="185"/>
      <c r="CW16" s="184"/>
      <c r="CX16" s="185"/>
      <c r="CY16" s="184"/>
      <c r="CZ16" s="185"/>
      <c r="DA16" s="184"/>
      <c r="DB16" s="185"/>
      <c r="DC16" s="184"/>
      <c r="DD16" s="185"/>
      <c r="DE16" s="184"/>
      <c r="DF16" s="185"/>
      <c r="DG16" s="184"/>
      <c r="DH16" s="185"/>
      <c r="DI16" s="184"/>
      <c r="DJ16" s="185"/>
      <c r="DK16" s="184"/>
      <c r="DL16" s="185"/>
      <c r="DM16" s="184"/>
      <c r="DN16" s="185"/>
      <c r="DO16" s="184"/>
      <c r="DP16" s="185"/>
      <c r="DQ16" s="184"/>
      <c r="DR16" s="185"/>
      <c r="DS16" s="184"/>
      <c r="DT16" s="185"/>
      <c r="DU16" s="184"/>
      <c r="DV16" s="185"/>
    </row>
    <row r="17" spans="1:126" x14ac:dyDescent="0.2">
      <c r="A17" s="183" t="s">
        <v>54</v>
      </c>
      <c r="B17" s="183" t="s">
        <v>285</v>
      </c>
      <c r="C17" s="184">
        <f>E17+G17+I17</f>
        <v>2650</v>
      </c>
      <c r="D17" s="185">
        <f t="shared" si="0"/>
        <v>31413</v>
      </c>
      <c r="E17" s="184">
        <f t="shared" si="1"/>
        <v>1050</v>
      </c>
      <c r="F17" s="185">
        <f t="shared" si="2"/>
        <v>572</v>
      </c>
      <c r="G17" s="184">
        <f t="shared" si="3"/>
        <v>1600</v>
      </c>
      <c r="H17" s="185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84"/>
      <c r="J17" s="185"/>
      <c r="K17" s="184"/>
      <c r="L17" s="185"/>
      <c r="M17" s="184"/>
      <c r="N17" s="185"/>
      <c r="O17" s="184"/>
      <c r="P17" s="185"/>
      <c r="Q17" s="184">
        <v>50</v>
      </c>
      <c r="R17" s="185">
        <v>50</v>
      </c>
      <c r="S17" s="184"/>
      <c r="T17" s="185"/>
      <c r="U17" s="184"/>
      <c r="V17" s="185"/>
      <c r="W17" s="184"/>
      <c r="X17" s="185"/>
      <c r="Y17" s="184"/>
      <c r="Z17" s="185"/>
      <c r="AA17" s="184"/>
      <c r="AB17" s="185"/>
      <c r="AC17" s="184"/>
      <c r="AD17" s="185"/>
      <c r="AE17" s="184">
        <v>1000</v>
      </c>
      <c r="AF17" s="185">
        <v>522</v>
      </c>
      <c r="AG17" s="184"/>
      <c r="AH17" s="185"/>
      <c r="AI17" s="184"/>
      <c r="AJ17" s="185"/>
      <c r="AK17" s="184"/>
      <c r="AL17" s="185"/>
      <c r="AM17" s="184"/>
      <c r="AN17" s="185"/>
      <c r="AO17" s="184"/>
      <c r="AP17" s="185"/>
      <c r="AQ17" s="184"/>
      <c r="AR17" s="185">
        <v>1000</v>
      </c>
      <c r="AS17" s="184"/>
      <c r="AT17" s="185">
        <f>2000+1200</f>
        <v>3200</v>
      </c>
      <c r="AU17" s="184"/>
      <c r="AV17" s="185"/>
      <c r="AW17" s="184"/>
      <c r="AX17" s="185"/>
      <c r="AY17" s="184"/>
      <c r="AZ17" s="185"/>
      <c r="BA17" s="184"/>
      <c r="BB17" s="185"/>
      <c r="BC17" s="184"/>
      <c r="BD17" s="185"/>
      <c r="BE17" s="184"/>
      <c r="BF17" s="185"/>
      <c r="BG17" s="184"/>
      <c r="BH17" s="185"/>
      <c r="BI17" s="184"/>
      <c r="BJ17" s="185"/>
      <c r="BK17" s="184"/>
      <c r="BL17" s="185"/>
      <c r="BM17" s="184"/>
      <c r="BN17" s="185"/>
      <c r="BO17" s="184"/>
      <c r="BP17" s="185"/>
      <c r="BQ17" s="184"/>
      <c r="BR17" s="185"/>
      <c r="BS17" s="184"/>
      <c r="BT17" s="185"/>
      <c r="BU17" s="184"/>
      <c r="BV17" s="185"/>
      <c r="BW17" s="184"/>
      <c r="BX17" s="185"/>
      <c r="BY17" s="184"/>
      <c r="BZ17" s="185"/>
      <c r="CA17" s="184"/>
      <c r="CB17" s="185"/>
      <c r="CC17" s="184"/>
      <c r="CD17" s="185"/>
      <c r="CE17" s="184"/>
      <c r="CF17" s="185"/>
      <c r="CG17" s="184"/>
      <c r="CH17" s="185"/>
      <c r="CI17" s="184"/>
      <c r="CJ17" s="185"/>
      <c r="CK17" s="184"/>
      <c r="CL17" s="185"/>
      <c r="CM17" s="184"/>
      <c r="CN17" s="185"/>
      <c r="CO17" s="184"/>
      <c r="CP17" s="185"/>
      <c r="CQ17" s="184"/>
      <c r="CR17" s="185"/>
      <c r="CS17" s="184"/>
      <c r="CT17" s="185">
        <v>12000</v>
      </c>
      <c r="CU17" s="184"/>
      <c r="CV17" s="185"/>
      <c r="CW17" s="184"/>
      <c r="CX17" s="185"/>
      <c r="CY17" s="184"/>
      <c r="CZ17" s="185"/>
      <c r="DA17" s="184"/>
      <c r="DB17" s="185"/>
      <c r="DC17" s="184"/>
      <c r="DD17" s="185"/>
      <c r="DE17" s="184"/>
      <c r="DF17" s="185"/>
      <c r="DG17" s="184">
        <v>1600</v>
      </c>
      <c r="DH17" s="185">
        <v>14641</v>
      </c>
      <c r="DI17" s="184"/>
      <c r="DJ17" s="185"/>
      <c r="DK17" s="184"/>
      <c r="DL17" s="185"/>
      <c r="DM17" s="184"/>
      <c r="DN17" s="185"/>
      <c r="DO17" s="184"/>
      <c r="DP17" s="185"/>
      <c r="DQ17" s="184"/>
      <c r="DR17" s="185"/>
      <c r="DS17" s="184"/>
      <c r="DT17" s="185"/>
      <c r="DU17" s="184"/>
      <c r="DV17" s="185"/>
    </row>
    <row r="18" spans="1:126" s="189" customFormat="1" ht="13.6" x14ac:dyDescent="0.25">
      <c r="A18" s="186" t="s">
        <v>882</v>
      </c>
      <c r="B18" s="186" t="s">
        <v>286</v>
      </c>
      <c r="C18" s="187">
        <f t="shared" ref="C18:BO18" si="4">SUM(C2:C17)</f>
        <v>39976</v>
      </c>
      <c r="D18" s="188">
        <f>SUM(D2:D17)</f>
        <v>162200</v>
      </c>
      <c r="E18" s="187">
        <f t="shared" si="4"/>
        <v>22833</v>
      </c>
      <c r="F18" s="188">
        <f t="shared" si="4"/>
        <v>108045</v>
      </c>
      <c r="G18" s="187">
        <f t="shared" si="4"/>
        <v>17143</v>
      </c>
      <c r="H18" s="188">
        <f t="shared" si="4"/>
        <v>54155</v>
      </c>
      <c r="I18" s="187">
        <f t="shared" si="4"/>
        <v>0</v>
      </c>
      <c r="J18" s="188">
        <f t="shared" si="4"/>
        <v>0</v>
      </c>
      <c r="K18" s="187">
        <f t="shared" si="4"/>
        <v>0</v>
      </c>
      <c r="L18" s="188">
        <f t="shared" si="4"/>
        <v>0</v>
      </c>
      <c r="M18" s="187">
        <f t="shared" si="4"/>
        <v>0</v>
      </c>
      <c r="N18" s="188">
        <f t="shared" si="4"/>
        <v>0</v>
      </c>
      <c r="O18" s="187">
        <f t="shared" si="4"/>
        <v>0</v>
      </c>
      <c r="P18" s="188">
        <f t="shared" si="4"/>
        <v>0</v>
      </c>
      <c r="Q18" s="187">
        <f t="shared" si="4"/>
        <v>21833</v>
      </c>
      <c r="R18" s="188">
        <f t="shared" si="4"/>
        <v>23553</v>
      </c>
      <c r="S18" s="187">
        <f t="shared" si="4"/>
        <v>0</v>
      </c>
      <c r="T18" s="188">
        <f t="shared" ref="T18" si="5">SUM(T2:T17)</f>
        <v>0</v>
      </c>
      <c r="U18" s="187">
        <f t="shared" si="4"/>
        <v>0</v>
      </c>
      <c r="V18" s="188">
        <f t="shared" ref="V18" si="6">SUM(V2:V17)</f>
        <v>0</v>
      </c>
      <c r="W18" s="187">
        <f t="shared" si="4"/>
        <v>0</v>
      </c>
      <c r="X18" s="188">
        <f t="shared" si="4"/>
        <v>0</v>
      </c>
      <c r="Y18" s="187">
        <f t="shared" si="4"/>
        <v>0</v>
      </c>
      <c r="Z18" s="188">
        <f t="shared" si="4"/>
        <v>0</v>
      </c>
      <c r="AA18" s="187">
        <f t="shared" si="4"/>
        <v>0</v>
      </c>
      <c r="AB18" s="188">
        <f t="shared" ref="AB18" si="7">SUM(AB2:AB17)</f>
        <v>0</v>
      </c>
      <c r="AC18" s="187">
        <f t="shared" si="4"/>
        <v>0</v>
      </c>
      <c r="AD18" s="188">
        <f t="shared" ref="AD18" si="8">SUM(AD2:AD17)</f>
        <v>0</v>
      </c>
      <c r="AE18" s="187">
        <f t="shared" si="4"/>
        <v>1000</v>
      </c>
      <c r="AF18" s="188">
        <f t="shared" ref="AF18" si="9">SUM(AF2:AF17)</f>
        <v>76176</v>
      </c>
      <c r="AG18" s="187"/>
      <c r="AH18" s="188">
        <f t="shared" si="4"/>
        <v>8316</v>
      </c>
      <c r="AI18" s="187">
        <f t="shared" si="4"/>
        <v>0</v>
      </c>
      <c r="AJ18" s="188">
        <f t="shared" ref="AJ18" si="10">SUM(AJ2:AJ17)</f>
        <v>0</v>
      </c>
      <c r="AK18" s="187">
        <f t="shared" si="4"/>
        <v>0</v>
      </c>
      <c r="AL18" s="188">
        <f t="shared" si="4"/>
        <v>0</v>
      </c>
      <c r="AM18" s="187">
        <f t="shared" si="4"/>
        <v>0</v>
      </c>
      <c r="AN18" s="188"/>
      <c r="AO18" s="187">
        <f t="shared" si="4"/>
        <v>0</v>
      </c>
      <c r="AP18" s="188">
        <f t="shared" ref="AP18" si="11">SUM(AP2:AP17)</f>
        <v>0</v>
      </c>
      <c r="AQ18" s="187">
        <f t="shared" si="4"/>
        <v>0</v>
      </c>
      <c r="AR18" s="188">
        <f t="shared" ref="AR18" si="12">SUM(AR2:AR17)</f>
        <v>1000</v>
      </c>
      <c r="AS18" s="187">
        <f t="shared" si="4"/>
        <v>0</v>
      </c>
      <c r="AT18" s="188">
        <f t="shared" ref="AT18" si="13">SUM(AT2:AT17)</f>
        <v>3200</v>
      </c>
      <c r="AU18" s="187">
        <f t="shared" si="4"/>
        <v>0</v>
      </c>
      <c r="AV18" s="188">
        <f t="shared" ref="AV18" si="14">SUM(AV2:AV17)</f>
        <v>0</v>
      </c>
      <c r="AW18" s="187">
        <f t="shared" si="4"/>
        <v>0</v>
      </c>
      <c r="AX18" s="188">
        <f t="shared" ref="AX18" si="15">SUM(AX2:AX17)</f>
        <v>0</v>
      </c>
      <c r="AY18" s="187">
        <f t="shared" si="4"/>
        <v>0</v>
      </c>
      <c r="AZ18" s="188">
        <f t="shared" ref="AZ18" si="16">SUM(AZ2:AZ17)</f>
        <v>0</v>
      </c>
      <c r="BA18" s="187">
        <f t="shared" si="4"/>
        <v>0</v>
      </c>
      <c r="BB18" s="188">
        <f t="shared" ref="BB18" si="17">SUM(BB2:BB17)</f>
        <v>0</v>
      </c>
      <c r="BC18" s="187">
        <f t="shared" si="4"/>
        <v>0</v>
      </c>
      <c r="BD18" s="188">
        <f t="shared" ref="BD18" si="18">SUM(BD2:BD17)</f>
        <v>0</v>
      </c>
      <c r="BE18" s="187">
        <f t="shared" si="4"/>
        <v>0</v>
      </c>
      <c r="BF18" s="188">
        <f t="shared" ref="BF18" si="19">SUM(BF2:BF17)</f>
        <v>0</v>
      </c>
      <c r="BG18" s="187">
        <f t="shared" si="4"/>
        <v>0</v>
      </c>
      <c r="BH18" s="188">
        <f t="shared" ref="BH18" si="20">SUM(BH2:BH17)</f>
        <v>0</v>
      </c>
      <c r="BI18" s="187">
        <f t="shared" si="4"/>
        <v>0</v>
      </c>
      <c r="BJ18" s="188">
        <f t="shared" ref="BJ18" si="21">SUM(BJ2:BJ17)</f>
        <v>0</v>
      </c>
      <c r="BK18" s="187">
        <f t="shared" si="4"/>
        <v>0</v>
      </c>
      <c r="BL18" s="188">
        <f t="shared" ref="BL18" si="22">SUM(BL2:BL17)</f>
        <v>0</v>
      </c>
      <c r="BM18" s="187">
        <f t="shared" si="4"/>
        <v>0</v>
      </c>
      <c r="BN18" s="188">
        <f t="shared" ref="BN18" si="23">SUM(BN2:BN17)</f>
        <v>0</v>
      </c>
      <c r="BO18" s="187">
        <f t="shared" si="4"/>
        <v>0</v>
      </c>
      <c r="BP18" s="188">
        <f t="shared" ref="BP18" si="24">SUM(BP2:BP17)</f>
        <v>0</v>
      </c>
      <c r="BQ18" s="187">
        <f t="shared" ref="BQ18:DU18" si="25">SUM(BQ2:BQ17)</f>
        <v>0</v>
      </c>
      <c r="BR18" s="188">
        <f t="shared" ref="BR18" si="26">SUM(BR2:BR17)</f>
        <v>0</v>
      </c>
      <c r="BS18" s="187">
        <f t="shared" si="25"/>
        <v>0</v>
      </c>
      <c r="BT18" s="188">
        <f t="shared" ref="BT18" si="27">SUM(BT2:BT17)</f>
        <v>0</v>
      </c>
      <c r="BU18" s="187">
        <f t="shared" si="25"/>
        <v>0</v>
      </c>
      <c r="BV18" s="188">
        <f t="shared" ref="BV18" si="28">SUM(BV2:BV17)</f>
        <v>0</v>
      </c>
      <c r="BW18" s="187">
        <f t="shared" si="25"/>
        <v>0</v>
      </c>
      <c r="BX18" s="188">
        <f t="shared" ref="BX18" si="29">SUM(BX2:BX17)</f>
        <v>0</v>
      </c>
      <c r="BY18" s="187">
        <f t="shared" si="25"/>
        <v>0</v>
      </c>
      <c r="BZ18" s="188">
        <f t="shared" ref="BZ18" si="30">SUM(BZ2:BZ17)</f>
        <v>0</v>
      </c>
      <c r="CA18" s="187">
        <f t="shared" si="25"/>
        <v>0</v>
      </c>
      <c r="CB18" s="188">
        <f t="shared" ref="CB18" si="31">SUM(CB2:CB17)</f>
        <v>0</v>
      </c>
      <c r="CC18" s="187">
        <f t="shared" si="25"/>
        <v>0</v>
      </c>
      <c r="CD18" s="188">
        <f t="shared" ref="CD18" si="32">SUM(CD2:CD17)</f>
        <v>0</v>
      </c>
      <c r="CE18" s="187">
        <f t="shared" si="25"/>
        <v>0</v>
      </c>
      <c r="CF18" s="188">
        <f t="shared" ref="CF18" si="33">SUM(CF2:CF17)</f>
        <v>0</v>
      </c>
      <c r="CG18" s="187">
        <f t="shared" si="25"/>
        <v>0</v>
      </c>
      <c r="CH18" s="188">
        <f t="shared" ref="CH18" si="34">SUM(CH2:CH17)</f>
        <v>0</v>
      </c>
      <c r="CI18" s="187">
        <f t="shared" si="25"/>
        <v>0</v>
      </c>
      <c r="CJ18" s="188">
        <f t="shared" ref="CJ18" si="35">SUM(CJ2:CJ17)</f>
        <v>0</v>
      </c>
      <c r="CK18" s="187">
        <f t="shared" si="25"/>
        <v>0</v>
      </c>
      <c r="CL18" s="188">
        <f t="shared" ref="CL18" si="36">SUM(CL2:CL17)</f>
        <v>0</v>
      </c>
      <c r="CM18" s="187">
        <f t="shared" si="25"/>
        <v>0</v>
      </c>
      <c r="CN18" s="188">
        <f t="shared" ref="CN18" si="37">SUM(CN2:CN17)</f>
        <v>0</v>
      </c>
      <c r="CO18" s="187">
        <f t="shared" si="25"/>
        <v>0</v>
      </c>
      <c r="CP18" s="188">
        <f t="shared" ref="CP18" si="38">SUM(CP2:CP17)</f>
        <v>0</v>
      </c>
      <c r="CQ18" s="187">
        <f t="shared" si="25"/>
        <v>0</v>
      </c>
      <c r="CR18" s="188">
        <f t="shared" ref="CR18" si="39">SUM(CR2:CR17)</f>
        <v>0</v>
      </c>
      <c r="CS18" s="187">
        <f t="shared" si="25"/>
        <v>0</v>
      </c>
      <c r="CT18" s="188">
        <f t="shared" si="25"/>
        <v>12000</v>
      </c>
      <c r="CU18" s="187">
        <f t="shared" si="25"/>
        <v>0</v>
      </c>
      <c r="CV18" s="188">
        <f t="shared" ref="CV18" si="40">SUM(CV2:CV17)</f>
        <v>0</v>
      </c>
      <c r="CW18" s="187">
        <f t="shared" si="25"/>
        <v>0</v>
      </c>
      <c r="CX18" s="188">
        <f t="shared" ref="CX18" si="41">SUM(CX2:CX17)</f>
        <v>0</v>
      </c>
      <c r="CY18" s="187">
        <f t="shared" si="25"/>
        <v>0</v>
      </c>
      <c r="CZ18" s="188"/>
      <c r="DA18" s="187">
        <f t="shared" si="25"/>
        <v>0</v>
      </c>
      <c r="DB18" s="188"/>
      <c r="DC18" s="187">
        <f t="shared" si="25"/>
        <v>0</v>
      </c>
      <c r="DD18" s="188">
        <f t="shared" ref="DD18" si="42">SUM(DD2:DD17)</f>
        <v>0</v>
      </c>
      <c r="DE18" s="187">
        <f t="shared" si="25"/>
        <v>0</v>
      </c>
      <c r="DF18" s="188">
        <f t="shared" ref="DF18" si="43">SUM(DF2:DF17)</f>
        <v>0</v>
      </c>
      <c r="DG18" s="187">
        <f t="shared" si="25"/>
        <v>1600</v>
      </c>
      <c r="DH18" s="188">
        <f t="shared" ref="DH18" si="44">SUM(DH2:DH17)</f>
        <v>14641</v>
      </c>
      <c r="DI18" s="187">
        <f t="shared" si="25"/>
        <v>0</v>
      </c>
      <c r="DJ18" s="188">
        <f t="shared" ref="DJ18" si="45">SUM(DJ2:DJ17)</f>
        <v>0</v>
      </c>
      <c r="DK18" s="187">
        <f t="shared" si="25"/>
        <v>0</v>
      </c>
      <c r="DL18" s="188">
        <f t="shared" ref="DL18" si="46">SUM(DL2:DL17)</f>
        <v>0</v>
      </c>
      <c r="DM18" s="187">
        <f t="shared" si="25"/>
        <v>0</v>
      </c>
      <c r="DN18" s="188">
        <f t="shared" ref="DN18" si="47">SUM(DN2:DN17)</f>
        <v>0</v>
      </c>
      <c r="DO18" s="187">
        <f t="shared" si="25"/>
        <v>0</v>
      </c>
      <c r="DP18" s="188">
        <f t="shared" ref="DP18" si="48">SUM(DP2:DP17)</f>
        <v>0</v>
      </c>
      <c r="DQ18" s="187">
        <f t="shared" si="25"/>
        <v>0</v>
      </c>
      <c r="DR18" s="188"/>
      <c r="DS18" s="187">
        <f t="shared" si="25"/>
        <v>15543</v>
      </c>
      <c r="DT18" s="188">
        <f t="shared" ref="DT18" si="49">SUM(DT2:DT17)</f>
        <v>23314</v>
      </c>
      <c r="DU18" s="187">
        <f t="shared" si="25"/>
        <v>0</v>
      </c>
      <c r="DV18" s="188">
        <f t="shared" ref="DV18" si="50">SUM(DV2:DV17)</f>
        <v>0</v>
      </c>
    </row>
    <row r="19" spans="1:126" s="189" customFormat="1" ht="13.6" x14ac:dyDescent="0.25">
      <c r="A19" s="186" t="s">
        <v>883</v>
      </c>
      <c r="B19" s="186" t="s">
        <v>287</v>
      </c>
      <c r="C19" s="187">
        <f>E19+G19+I19</f>
        <v>7350</v>
      </c>
      <c r="D19" s="188">
        <f>F19+H19+J19</f>
        <v>41861</v>
      </c>
      <c r="E19" s="187">
        <f>K19+M19+O18:O19+Q19+S19+U19+W19+Y19+AA19+AC19+AE19+AI19</f>
        <v>6379</v>
      </c>
      <c r="F19" s="188">
        <f>L19+N19+P18:P19+R19+T19+V19+X19+Z19+AB19+AD19+AF19+AJ19+AH19</f>
        <v>29235</v>
      </c>
      <c r="G19" s="187">
        <f t="shared" si="3"/>
        <v>971</v>
      </c>
      <c r="H19" s="188">
        <f t="shared" si="3"/>
        <v>12626</v>
      </c>
      <c r="I19" s="187"/>
      <c r="J19" s="188">
        <v>0</v>
      </c>
      <c r="K19" s="187"/>
      <c r="L19" s="188"/>
      <c r="M19" s="187"/>
      <c r="N19" s="188">
        <v>0</v>
      </c>
      <c r="O19" s="187">
        <f>ROUND(O17*1.19*0.43,0)</f>
        <v>0</v>
      </c>
      <c r="P19" s="188">
        <v>0</v>
      </c>
      <c r="Q19" s="187">
        <f>ROUND((Q17*1.19*0.43)+((Q2+Q5+Q14+Q16*0.9)*0.27)+(Q8*1.19*0.3),0)</f>
        <v>5867</v>
      </c>
      <c r="R19" s="188">
        <f>ROUND((R2+R3+R4+R5+R6+R7+R14+R15+R16)*0.27+R8*1.19*0.3+R17*1.19*0.43,0)</f>
        <v>6313</v>
      </c>
      <c r="S19" s="187"/>
      <c r="T19" s="188"/>
      <c r="U19" s="187"/>
      <c r="V19" s="188"/>
      <c r="W19" s="187"/>
      <c r="X19" s="188">
        <v>0</v>
      </c>
      <c r="Y19" s="187"/>
      <c r="Z19" s="188">
        <v>0</v>
      </c>
      <c r="AA19" s="187"/>
      <c r="AB19" s="188"/>
      <c r="AC19" s="187"/>
      <c r="AD19" s="188"/>
      <c r="AE19" s="187">
        <f>ROUND(AE18*1.19*(0.27+0.16),0)</f>
        <v>512</v>
      </c>
      <c r="AF19" s="188">
        <f>ROUND((AF2+AF3+AF4+AF5+AF6+AF7+AF15+AF14+AF16)*0.27+AF17*1.19*0.43,0)</f>
        <v>20677</v>
      </c>
      <c r="AG19" s="187"/>
      <c r="AH19" s="188">
        <f>ROUND((AH2+AH3+AH4+AH5+AH6+AH7+AH14+AH15+AH16)*0.27+AH8*1.19*0.3+AH17*1.19*0.43,0)</f>
        <v>2245</v>
      </c>
      <c r="AI19" s="187"/>
      <c r="AJ19" s="188"/>
      <c r="AK19" s="187"/>
      <c r="AL19" s="188">
        <v>0</v>
      </c>
      <c r="AM19" s="187"/>
      <c r="AN19" s="188"/>
      <c r="AO19" s="187"/>
      <c r="AP19" s="188"/>
      <c r="AQ19" s="187"/>
      <c r="AR19" s="188">
        <v>500</v>
      </c>
      <c r="AS19" s="187"/>
      <c r="AT19" s="188">
        <v>0</v>
      </c>
      <c r="AU19" s="187"/>
      <c r="AV19" s="188"/>
      <c r="AW19" s="187"/>
      <c r="AX19" s="188"/>
      <c r="AY19" s="187"/>
      <c r="AZ19" s="188"/>
      <c r="BA19" s="187"/>
      <c r="BB19" s="188"/>
      <c r="BC19" s="187"/>
      <c r="BD19" s="188"/>
      <c r="BE19" s="187"/>
      <c r="BF19" s="188"/>
      <c r="BG19" s="187"/>
      <c r="BH19" s="188"/>
      <c r="BI19" s="187"/>
      <c r="BJ19" s="188"/>
      <c r="BK19" s="187"/>
      <c r="BL19" s="188"/>
      <c r="BM19" s="187"/>
      <c r="BN19" s="188"/>
      <c r="BO19" s="187"/>
      <c r="BP19" s="188"/>
      <c r="BQ19" s="187"/>
      <c r="BR19" s="188"/>
      <c r="BS19" s="187"/>
      <c r="BT19" s="188"/>
      <c r="BU19" s="187"/>
      <c r="BV19" s="188"/>
      <c r="BW19" s="187"/>
      <c r="BX19" s="188"/>
      <c r="BY19" s="187"/>
      <c r="BZ19" s="188"/>
      <c r="CA19" s="187"/>
      <c r="CB19" s="188"/>
      <c r="CC19" s="187"/>
      <c r="CD19" s="188"/>
      <c r="CE19" s="187"/>
      <c r="CF19" s="188"/>
      <c r="CG19" s="187"/>
      <c r="CH19" s="188"/>
      <c r="CI19" s="187"/>
      <c r="CJ19" s="188"/>
      <c r="CK19" s="187"/>
      <c r="CL19" s="188"/>
      <c r="CM19" s="187"/>
      <c r="CN19" s="188"/>
      <c r="CO19" s="187"/>
      <c r="CP19" s="188"/>
      <c r="CQ19" s="187"/>
      <c r="CR19" s="188"/>
      <c r="CS19" s="187"/>
      <c r="CT19" s="188">
        <f>ROUND(CT17*0.27,0)</f>
        <v>3240</v>
      </c>
      <c r="CU19" s="187"/>
      <c r="CV19" s="188"/>
      <c r="CW19" s="187"/>
      <c r="CX19" s="188"/>
      <c r="CY19" s="187"/>
      <c r="CZ19" s="188"/>
      <c r="DA19" s="187"/>
      <c r="DB19" s="188"/>
      <c r="DC19" s="187"/>
      <c r="DD19" s="188"/>
      <c r="DE19" s="187"/>
      <c r="DF19" s="188"/>
      <c r="DG19" s="187">
        <v>971</v>
      </c>
      <c r="DH19" s="188">
        <v>8886</v>
      </c>
      <c r="DI19" s="187"/>
      <c r="DJ19" s="188"/>
      <c r="DK19" s="187"/>
      <c r="DL19" s="188"/>
      <c r="DM19" s="187"/>
      <c r="DN19" s="188"/>
      <c r="DO19" s="187"/>
      <c r="DP19" s="188"/>
      <c r="DQ19" s="187"/>
      <c r="DR19" s="188"/>
      <c r="DS19" s="187"/>
      <c r="DT19" s="188"/>
      <c r="DU19" s="187"/>
      <c r="DV19" s="188"/>
    </row>
    <row r="20" spans="1:126" x14ac:dyDescent="0.2">
      <c r="A20" s="183" t="s">
        <v>67</v>
      </c>
      <c r="B20" s="183" t="s">
        <v>884</v>
      </c>
      <c r="C20" s="184">
        <f>E20+G20+I20</f>
        <v>50</v>
      </c>
      <c r="D20" s="185">
        <f t="shared" ref="D20:D42" si="51">F20+H20+J20</f>
        <v>211</v>
      </c>
      <c r="E20" s="184">
        <f>K20+M20+O19:O20+Q20+S20+U20+W20+Y20+AA20+AC20+AE20+AI20</f>
        <v>50</v>
      </c>
      <c r="F20" s="185">
        <f t="shared" ref="F20:F42" si="52">L20+N20+P19:P20+R20+T20+V20+X20+Z20+AB20+AD20+AF20+AJ20+AH20</f>
        <v>211</v>
      </c>
      <c r="G20" s="184">
        <f t="shared" si="3"/>
        <v>0</v>
      </c>
      <c r="H20" s="185">
        <f t="shared" si="3"/>
        <v>0</v>
      </c>
      <c r="I20" s="184"/>
      <c r="J20" s="185"/>
      <c r="K20" s="184"/>
      <c r="L20" s="185"/>
      <c r="M20" s="184"/>
      <c r="N20" s="185"/>
      <c r="O20" s="184"/>
      <c r="P20" s="185"/>
      <c r="Q20" s="184">
        <v>30</v>
      </c>
      <c r="R20" s="185">
        <f>30+53+41+52</f>
        <v>176</v>
      </c>
      <c r="S20" s="184"/>
      <c r="T20" s="185"/>
      <c r="U20" s="184"/>
      <c r="V20" s="185"/>
      <c r="W20" s="184"/>
      <c r="X20" s="185"/>
      <c r="Y20" s="184"/>
      <c r="Z20" s="185"/>
      <c r="AA20" s="184"/>
      <c r="AB20" s="185"/>
      <c r="AC20" s="184"/>
      <c r="AD20" s="185"/>
      <c r="AE20" s="184">
        <v>20</v>
      </c>
      <c r="AF20" s="185">
        <v>35</v>
      </c>
      <c r="AG20" s="184"/>
      <c r="AH20" s="185"/>
      <c r="AI20" s="184"/>
      <c r="AJ20" s="185"/>
      <c r="AK20" s="184"/>
      <c r="AL20" s="185"/>
      <c r="AM20" s="184"/>
      <c r="AN20" s="185"/>
      <c r="AO20" s="184"/>
      <c r="AP20" s="185"/>
      <c r="AQ20" s="184"/>
      <c r="AR20" s="185"/>
      <c r="AS20" s="184"/>
      <c r="AT20" s="185"/>
      <c r="AU20" s="184"/>
      <c r="AV20" s="185"/>
      <c r="AW20" s="184"/>
      <c r="AX20" s="185"/>
      <c r="AY20" s="184"/>
      <c r="AZ20" s="185"/>
      <c r="BA20" s="184"/>
      <c r="BB20" s="185"/>
      <c r="BC20" s="184"/>
      <c r="BD20" s="185"/>
      <c r="BE20" s="184"/>
      <c r="BF20" s="185"/>
      <c r="BG20" s="184"/>
      <c r="BH20" s="185"/>
      <c r="BI20" s="184"/>
      <c r="BJ20" s="185"/>
      <c r="BK20" s="184"/>
      <c r="BL20" s="185"/>
      <c r="BM20" s="184"/>
      <c r="BN20" s="185"/>
      <c r="BO20" s="184"/>
      <c r="BP20" s="185"/>
      <c r="BQ20" s="184"/>
      <c r="BR20" s="185"/>
      <c r="BS20" s="184"/>
      <c r="BT20" s="185"/>
      <c r="BU20" s="184"/>
      <c r="BV20" s="185"/>
      <c r="BW20" s="184"/>
      <c r="BX20" s="185"/>
      <c r="BY20" s="184"/>
      <c r="BZ20" s="185"/>
      <c r="CA20" s="184"/>
      <c r="CB20" s="185"/>
      <c r="CC20" s="184"/>
      <c r="CD20" s="185"/>
      <c r="CE20" s="184"/>
      <c r="CF20" s="185"/>
      <c r="CG20" s="184"/>
      <c r="CH20" s="185"/>
      <c r="CI20" s="184"/>
      <c r="CJ20" s="185"/>
      <c r="CK20" s="184"/>
      <c r="CL20" s="185"/>
      <c r="CM20" s="184"/>
      <c r="CN20" s="185"/>
      <c r="CO20" s="184"/>
      <c r="CP20" s="185"/>
      <c r="CQ20" s="184"/>
      <c r="CR20" s="185"/>
      <c r="CS20" s="184"/>
      <c r="CT20" s="185"/>
      <c r="CU20" s="184"/>
      <c r="CV20" s="185"/>
      <c r="CW20" s="184"/>
      <c r="CX20" s="185"/>
      <c r="CY20" s="184"/>
      <c r="CZ20" s="185"/>
      <c r="DA20" s="184"/>
      <c r="DB20" s="185"/>
      <c r="DC20" s="184"/>
      <c r="DD20" s="185"/>
      <c r="DE20" s="184"/>
      <c r="DF20" s="185"/>
      <c r="DG20" s="184"/>
      <c r="DH20" s="185"/>
      <c r="DI20" s="184"/>
      <c r="DJ20" s="185"/>
      <c r="DK20" s="184"/>
      <c r="DL20" s="185"/>
      <c r="DM20" s="184"/>
      <c r="DN20" s="185"/>
      <c r="DO20" s="184"/>
      <c r="DP20" s="185"/>
      <c r="DQ20" s="184"/>
      <c r="DR20" s="185"/>
      <c r="DS20" s="184"/>
      <c r="DT20" s="185"/>
      <c r="DU20" s="184"/>
      <c r="DV20" s="185"/>
    </row>
    <row r="21" spans="1:126" x14ac:dyDescent="0.2">
      <c r="A21" s="183" t="s">
        <v>76</v>
      </c>
      <c r="B21" s="183" t="s">
        <v>885</v>
      </c>
      <c r="C21" s="184">
        <f>E21+G21+I21</f>
        <v>2865</v>
      </c>
      <c r="D21" s="185">
        <f t="shared" si="51"/>
        <v>8002</v>
      </c>
      <c r="E21" s="184">
        <f>K21+M21+O20:O21+Q21+S21+U21+W21+Y21+AA21+AC21+AE21+AI21</f>
        <v>960</v>
      </c>
      <c r="F21" s="185">
        <f t="shared" si="52"/>
        <v>2152</v>
      </c>
      <c r="G21" s="184">
        <f t="shared" si="3"/>
        <v>1905</v>
      </c>
      <c r="H21" s="185">
        <f t="shared" si="3"/>
        <v>5850</v>
      </c>
      <c r="I21" s="184"/>
      <c r="J21" s="185"/>
      <c r="K21" s="184"/>
      <c r="L21" s="185"/>
      <c r="M21" s="184"/>
      <c r="N21" s="185"/>
      <c r="O21" s="184"/>
      <c r="P21" s="185"/>
      <c r="Q21" s="184">
        <v>180</v>
      </c>
      <c r="R21" s="185">
        <v>250</v>
      </c>
      <c r="S21" s="184"/>
      <c r="T21" s="185"/>
      <c r="U21" s="184"/>
      <c r="V21" s="185"/>
      <c r="W21" s="184"/>
      <c r="X21" s="185"/>
      <c r="Y21" s="184"/>
      <c r="Z21" s="185"/>
      <c r="AA21" s="184"/>
      <c r="AB21" s="185"/>
      <c r="AC21" s="184">
        <v>280</v>
      </c>
      <c r="AD21" s="185">
        <v>280</v>
      </c>
      <c r="AE21" s="184">
        <v>500</v>
      </c>
      <c r="AF21" s="185">
        <f>1500+122</f>
        <v>1622</v>
      </c>
      <c r="AG21" s="184"/>
      <c r="AH21" s="185"/>
      <c r="AI21" s="184"/>
      <c r="AJ21" s="185"/>
      <c r="AK21" s="184"/>
      <c r="AL21" s="185"/>
      <c r="AM21" s="184"/>
      <c r="AN21" s="185"/>
      <c r="AO21" s="184"/>
      <c r="AP21" s="185"/>
      <c r="AQ21" s="184"/>
      <c r="AR21" s="185"/>
      <c r="AS21" s="184"/>
      <c r="AT21" s="185"/>
      <c r="AU21" s="184"/>
      <c r="AV21" s="185"/>
      <c r="AW21" s="184"/>
      <c r="AX21" s="185"/>
      <c r="AY21" s="184"/>
      <c r="AZ21" s="185"/>
      <c r="BA21" s="184"/>
      <c r="BB21" s="185"/>
      <c r="BC21" s="184"/>
      <c r="BD21" s="185"/>
      <c r="BE21" s="184"/>
      <c r="BF21" s="185"/>
      <c r="BG21" s="184"/>
      <c r="BH21" s="185"/>
      <c r="BI21" s="184"/>
      <c r="BJ21" s="185"/>
      <c r="BK21" s="184"/>
      <c r="BL21" s="185"/>
      <c r="BM21" s="184"/>
      <c r="BN21" s="185"/>
      <c r="BO21" s="184"/>
      <c r="BP21" s="185"/>
      <c r="BQ21" s="184"/>
      <c r="BR21" s="185"/>
      <c r="BS21" s="184"/>
      <c r="BT21" s="185"/>
      <c r="BU21" s="184"/>
      <c r="BV21" s="185"/>
      <c r="BW21" s="184"/>
      <c r="BX21" s="185"/>
      <c r="BY21" s="184"/>
      <c r="BZ21" s="185"/>
      <c r="CA21" s="184"/>
      <c r="CB21" s="185"/>
      <c r="CC21" s="184"/>
      <c r="CD21" s="185"/>
      <c r="CE21" s="184"/>
      <c r="CF21" s="185"/>
      <c r="CG21" s="184"/>
      <c r="CH21" s="185"/>
      <c r="CI21" s="184"/>
      <c r="CJ21" s="185"/>
      <c r="CK21" s="184"/>
      <c r="CL21" s="185"/>
      <c r="CM21" s="184"/>
      <c r="CN21" s="185"/>
      <c r="CO21" s="184"/>
      <c r="CP21" s="185"/>
      <c r="CQ21" s="184"/>
      <c r="CR21" s="185"/>
      <c r="CS21" s="184"/>
      <c r="CT21" s="185"/>
      <c r="CU21" s="184"/>
      <c r="CV21" s="185"/>
      <c r="CW21" s="184"/>
      <c r="CX21" s="185"/>
      <c r="CY21" s="184"/>
      <c r="CZ21" s="185"/>
      <c r="DA21" s="184"/>
      <c r="DB21" s="185"/>
      <c r="DC21" s="184"/>
      <c r="DD21" s="185"/>
      <c r="DE21" s="184"/>
      <c r="DF21" s="185"/>
      <c r="DG21" s="184"/>
      <c r="DH21" s="185">
        <v>850</v>
      </c>
      <c r="DI21" s="184"/>
      <c r="DJ21" s="185"/>
      <c r="DK21" s="184"/>
      <c r="DL21" s="185"/>
      <c r="DM21" s="184">
        <v>1905</v>
      </c>
      <c r="DN21" s="185">
        <v>5000</v>
      </c>
      <c r="DO21" s="184"/>
      <c r="DP21" s="185"/>
      <c r="DQ21" s="184"/>
      <c r="DR21" s="185"/>
      <c r="DS21" s="184"/>
      <c r="DT21" s="185"/>
      <c r="DU21" s="184"/>
      <c r="DV21" s="185"/>
    </row>
    <row r="22" spans="1:126" x14ac:dyDescent="0.2">
      <c r="A22" s="183" t="s">
        <v>85</v>
      </c>
      <c r="B22" s="183" t="s">
        <v>88</v>
      </c>
      <c r="C22" s="184">
        <f>E22+G22+I22</f>
        <v>0</v>
      </c>
      <c r="D22" s="185">
        <f t="shared" si="51"/>
        <v>0</v>
      </c>
      <c r="E22" s="184">
        <f>K22+M22+O21:O22+Q22+S22+U22+W22+Y22+AA22+AC22+AE22+AI22</f>
        <v>0</v>
      </c>
      <c r="F22" s="185">
        <f t="shared" si="52"/>
        <v>0</v>
      </c>
      <c r="G22" s="184">
        <f t="shared" si="3"/>
        <v>0</v>
      </c>
      <c r="H22" s="185">
        <f t="shared" si="3"/>
        <v>0</v>
      </c>
      <c r="I22" s="184"/>
      <c r="J22" s="185"/>
      <c r="K22" s="184"/>
      <c r="L22" s="185"/>
      <c r="M22" s="184"/>
      <c r="N22" s="185"/>
      <c r="O22" s="184"/>
      <c r="P22" s="185"/>
      <c r="Q22" s="184">
        <v>0</v>
      </c>
      <c r="R22" s="185">
        <v>0</v>
      </c>
      <c r="S22" s="184"/>
      <c r="T22" s="185"/>
      <c r="U22" s="184"/>
      <c r="V22" s="185"/>
      <c r="W22" s="184"/>
      <c r="X22" s="185"/>
      <c r="Y22" s="184"/>
      <c r="Z22" s="185"/>
      <c r="AA22" s="184"/>
      <c r="AB22" s="185"/>
      <c r="AC22" s="184"/>
      <c r="AD22" s="185"/>
      <c r="AE22" s="184"/>
      <c r="AF22" s="185"/>
      <c r="AG22" s="184"/>
      <c r="AH22" s="185"/>
      <c r="AI22" s="184"/>
      <c r="AJ22" s="185"/>
      <c r="AK22" s="184"/>
      <c r="AL22" s="185"/>
      <c r="AM22" s="184"/>
      <c r="AN22" s="185"/>
      <c r="AO22" s="184"/>
      <c r="AP22" s="185"/>
      <c r="AQ22" s="184"/>
      <c r="AR22" s="185"/>
      <c r="AS22" s="184"/>
      <c r="AT22" s="185"/>
      <c r="AU22" s="184"/>
      <c r="AV22" s="185"/>
      <c r="AW22" s="184"/>
      <c r="AX22" s="185"/>
      <c r="AY22" s="184"/>
      <c r="AZ22" s="185"/>
      <c r="BA22" s="184"/>
      <c r="BB22" s="185"/>
      <c r="BC22" s="184"/>
      <c r="BD22" s="185"/>
      <c r="BE22" s="184"/>
      <c r="BF22" s="185"/>
      <c r="BG22" s="184"/>
      <c r="BH22" s="185"/>
      <c r="BI22" s="184"/>
      <c r="BJ22" s="185"/>
      <c r="BK22" s="184"/>
      <c r="BL22" s="185"/>
      <c r="BM22" s="184"/>
      <c r="BN22" s="185"/>
      <c r="BO22" s="184"/>
      <c r="BP22" s="185"/>
      <c r="BQ22" s="184"/>
      <c r="BR22" s="185"/>
      <c r="BS22" s="184"/>
      <c r="BT22" s="185"/>
      <c r="BU22" s="184"/>
      <c r="BV22" s="185"/>
      <c r="BW22" s="184"/>
      <c r="BX22" s="185"/>
      <c r="BY22" s="184"/>
      <c r="BZ22" s="185"/>
      <c r="CA22" s="184"/>
      <c r="CB22" s="185"/>
      <c r="CC22" s="184"/>
      <c r="CD22" s="185"/>
      <c r="CE22" s="184"/>
      <c r="CF22" s="185"/>
      <c r="CG22" s="184"/>
      <c r="CH22" s="185"/>
      <c r="CI22" s="184"/>
      <c r="CJ22" s="185"/>
      <c r="CK22" s="184"/>
      <c r="CL22" s="185"/>
      <c r="CM22" s="184"/>
      <c r="CN22" s="185"/>
      <c r="CO22" s="184"/>
      <c r="CP22" s="185"/>
      <c r="CQ22" s="184"/>
      <c r="CR22" s="185"/>
      <c r="CS22" s="184"/>
      <c r="CT22" s="185"/>
      <c r="CU22" s="184"/>
      <c r="CV22" s="185"/>
      <c r="CW22" s="184"/>
      <c r="CX22" s="185"/>
      <c r="CY22" s="184"/>
      <c r="CZ22" s="185"/>
      <c r="DA22" s="184"/>
      <c r="DB22" s="185"/>
      <c r="DC22" s="184"/>
      <c r="DD22" s="185"/>
      <c r="DE22" s="184"/>
      <c r="DF22" s="185"/>
      <c r="DG22" s="184"/>
      <c r="DH22" s="185"/>
      <c r="DI22" s="184"/>
      <c r="DJ22" s="185"/>
      <c r="DK22" s="184"/>
      <c r="DL22" s="185"/>
      <c r="DM22" s="184"/>
      <c r="DN22" s="185"/>
      <c r="DO22" s="184"/>
      <c r="DP22" s="185"/>
      <c r="DQ22" s="184"/>
      <c r="DR22" s="185"/>
      <c r="DS22" s="184"/>
      <c r="DT22" s="185"/>
      <c r="DU22" s="184"/>
      <c r="DV22" s="185"/>
    </row>
    <row r="23" spans="1:126" ht="13.6" x14ac:dyDescent="0.25">
      <c r="A23" s="190" t="s">
        <v>90</v>
      </c>
      <c r="B23" s="190" t="s">
        <v>886</v>
      </c>
      <c r="C23" s="191">
        <f t="shared" ref="C23:H23" si="53">SUM(C20:C22)</f>
        <v>2915</v>
      </c>
      <c r="D23" s="192">
        <f t="shared" si="53"/>
        <v>8213</v>
      </c>
      <c r="E23" s="191">
        <f t="shared" si="53"/>
        <v>1010</v>
      </c>
      <c r="F23" s="192">
        <f t="shared" si="53"/>
        <v>2363</v>
      </c>
      <c r="G23" s="191">
        <f t="shared" si="53"/>
        <v>1905</v>
      </c>
      <c r="H23" s="192">
        <f t="shared" si="53"/>
        <v>5850</v>
      </c>
      <c r="I23" s="191"/>
      <c r="J23" s="192"/>
      <c r="K23" s="191">
        <f t="shared" ref="K23:AO23" si="54">SUM(K20:K22)</f>
        <v>0</v>
      </c>
      <c r="L23" s="192">
        <f t="shared" si="54"/>
        <v>0</v>
      </c>
      <c r="M23" s="191">
        <f t="shared" si="54"/>
        <v>0</v>
      </c>
      <c r="N23" s="192">
        <f t="shared" si="54"/>
        <v>0</v>
      </c>
      <c r="O23" s="191">
        <f t="shared" si="54"/>
        <v>0</v>
      </c>
      <c r="P23" s="192">
        <f t="shared" si="54"/>
        <v>0</v>
      </c>
      <c r="Q23" s="191">
        <f t="shared" si="54"/>
        <v>210</v>
      </c>
      <c r="R23" s="192">
        <f t="shared" si="54"/>
        <v>426</v>
      </c>
      <c r="S23" s="191">
        <f t="shared" si="54"/>
        <v>0</v>
      </c>
      <c r="T23" s="192">
        <f t="shared" ref="T23" si="55">SUM(T20:T22)</f>
        <v>0</v>
      </c>
      <c r="U23" s="191">
        <f t="shared" si="54"/>
        <v>0</v>
      </c>
      <c r="V23" s="192">
        <f t="shared" ref="V23" si="56">SUM(V20:V22)</f>
        <v>0</v>
      </c>
      <c r="W23" s="191">
        <f t="shared" si="54"/>
        <v>0</v>
      </c>
      <c r="X23" s="192">
        <f t="shared" si="54"/>
        <v>0</v>
      </c>
      <c r="Y23" s="191">
        <f t="shared" si="54"/>
        <v>0</v>
      </c>
      <c r="Z23" s="192">
        <f t="shared" ref="Z23" si="57">SUM(Z20:Z22)</f>
        <v>0</v>
      </c>
      <c r="AA23" s="191">
        <f t="shared" si="54"/>
        <v>0</v>
      </c>
      <c r="AB23" s="192">
        <f t="shared" ref="AB23" si="58">SUM(AB20:AB22)</f>
        <v>0</v>
      </c>
      <c r="AC23" s="191">
        <f t="shared" si="54"/>
        <v>280</v>
      </c>
      <c r="AD23" s="192">
        <f t="shared" ref="AD23" si="59">SUM(AD20:AD22)</f>
        <v>280</v>
      </c>
      <c r="AE23" s="191">
        <f t="shared" si="54"/>
        <v>520</v>
      </c>
      <c r="AF23" s="192">
        <f t="shared" ref="AF23" si="60">SUM(AF20:AF22)</f>
        <v>1657</v>
      </c>
      <c r="AG23" s="191"/>
      <c r="AH23" s="192"/>
      <c r="AI23" s="191">
        <f>SUM(AI20:AI22)</f>
        <v>0</v>
      </c>
      <c r="AJ23" s="192">
        <f>SUM(AJ20:AJ22)</f>
        <v>0</v>
      </c>
      <c r="AK23" s="191">
        <f t="shared" si="54"/>
        <v>0</v>
      </c>
      <c r="AL23" s="192">
        <f t="shared" ref="AL23" si="61">SUM(AL20:AL22)</f>
        <v>0</v>
      </c>
      <c r="AM23" s="191">
        <f t="shared" si="54"/>
        <v>0</v>
      </c>
      <c r="AN23" s="192"/>
      <c r="AO23" s="191">
        <f t="shared" si="54"/>
        <v>0</v>
      </c>
      <c r="AP23" s="192">
        <f t="shared" ref="AP23" si="62">SUM(AP20:AP22)</f>
        <v>0</v>
      </c>
      <c r="AQ23" s="191">
        <f t="shared" ref="AQ23:DO23" si="63">SUM(AQ20:AQ22)</f>
        <v>0</v>
      </c>
      <c r="AR23" s="192">
        <f t="shared" ref="AR23" si="64">SUM(AR20:AR22)</f>
        <v>0</v>
      </c>
      <c r="AS23" s="191">
        <f t="shared" si="63"/>
        <v>0</v>
      </c>
      <c r="AT23" s="192">
        <f t="shared" ref="AT23" si="65">SUM(AT20:AT22)</f>
        <v>0</v>
      </c>
      <c r="AU23" s="191">
        <f t="shared" si="63"/>
        <v>0</v>
      </c>
      <c r="AV23" s="192">
        <f t="shared" ref="AV23" si="66">SUM(AV20:AV22)</f>
        <v>0</v>
      </c>
      <c r="AW23" s="191">
        <f t="shared" si="63"/>
        <v>0</v>
      </c>
      <c r="AX23" s="192">
        <f t="shared" ref="AX23" si="67">SUM(AX20:AX22)</f>
        <v>0</v>
      </c>
      <c r="AY23" s="191">
        <f t="shared" si="63"/>
        <v>0</v>
      </c>
      <c r="AZ23" s="192">
        <f t="shared" ref="AZ23" si="68">SUM(AZ20:AZ22)</f>
        <v>0</v>
      </c>
      <c r="BA23" s="191">
        <f t="shared" si="63"/>
        <v>0</v>
      </c>
      <c r="BB23" s="192">
        <f t="shared" ref="BB23" si="69">SUM(BB20:BB22)</f>
        <v>0</v>
      </c>
      <c r="BC23" s="191">
        <f t="shared" si="63"/>
        <v>0</v>
      </c>
      <c r="BD23" s="192">
        <f t="shared" ref="BD23" si="70">SUM(BD20:BD22)</f>
        <v>0</v>
      </c>
      <c r="BE23" s="191">
        <f t="shared" si="63"/>
        <v>0</v>
      </c>
      <c r="BF23" s="192">
        <f t="shared" ref="BF23" si="71">SUM(BF20:BF22)</f>
        <v>0</v>
      </c>
      <c r="BG23" s="191">
        <f t="shared" si="63"/>
        <v>0</v>
      </c>
      <c r="BH23" s="192">
        <f t="shared" ref="BH23" si="72">SUM(BH20:BH22)</f>
        <v>0</v>
      </c>
      <c r="BI23" s="191">
        <f t="shared" si="63"/>
        <v>0</v>
      </c>
      <c r="BJ23" s="192">
        <f t="shared" ref="BJ23" si="73">SUM(BJ20:BJ22)</f>
        <v>0</v>
      </c>
      <c r="BK23" s="191">
        <f t="shared" si="63"/>
        <v>0</v>
      </c>
      <c r="BL23" s="192">
        <f t="shared" ref="BL23" si="74">SUM(BL20:BL22)</f>
        <v>0</v>
      </c>
      <c r="BM23" s="191">
        <f t="shared" si="63"/>
        <v>0</v>
      </c>
      <c r="BN23" s="192">
        <f t="shared" ref="BN23" si="75">SUM(BN20:BN22)</f>
        <v>0</v>
      </c>
      <c r="BO23" s="191">
        <f t="shared" si="63"/>
        <v>0</v>
      </c>
      <c r="BP23" s="192">
        <f t="shared" ref="BP23" si="76">SUM(BP20:BP22)</f>
        <v>0</v>
      </c>
      <c r="BQ23" s="191">
        <f t="shared" si="63"/>
        <v>0</v>
      </c>
      <c r="BR23" s="192">
        <f t="shared" ref="BR23" si="77">SUM(BR20:BR22)</f>
        <v>0</v>
      </c>
      <c r="BS23" s="191">
        <f t="shared" si="63"/>
        <v>0</v>
      </c>
      <c r="BT23" s="192">
        <f t="shared" ref="BT23" si="78">SUM(BT20:BT22)</f>
        <v>0</v>
      </c>
      <c r="BU23" s="191">
        <f t="shared" si="63"/>
        <v>0</v>
      </c>
      <c r="BV23" s="192">
        <f t="shared" ref="BV23" si="79">SUM(BV20:BV22)</f>
        <v>0</v>
      </c>
      <c r="BW23" s="191">
        <f t="shared" si="63"/>
        <v>0</v>
      </c>
      <c r="BX23" s="192">
        <f t="shared" ref="BX23" si="80">SUM(BX20:BX22)</f>
        <v>0</v>
      </c>
      <c r="BY23" s="191">
        <f t="shared" si="63"/>
        <v>0</v>
      </c>
      <c r="BZ23" s="192">
        <f t="shared" ref="BZ23" si="81">SUM(BZ20:BZ22)</f>
        <v>0</v>
      </c>
      <c r="CA23" s="191">
        <f t="shared" si="63"/>
        <v>0</v>
      </c>
      <c r="CB23" s="192">
        <f t="shared" ref="CB23" si="82">SUM(CB20:CB22)</f>
        <v>0</v>
      </c>
      <c r="CC23" s="191">
        <f t="shared" si="63"/>
        <v>0</v>
      </c>
      <c r="CD23" s="192">
        <f t="shared" ref="CD23" si="83">SUM(CD20:CD22)</f>
        <v>0</v>
      </c>
      <c r="CE23" s="191">
        <f>SUM(CE20:CE22)</f>
        <v>0</v>
      </c>
      <c r="CF23" s="192">
        <f>SUM(CF20:CF22)</f>
        <v>0</v>
      </c>
      <c r="CG23" s="191">
        <f t="shared" si="63"/>
        <v>0</v>
      </c>
      <c r="CH23" s="192">
        <f t="shared" ref="CH23" si="84">SUM(CH20:CH22)</f>
        <v>0</v>
      </c>
      <c r="CI23" s="191">
        <f t="shared" si="63"/>
        <v>0</v>
      </c>
      <c r="CJ23" s="192">
        <f t="shared" ref="CJ23" si="85">SUM(CJ20:CJ22)</f>
        <v>0</v>
      </c>
      <c r="CK23" s="191">
        <f t="shared" si="63"/>
        <v>0</v>
      </c>
      <c r="CL23" s="192">
        <f t="shared" ref="CL23" si="86">SUM(CL20:CL22)</f>
        <v>0</v>
      </c>
      <c r="CM23" s="191">
        <f t="shared" si="63"/>
        <v>0</v>
      </c>
      <c r="CN23" s="192">
        <f t="shared" ref="CN23" si="87">SUM(CN20:CN22)</f>
        <v>0</v>
      </c>
      <c r="CO23" s="191">
        <f t="shared" si="63"/>
        <v>0</v>
      </c>
      <c r="CP23" s="192">
        <f t="shared" ref="CP23" si="88">SUM(CP20:CP22)</f>
        <v>0</v>
      </c>
      <c r="CQ23" s="191">
        <f t="shared" si="63"/>
        <v>0</v>
      </c>
      <c r="CR23" s="192">
        <f t="shared" ref="CR23" si="89">SUM(CR20:CR22)</f>
        <v>0</v>
      </c>
      <c r="CS23" s="191">
        <f t="shared" si="63"/>
        <v>0</v>
      </c>
      <c r="CT23" s="192">
        <f t="shared" ref="CT23" si="90">SUM(CT20:CT22)</f>
        <v>0</v>
      </c>
      <c r="CU23" s="191">
        <f t="shared" si="63"/>
        <v>0</v>
      </c>
      <c r="CV23" s="192">
        <f t="shared" ref="CV23" si="91">SUM(CV20:CV22)</f>
        <v>0</v>
      </c>
      <c r="CW23" s="191">
        <f t="shared" si="63"/>
        <v>0</v>
      </c>
      <c r="CX23" s="192">
        <f t="shared" ref="CX23" si="92">SUM(CX20:CX22)</f>
        <v>0</v>
      </c>
      <c r="CY23" s="191">
        <f t="shared" si="63"/>
        <v>0</v>
      </c>
      <c r="CZ23" s="192"/>
      <c r="DA23" s="191">
        <f t="shared" si="63"/>
        <v>0</v>
      </c>
      <c r="DB23" s="192"/>
      <c r="DC23" s="191">
        <f t="shared" si="63"/>
        <v>0</v>
      </c>
      <c r="DD23" s="192">
        <f t="shared" ref="DD23" si="93">SUM(DD20:DD22)</f>
        <v>0</v>
      </c>
      <c r="DE23" s="191">
        <f t="shared" si="63"/>
        <v>0</v>
      </c>
      <c r="DF23" s="192">
        <f t="shared" ref="DF23" si="94">SUM(DF20:DF22)</f>
        <v>0</v>
      </c>
      <c r="DG23" s="191">
        <f t="shared" si="63"/>
        <v>0</v>
      </c>
      <c r="DH23" s="192">
        <f t="shared" ref="DH23" si="95">SUM(DH20:DH22)</f>
        <v>850</v>
      </c>
      <c r="DI23" s="191">
        <f t="shared" si="63"/>
        <v>0</v>
      </c>
      <c r="DJ23" s="192">
        <f t="shared" ref="DJ23" si="96">SUM(DJ20:DJ22)</f>
        <v>0</v>
      </c>
      <c r="DK23" s="191">
        <f t="shared" si="63"/>
        <v>0</v>
      </c>
      <c r="DL23" s="192">
        <f t="shared" ref="DL23" si="97">SUM(DL20:DL22)</f>
        <v>0</v>
      </c>
      <c r="DM23" s="191">
        <f t="shared" si="63"/>
        <v>1905</v>
      </c>
      <c r="DN23" s="192">
        <f t="shared" ref="DN23" si="98">SUM(DN20:DN22)</f>
        <v>5000</v>
      </c>
      <c r="DO23" s="191">
        <f t="shared" si="63"/>
        <v>0</v>
      </c>
      <c r="DP23" s="192">
        <f t="shared" ref="DP23" si="99">SUM(DP20:DP22)</f>
        <v>0</v>
      </c>
      <c r="DQ23" s="191"/>
      <c r="DR23" s="192"/>
      <c r="DS23" s="191"/>
      <c r="DT23" s="192"/>
      <c r="DU23" s="191"/>
      <c r="DV23" s="192"/>
    </row>
    <row r="24" spans="1:126" x14ac:dyDescent="0.2">
      <c r="A24" s="183" t="s">
        <v>93</v>
      </c>
      <c r="B24" s="183" t="s">
        <v>95</v>
      </c>
      <c r="C24" s="184">
        <f>E24+G24+I24</f>
        <v>15489</v>
      </c>
      <c r="D24" s="185">
        <f t="shared" si="51"/>
        <v>16301</v>
      </c>
      <c r="E24" s="184">
        <f>K24+M24+O23:O24+Q24+S24+U24+W24+Y24+AA24+AC24+AE24+AI24</f>
        <v>15489</v>
      </c>
      <c r="F24" s="185">
        <f t="shared" si="52"/>
        <v>16301</v>
      </c>
      <c r="G24" s="184">
        <f t="shared" si="3"/>
        <v>0</v>
      </c>
      <c r="H24" s="185">
        <f t="shared" si="3"/>
        <v>0</v>
      </c>
      <c r="I24" s="184"/>
      <c r="J24" s="185"/>
      <c r="K24" s="184">
        <v>200</v>
      </c>
      <c r="L24" s="185">
        <v>120</v>
      </c>
      <c r="M24" s="184"/>
      <c r="N24" s="185"/>
      <c r="O24" s="184"/>
      <c r="P24" s="185"/>
      <c r="Q24" s="184">
        <v>164</v>
      </c>
      <c r="R24" s="185">
        <v>450</v>
      </c>
      <c r="S24" s="184"/>
      <c r="T24" s="185"/>
      <c r="U24" s="184"/>
      <c r="V24" s="185"/>
      <c r="W24" s="184"/>
      <c r="X24" s="185"/>
      <c r="Y24" s="184"/>
      <c r="Z24" s="185"/>
      <c r="AA24" s="184"/>
      <c r="AB24" s="185"/>
      <c r="AC24" s="184"/>
      <c r="AD24" s="185"/>
      <c r="AE24" s="184">
        <v>15125</v>
      </c>
      <c r="AF24" s="185">
        <v>15731</v>
      </c>
      <c r="AG24" s="184"/>
      <c r="AH24" s="185"/>
      <c r="AI24" s="184"/>
      <c r="AJ24" s="185"/>
      <c r="AK24" s="184"/>
      <c r="AL24" s="185"/>
      <c r="AM24" s="184"/>
      <c r="AN24" s="185"/>
      <c r="AO24" s="184"/>
      <c r="AP24" s="185"/>
      <c r="AQ24" s="184"/>
      <c r="AR24" s="185"/>
      <c r="AS24" s="184"/>
      <c r="AT24" s="185"/>
      <c r="AU24" s="184"/>
      <c r="AV24" s="185"/>
      <c r="AW24" s="184"/>
      <c r="AX24" s="185"/>
      <c r="AY24" s="184"/>
      <c r="AZ24" s="185"/>
      <c r="BA24" s="184"/>
      <c r="BB24" s="185"/>
      <c r="BC24" s="184"/>
      <c r="BD24" s="185"/>
      <c r="BE24" s="184"/>
      <c r="BF24" s="185"/>
      <c r="BG24" s="184"/>
      <c r="BH24" s="185"/>
      <c r="BI24" s="184"/>
      <c r="BJ24" s="185"/>
      <c r="BK24" s="184"/>
      <c r="BL24" s="185"/>
      <c r="BM24" s="184"/>
      <c r="BN24" s="185"/>
      <c r="BO24" s="184"/>
      <c r="BP24" s="185"/>
      <c r="BQ24" s="184"/>
      <c r="BR24" s="185"/>
      <c r="BS24" s="184"/>
      <c r="BT24" s="185"/>
      <c r="BU24" s="184"/>
      <c r="BV24" s="185"/>
      <c r="BW24" s="184"/>
      <c r="BX24" s="185"/>
      <c r="BY24" s="184"/>
      <c r="BZ24" s="185"/>
      <c r="CA24" s="184"/>
      <c r="CB24" s="185"/>
      <c r="CC24" s="184"/>
      <c r="CD24" s="185"/>
      <c r="CE24" s="184"/>
      <c r="CF24" s="185"/>
      <c r="CG24" s="184"/>
      <c r="CH24" s="185"/>
      <c r="CI24" s="184"/>
      <c r="CJ24" s="185"/>
      <c r="CK24" s="184"/>
      <c r="CL24" s="185"/>
      <c r="CM24" s="184"/>
      <c r="CN24" s="185"/>
      <c r="CO24" s="184"/>
      <c r="CP24" s="185"/>
      <c r="CQ24" s="184"/>
      <c r="CR24" s="185"/>
      <c r="CS24" s="184"/>
      <c r="CT24" s="185"/>
      <c r="CU24" s="184"/>
      <c r="CV24" s="185"/>
      <c r="CW24" s="184"/>
      <c r="CX24" s="185"/>
      <c r="CY24" s="184"/>
      <c r="CZ24" s="185"/>
      <c r="DA24" s="184"/>
      <c r="DB24" s="185"/>
      <c r="DC24" s="184"/>
      <c r="DD24" s="185"/>
      <c r="DE24" s="184"/>
      <c r="DF24" s="185"/>
      <c r="DG24" s="184"/>
      <c r="DH24" s="185"/>
      <c r="DI24" s="184"/>
      <c r="DJ24" s="185"/>
      <c r="DK24" s="184"/>
      <c r="DL24" s="185"/>
      <c r="DM24" s="184"/>
      <c r="DN24" s="185"/>
      <c r="DO24" s="184"/>
      <c r="DP24" s="185"/>
      <c r="DQ24" s="184"/>
      <c r="DR24" s="185"/>
      <c r="DS24" s="184"/>
      <c r="DT24" s="185"/>
      <c r="DU24" s="184"/>
      <c r="DV24" s="185"/>
    </row>
    <row r="25" spans="1:126" x14ac:dyDescent="0.2">
      <c r="A25" s="183" t="s">
        <v>102</v>
      </c>
      <c r="B25" s="183" t="s">
        <v>106</v>
      </c>
      <c r="C25" s="184">
        <f>E25+G25+I25</f>
        <v>150</v>
      </c>
      <c r="D25" s="185">
        <f t="shared" si="51"/>
        <v>160</v>
      </c>
      <c r="E25" s="184">
        <f>K25+M25+O24:O25+Q25+S25+U25+W25+Y25+AA25+AC25+AE25+AI25</f>
        <v>150</v>
      </c>
      <c r="F25" s="185">
        <f t="shared" si="52"/>
        <v>160</v>
      </c>
      <c r="G25" s="184">
        <f t="shared" si="3"/>
        <v>0</v>
      </c>
      <c r="H25" s="185">
        <f t="shared" si="3"/>
        <v>0</v>
      </c>
      <c r="I25" s="184"/>
      <c r="J25" s="185"/>
      <c r="K25" s="184"/>
      <c r="L25" s="185"/>
      <c r="M25" s="184"/>
      <c r="N25" s="185"/>
      <c r="O25" s="184"/>
      <c r="P25" s="185"/>
      <c r="Q25" s="184">
        <v>120</v>
      </c>
      <c r="R25" s="185">
        <v>160</v>
      </c>
      <c r="S25" s="184"/>
      <c r="T25" s="185"/>
      <c r="U25" s="184"/>
      <c r="V25" s="185"/>
      <c r="W25" s="184"/>
      <c r="X25" s="185"/>
      <c r="Y25" s="184"/>
      <c r="Z25" s="185"/>
      <c r="AA25" s="184"/>
      <c r="AB25" s="185"/>
      <c r="AC25" s="184"/>
      <c r="AD25" s="185"/>
      <c r="AE25" s="184">
        <v>30</v>
      </c>
      <c r="AF25" s="185">
        <v>0</v>
      </c>
      <c r="AG25" s="184"/>
      <c r="AH25" s="185"/>
      <c r="AI25" s="184"/>
      <c r="AJ25" s="185"/>
      <c r="AK25" s="184"/>
      <c r="AL25" s="185"/>
      <c r="AM25" s="184"/>
      <c r="AN25" s="185"/>
      <c r="AO25" s="184"/>
      <c r="AP25" s="185"/>
      <c r="AQ25" s="184"/>
      <c r="AR25" s="185"/>
      <c r="AS25" s="184"/>
      <c r="AT25" s="185"/>
      <c r="AU25" s="184"/>
      <c r="AV25" s="185"/>
      <c r="AW25" s="184"/>
      <c r="AX25" s="185"/>
      <c r="AY25" s="184"/>
      <c r="AZ25" s="185"/>
      <c r="BA25" s="184"/>
      <c r="BB25" s="185"/>
      <c r="BC25" s="184"/>
      <c r="BD25" s="185"/>
      <c r="BE25" s="184"/>
      <c r="BF25" s="185"/>
      <c r="BG25" s="184"/>
      <c r="BH25" s="185"/>
      <c r="BI25" s="184"/>
      <c r="BJ25" s="185"/>
      <c r="BK25" s="184"/>
      <c r="BL25" s="185"/>
      <c r="BM25" s="184"/>
      <c r="BN25" s="185"/>
      <c r="BO25" s="184"/>
      <c r="BP25" s="185"/>
      <c r="BQ25" s="184"/>
      <c r="BR25" s="185"/>
      <c r="BS25" s="184"/>
      <c r="BT25" s="185"/>
      <c r="BU25" s="184"/>
      <c r="BV25" s="185"/>
      <c r="BW25" s="184"/>
      <c r="BX25" s="185"/>
      <c r="BY25" s="184"/>
      <c r="BZ25" s="185"/>
      <c r="CA25" s="184"/>
      <c r="CB25" s="185"/>
      <c r="CC25" s="184"/>
      <c r="CD25" s="185"/>
      <c r="CE25" s="184"/>
      <c r="CF25" s="185"/>
      <c r="CG25" s="184"/>
      <c r="CH25" s="185"/>
      <c r="CI25" s="184"/>
      <c r="CJ25" s="185"/>
      <c r="CK25" s="184"/>
      <c r="CL25" s="185"/>
      <c r="CM25" s="184"/>
      <c r="CN25" s="185"/>
      <c r="CO25" s="184"/>
      <c r="CP25" s="185"/>
      <c r="CQ25" s="184"/>
      <c r="CR25" s="185"/>
      <c r="CS25" s="184"/>
      <c r="CT25" s="185"/>
      <c r="CU25" s="184"/>
      <c r="CV25" s="185"/>
      <c r="CW25" s="184"/>
      <c r="CX25" s="185"/>
      <c r="CY25" s="184"/>
      <c r="CZ25" s="185"/>
      <c r="DA25" s="184"/>
      <c r="DB25" s="185"/>
      <c r="DC25" s="184"/>
      <c r="DD25" s="185"/>
      <c r="DE25" s="184"/>
      <c r="DF25" s="185"/>
      <c r="DG25" s="184"/>
      <c r="DH25" s="185"/>
      <c r="DI25" s="184"/>
      <c r="DJ25" s="185"/>
      <c r="DK25" s="184"/>
      <c r="DL25" s="185"/>
      <c r="DM25" s="184"/>
      <c r="DN25" s="185"/>
      <c r="DO25" s="184"/>
      <c r="DP25" s="185"/>
      <c r="DQ25" s="184"/>
      <c r="DR25" s="185"/>
      <c r="DS25" s="184"/>
      <c r="DT25" s="185"/>
      <c r="DU25" s="184"/>
      <c r="DV25" s="185"/>
    </row>
    <row r="26" spans="1:126" ht="13.6" x14ac:dyDescent="0.25">
      <c r="A26" s="190" t="s">
        <v>107</v>
      </c>
      <c r="B26" s="190" t="s">
        <v>887</v>
      </c>
      <c r="C26" s="191">
        <f t="shared" ref="C26:H26" si="100">SUM(C24:C25)</f>
        <v>15639</v>
      </c>
      <c r="D26" s="192">
        <f t="shared" si="100"/>
        <v>16461</v>
      </c>
      <c r="E26" s="191">
        <f t="shared" si="100"/>
        <v>15639</v>
      </c>
      <c r="F26" s="192">
        <f t="shared" si="100"/>
        <v>16461</v>
      </c>
      <c r="G26" s="191">
        <f t="shared" si="100"/>
        <v>0</v>
      </c>
      <c r="H26" s="192">
        <f t="shared" si="100"/>
        <v>0</v>
      </c>
      <c r="I26" s="191"/>
      <c r="J26" s="192"/>
      <c r="K26" s="191">
        <f t="shared" ref="K26:AO26" si="101">SUM(K24:K25)</f>
        <v>200</v>
      </c>
      <c r="L26" s="192">
        <f t="shared" si="101"/>
        <v>120</v>
      </c>
      <c r="M26" s="191">
        <f t="shared" si="101"/>
        <v>0</v>
      </c>
      <c r="N26" s="192">
        <f t="shared" si="101"/>
        <v>0</v>
      </c>
      <c r="O26" s="191">
        <f t="shared" si="101"/>
        <v>0</v>
      </c>
      <c r="P26" s="192">
        <f t="shared" si="101"/>
        <v>0</v>
      </c>
      <c r="Q26" s="191">
        <f t="shared" si="101"/>
        <v>284</v>
      </c>
      <c r="R26" s="192">
        <f t="shared" si="101"/>
        <v>610</v>
      </c>
      <c r="S26" s="191">
        <f t="shared" si="101"/>
        <v>0</v>
      </c>
      <c r="T26" s="192">
        <f t="shared" ref="T26" si="102">SUM(T24:T25)</f>
        <v>0</v>
      </c>
      <c r="U26" s="191">
        <f t="shared" si="101"/>
        <v>0</v>
      </c>
      <c r="V26" s="192">
        <f t="shared" ref="V26" si="103">SUM(V24:V25)</f>
        <v>0</v>
      </c>
      <c r="W26" s="191">
        <f t="shared" si="101"/>
        <v>0</v>
      </c>
      <c r="X26" s="192">
        <f t="shared" si="101"/>
        <v>0</v>
      </c>
      <c r="Y26" s="191">
        <f t="shared" si="101"/>
        <v>0</v>
      </c>
      <c r="Z26" s="192">
        <f t="shared" ref="Z26" si="104">SUM(Z24:Z25)</f>
        <v>0</v>
      </c>
      <c r="AA26" s="191">
        <f t="shared" si="101"/>
        <v>0</v>
      </c>
      <c r="AB26" s="192">
        <f t="shared" ref="AB26" si="105">SUM(AB24:AB25)</f>
        <v>0</v>
      </c>
      <c r="AC26" s="191">
        <f t="shared" si="101"/>
        <v>0</v>
      </c>
      <c r="AD26" s="192">
        <f t="shared" ref="AD26" si="106">SUM(AD24:AD25)</f>
        <v>0</v>
      </c>
      <c r="AE26" s="191">
        <f t="shared" si="101"/>
        <v>15155</v>
      </c>
      <c r="AF26" s="192">
        <f t="shared" ref="AF26" si="107">SUM(AF24:AF25)</f>
        <v>15731</v>
      </c>
      <c r="AG26" s="191"/>
      <c r="AH26" s="192"/>
      <c r="AI26" s="191">
        <f>SUM(AI24:AI25)</f>
        <v>0</v>
      </c>
      <c r="AJ26" s="192">
        <f>SUM(AJ24:AJ25)</f>
        <v>0</v>
      </c>
      <c r="AK26" s="191">
        <f t="shared" si="101"/>
        <v>0</v>
      </c>
      <c r="AL26" s="192">
        <f t="shared" ref="AL26" si="108">SUM(AL24:AL25)</f>
        <v>0</v>
      </c>
      <c r="AM26" s="191">
        <f t="shared" si="101"/>
        <v>0</v>
      </c>
      <c r="AN26" s="192"/>
      <c r="AO26" s="191">
        <f t="shared" si="101"/>
        <v>0</v>
      </c>
      <c r="AP26" s="192">
        <f t="shared" ref="AP26" si="109">SUM(AP24:AP25)</f>
        <v>0</v>
      </c>
      <c r="AQ26" s="191">
        <f t="shared" ref="AQ26:DO26" si="110">SUM(AQ24:AQ25)</f>
        <v>0</v>
      </c>
      <c r="AR26" s="192">
        <f t="shared" ref="AR26" si="111">SUM(AR24:AR25)</f>
        <v>0</v>
      </c>
      <c r="AS26" s="191">
        <f t="shared" si="110"/>
        <v>0</v>
      </c>
      <c r="AT26" s="192">
        <f t="shared" ref="AT26" si="112">SUM(AT24:AT25)</f>
        <v>0</v>
      </c>
      <c r="AU26" s="191">
        <f t="shared" si="110"/>
        <v>0</v>
      </c>
      <c r="AV26" s="192">
        <f t="shared" ref="AV26" si="113">SUM(AV24:AV25)</f>
        <v>0</v>
      </c>
      <c r="AW26" s="191">
        <f t="shared" si="110"/>
        <v>0</v>
      </c>
      <c r="AX26" s="192">
        <f t="shared" ref="AX26" si="114">SUM(AX24:AX25)</f>
        <v>0</v>
      </c>
      <c r="AY26" s="191">
        <f t="shared" si="110"/>
        <v>0</v>
      </c>
      <c r="AZ26" s="192">
        <f t="shared" ref="AZ26" si="115">SUM(AZ24:AZ25)</f>
        <v>0</v>
      </c>
      <c r="BA26" s="191">
        <f t="shared" si="110"/>
        <v>0</v>
      </c>
      <c r="BB26" s="192">
        <f t="shared" ref="BB26" si="116">SUM(BB24:BB25)</f>
        <v>0</v>
      </c>
      <c r="BC26" s="191">
        <f t="shared" si="110"/>
        <v>0</v>
      </c>
      <c r="BD26" s="192">
        <f t="shared" ref="BD26" si="117">SUM(BD24:BD25)</f>
        <v>0</v>
      </c>
      <c r="BE26" s="191">
        <f t="shared" si="110"/>
        <v>0</v>
      </c>
      <c r="BF26" s="192">
        <f t="shared" ref="BF26" si="118">SUM(BF24:BF25)</f>
        <v>0</v>
      </c>
      <c r="BG26" s="191">
        <f t="shared" si="110"/>
        <v>0</v>
      </c>
      <c r="BH26" s="192">
        <f t="shared" ref="BH26" si="119">SUM(BH24:BH25)</f>
        <v>0</v>
      </c>
      <c r="BI26" s="191">
        <f t="shared" si="110"/>
        <v>0</v>
      </c>
      <c r="BJ26" s="192">
        <f t="shared" ref="BJ26" si="120">SUM(BJ24:BJ25)</f>
        <v>0</v>
      </c>
      <c r="BK26" s="191">
        <f t="shared" si="110"/>
        <v>0</v>
      </c>
      <c r="BL26" s="192">
        <f t="shared" ref="BL26" si="121">SUM(BL24:BL25)</f>
        <v>0</v>
      </c>
      <c r="BM26" s="191">
        <f t="shared" si="110"/>
        <v>0</v>
      </c>
      <c r="BN26" s="192">
        <f t="shared" ref="BN26" si="122">SUM(BN24:BN25)</f>
        <v>0</v>
      </c>
      <c r="BO26" s="191">
        <f t="shared" si="110"/>
        <v>0</v>
      </c>
      <c r="BP26" s="192">
        <f t="shared" ref="BP26" si="123">SUM(BP24:BP25)</f>
        <v>0</v>
      </c>
      <c r="BQ26" s="191">
        <f t="shared" si="110"/>
        <v>0</v>
      </c>
      <c r="BR26" s="192">
        <f t="shared" ref="BR26" si="124">SUM(BR24:BR25)</f>
        <v>0</v>
      </c>
      <c r="BS26" s="191">
        <f t="shared" si="110"/>
        <v>0</v>
      </c>
      <c r="BT26" s="192">
        <f t="shared" ref="BT26" si="125">SUM(BT24:BT25)</f>
        <v>0</v>
      </c>
      <c r="BU26" s="191">
        <f t="shared" si="110"/>
        <v>0</v>
      </c>
      <c r="BV26" s="192">
        <f t="shared" ref="BV26" si="126">SUM(BV24:BV25)</f>
        <v>0</v>
      </c>
      <c r="BW26" s="191">
        <f t="shared" si="110"/>
        <v>0</v>
      </c>
      <c r="BX26" s="192">
        <f t="shared" ref="BX26" si="127">SUM(BX24:BX25)</f>
        <v>0</v>
      </c>
      <c r="BY26" s="191">
        <f t="shared" si="110"/>
        <v>0</v>
      </c>
      <c r="BZ26" s="192">
        <f t="shared" ref="BZ26" si="128">SUM(BZ24:BZ25)</f>
        <v>0</v>
      </c>
      <c r="CA26" s="191">
        <f t="shared" si="110"/>
        <v>0</v>
      </c>
      <c r="CB26" s="192">
        <f t="shared" ref="CB26" si="129">SUM(CB24:CB25)</f>
        <v>0</v>
      </c>
      <c r="CC26" s="191">
        <f t="shared" si="110"/>
        <v>0</v>
      </c>
      <c r="CD26" s="192">
        <f t="shared" ref="CD26" si="130">SUM(CD24:CD25)</f>
        <v>0</v>
      </c>
      <c r="CE26" s="191">
        <f>SUM(CE24:CE25)</f>
        <v>0</v>
      </c>
      <c r="CF26" s="192">
        <f>SUM(CF24:CF25)</f>
        <v>0</v>
      </c>
      <c r="CG26" s="191">
        <f t="shared" si="110"/>
        <v>0</v>
      </c>
      <c r="CH26" s="192">
        <f t="shared" ref="CH26" si="131">SUM(CH24:CH25)</f>
        <v>0</v>
      </c>
      <c r="CI26" s="191">
        <f t="shared" si="110"/>
        <v>0</v>
      </c>
      <c r="CJ26" s="192">
        <f t="shared" ref="CJ26" si="132">SUM(CJ24:CJ25)</f>
        <v>0</v>
      </c>
      <c r="CK26" s="191">
        <f t="shared" si="110"/>
        <v>0</v>
      </c>
      <c r="CL26" s="192">
        <f t="shared" ref="CL26" si="133">SUM(CL24:CL25)</f>
        <v>0</v>
      </c>
      <c r="CM26" s="191">
        <f t="shared" si="110"/>
        <v>0</v>
      </c>
      <c r="CN26" s="192">
        <f t="shared" ref="CN26" si="134">SUM(CN24:CN25)</f>
        <v>0</v>
      </c>
      <c r="CO26" s="191">
        <f t="shared" si="110"/>
        <v>0</v>
      </c>
      <c r="CP26" s="192">
        <f t="shared" ref="CP26" si="135">SUM(CP24:CP25)</f>
        <v>0</v>
      </c>
      <c r="CQ26" s="191">
        <f t="shared" si="110"/>
        <v>0</v>
      </c>
      <c r="CR26" s="192">
        <f t="shared" ref="CR26" si="136">SUM(CR24:CR25)</f>
        <v>0</v>
      </c>
      <c r="CS26" s="191">
        <f t="shared" si="110"/>
        <v>0</v>
      </c>
      <c r="CT26" s="192">
        <f t="shared" ref="CT26" si="137">SUM(CT24:CT25)</f>
        <v>0</v>
      </c>
      <c r="CU26" s="191">
        <f t="shared" si="110"/>
        <v>0</v>
      </c>
      <c r="CV26" s="192">
        <f t="shared" ref="CV26" si="138">SUM(CV24:CV25)</f>
        <v>0</v>
      </c>
      <c r="CW26" s="191">
        <f t="shared" si="110"/>
        <v>0</v>
      </c>
      <c r="CX26" s="192">
        <f t="shared" ref="CX26" si="139">SUM(CX24:CX25)</f>
        <v>0</v>
      </c>
      <c r="CY26" s="191">
        <f t="shared" si="110"/>
        <v>0</v>
      </c>
      <c r="CZ26" s="192"/>
      <c r="DA26" s="191">
        <f t="shared" si="110"/>
        <v>0</v>
      </c>
      <c r="DB26" s="192"/>
      <c r="DC26" s="191">
        <f t="shared" si="110"/>
        <v>0</v>
      </c>
      <c r="DD26" s="192">
        <f t="shared" ref="DD26" si="140">SUM(DD24:DD25)</f>
        <v>0</v>
      </c>
      <c r="DE26" s="191">
        <f t="shared" si="110"/>
        <v>0</v>
      </c>
      <c r="DF26" s="192">
        <f t="shared" ref="DF26" si="141">SUM(DF24:DF25)</f>
        <v>0</v>
      </c>
      <c r="DG26" s="191">
        <f t="shared" si="110"/>
        <v>0</v>
      </c>
      <c r="DH26" s="192">
        <f t="shared" ref="DH26" si="142">SUM(DH24:DH25)</f>
        <v>0</v>
      </c>
      <c r="DI26" s="191">
        <f t="shared" si="110"/>
        <v>0</v>
      </c>
      <c r="DJ26" s="192">
        <f t="shared" ref="DJ26" si="143">SUM(DJ24:DJ25)</f>
        <v>0</v>
      </c>
      <c r="DK26" s="191">
        <f t="shared" si="110"/>
        <v>0</v>
      </c>
      <c r="DL26" s="192">
        <f t="shared" ref="DL26" si="144">SUM(DL24:DL25)</f>
        <v>0</v>
      </c>
      <c r="DM26" s="191">
        <f t="shared" si="110"/>
        <v>0</v>
      </c>
      <c r="DN26" s="192">
        <f t="shared" ref="DN26" si="145">SUM(DN24:DN25)</f>
        <v>0</v>
      </c>
      <c r="DO26" s="191">
        <f t="shared" si="110"/>
        <v>0</v>
      </c>
      <c r="DP26" s="192">
        <f t="shared" ref="DP26" si="146">SUM(DP24:DP25)</f>
        <v>0</v>
      </c>
      <c r="DQ26" s="191"/>
      <c r="DR26" s="192"/>
      <c r="DS26" s="191"/>
      <c r="DT26" s="192"/>
      <c r="DU26" s="191"/>
      <c r="DV26" s="192"/>
    </row>
    <row r="27" spans="1:126" x14ac:dyDescent="0.2">
      <c r="A27" s="183" t="s">
        <v>110</v>
      </c>
      <c r="B27" s="183" t="s">
        <v>888</v>
      </c>
      <c r="C27" s="184">
        <f t="shared" ref="C27:C33" si="147">E27+G27+I27</f>
        <v>10500</v>
      </c>
      <c r="D27" s="185">
        <f t="shared" si="51"/>
        <v>11300</v>
      </c>
      <c r="E27" s="184">
        <f t="shared" ref="E27:E33" si="148">K27+M27+O26:O27+Q27+S27+U27+W27+Y27+AA27+AC27+AE27+AI27</f>
        <v>10500</v>
      </c>
      <c r="F27" s="185">
        <f t="shared" si="52"/>
        <v>11300</v>
      </c>
      <c r="G27" s="184">
        <f t="shared" si="3"/>
        <v>0</v>
      </c>
      <c r="H27" s="185">
        <f t="shared" si="3"/>
        <v>0</v>
      </c>
      <c r="I27" s="184"/>
      <c r="J27" s="185"/>
      <c r="K27" s="184"/>
      <c r="L27" s="185"/>
      <c r="M27" s="184"/>
      <c r="N27" s="185"/>
      <c r="O27" s="184">
        <v>200</v>
      </c>
      <c r="P27" s="185">
        <v>200</v>
      </c>
      <c r="Q27" s="184"/>
      <c r="R27" s="185"/>
      <c r="S27" s="184"/>
      <c r="T27" s="185"/>
      <c r="U27" s="184"/>
      <c r="V27" s="185"/>
      <c r="W27" s="184">
        <v>1900</v>
      </c>
      <c r="X27" s="185">
        <v>1900</v>
      </c>
      <c r="Y27" s="184"/>
      <c r="Z27" s="185"/>
      <c r="AA27" s="184"/>
      <c r="AB27" s="185"/>
      <c r="AC27" s="184"/>
      <c r="AD27" s="185"/>
      <c r="AE27" s="184">
        <v>8400</v>
      </c>
      <c r="AF27" s="185">
        <v>9200</v>
      </c>
      <c r="AG27" s="184"/>
      <c r="AH27" s="185"/>
      <c r="AI27" s="184"/>
      <c r="AJ27" s="185"/>
      <c r="AK27" s="184"/>
      <c r="AL27" s="185"/>
      <c r="AM27" s="184"/>
      <c r="AN27" s="185"/>
      <c r="AO27" s="184"/>
      <c r="AP27" s="185"/>
      <c r="AQ27" s="184"/>
      <c r="AR27" s="185"/>
      <c r="AS27" s="184"/>
      <c r="AT27" s="185"/>
      <c r="AU27" s="184"/>
      <c r="AV27" s="185"/>
      <c r="AW27" s="184"/>
      <c r="AX27" s="185"/>
      <c r="AY27" s="184"/>
      <c r="AZ27" s="185"/>
      <c r="BA27" s="184"/>
      <c r="BB27" s="185"/>
      <c r="BC27" s="184"/>
      <c r="BD27" s="185"/>
      <c r="BE27" s="184"/>
      <c r="BF27" s="185"/>
      <c r="BG27" s="184"/>
      <c r="BH27" s="185"/>
      <c r="BI27" s="184"/>
      <c r="BJ27" s="185"/>
      <c r="BK27" s="184"/>
      <c r="BL27" s="185"/>
      <c r="BM27" s="184"/>
      <c r="BN27" s="185"/>
      <c r="BO27" s="184"/>
      <c r="BP27" s="185"/>
      <c r="BQ27" s="184"/>
      <c r="BR27" s="185"/>
      <c r="BS27" s="184"/>
      <c r="BT27" s="185"/>
      <c r="BU27" s="184"/>
      <c r="BV27" s="185"/>
      <c r="BW27" s="184"/>
      <c r="BX27" s="185"/>
      <c r="BY27" s="184"/>
      <c r="BZ27" s="185"/>
      <c r="CA27" s="184"/>
      <c r="CB27" s="185"/>
      <c r="CC27" s="184"/>
      <c r="CD27" s="185"/>
      <c r="CE27" s="184"/>
      <c r="CF27" s="185"/>
      <c r="CG27" s="184"/>
      <c r="CH27" s="185"/>
      <c r="CI27" s="184"/>
      <c r="CJ27" s="185"/>
      <c r="CK27" s="184"/>
      <c r="CL27" s="185"/>
      <c r="CM27" s="184"/>
      <c r="CN27" s="185"/>
      <c r="CO27" s="184"/>
      <c r="CP27" s="185"/>
      <c r="CQ27" s="184"/>
      <c r="CR27" s="185"/>
      <c r="CS27" s="184"/>
      <c r="CT27" s="185"/>
      <c r="CU27" s="184"/>
      <c r="CV27" s="185"/>
      <c r="CW27" s="184"/>
      <c r="CX27" s="185"/>
      <c r="CY27" s="184"/>
      <c r="CZ27" s="185"/>
      <c r="DA27" s="184"/>
      <c r="DB27" s="185"/>
      <c r="DC27" s="184"/>
      <c r="DD27" s="185"/>
      <c r="DE27" s="184"/>
      <c r="DF27" s="185"/>
      <c r="DG27" s="184"/>
      <c r="DH27" s="185"/>
      <c r="DI27" s="184"/>
      <c r="DJ27" s="185"/>
      <c r="DK27" s="184"/>
      <c r="DL27" s="185"/>
      <c r="DM27" s="184"/>
      <c r="DN27" s="185"/>
      <c r="DO27" s="184"/>
      <c r="DP27" s="185"/>
      <c r="DQ27" s="184"/>
      <c r="DR27" s="185"/>
      <c r="DS27" s="184"/>
      <c r="DT27" s="185"/>
      <c r="DU27" s="184"/>
      <c r="DV27" s="185"/>
    </row>
    <row r="28" spans="1:126" x14ac:dyDescent="0.2">
      <c r="A28" s="183" t="s">
        <v>116</v>
      </c>
      <c r="B28" s="183" t="s">
        <v>118</v>
      </c>
      <c r="C28" s="184">
        <f t="shared" si="147"/>
        <v>0</v>
      </c>
      <c r="D28" s="185">
        <f t="shared" si="51"/>
        <v>0</v>
      </c>
      <c r="E28" s="184">
        <f t="shared" si="148"/>
        <v>0</v>
      </c>
      <c r="F28" s="185">
        <f t="shared" si="52"/>
        <v>0</v>
      </c>
      <c r="G28" s="184">
        <f t="shared" si="3"/>
        <v>0</v>
      </c>
      <c r="H28" s="185">
        <f t="shared" si="3"/>
        <v>0</v>
      </c>
      <c r="I28" s="184"/>
      <c r="J28" s="185"/>
      <c r="K28" s="184"/>
      <c r="L28" s="185"/>
      <c r="M28" s="184"/>
      <c r="N28" s="185"/>
      <c r="O28" s="184"/>
      <c r="P28" s="185"/>
      <c r="Q28" s="184"/>
      <c r="R28" s="185"/>
      <c r="S28" s="184"/>
      <c r="T28" s="185"/>
      <c r="U28" s="184"/>
      <c r="V28" s="185"/>
      <c r="W28" s="184"/>
      <c r="X28" s="185"/>
      <c r="Y28" s="184"/>
      <c r="Z28" s="185"/>
      <c r="AA28" s="184"/>
      <c r="AB28" s="185"/>
      <c r="AC28" s="184"/>
      <c r="AD28" s="185"/>
      <c r="AE28" s="184"/>
      <c r="AF28" s="185"/>
      <c r="AG28" s="184"/>
      <c r="AH28" s="185"/>
      <c r="AI28" s="184"/>
      <c r="AJ28" s="185"/>
      <c r="AK28" s="184"/>
      <c r="AL28" s="185"/>
      <c r="AM28" s="184"/>
      <c r="AN28" s="185"/>
      <c r="AO28" s="184"/>
      <c r="AP28" s="185"/>
      <c r="AQ28" s="184"/>
      <c r="AR28" s="185"/>
      <c r="AS28" s="184"/>
      <c r="AT28" s="185"/>
      <c r="AU28" s="184"/>
      <c r="AV28" s="185"/>
      <c r="AW28" s="184"/>
      <c r="AX28" s="185"/>
      <c r="AY28" s="184"/>
      <c r="AZ28" s="185"/>
      <c r="BA28" s="184"/>
      <c r="BB28" s="185"/>
      <c r="BC28" s="184"/>
      <c r="BD28" s="185"/>
      <c r="BE28" s="184"/>
      <c r="BF28" s="185"/>
      <c r="BG28" s="184"/>
      <c r="BH28" s="185"/>
      <c r="BI28" s="184"/>
      <c r="BJ28" s="185"/>
      <c r="BK28" s="184"/>
      <c r="BL28" s="185"/>
      <c r="BM28" s="184"/>
      <c r="BN28" s="185"/>
      <c r="BO28" s="184"/>
      <c r="BP28" s="185"/>
      <c r="BQ28" s="184"/>
      <c r="BR28" s="185"/>
      <c r="BS28" s="184"/>
      <c r="BT28" s="185"/>
      <c r="BU28" s="184"/>
      <c r="BV28" s="185"/>
      <c r="BW28" s="184"/>
      <c r="BX28" s="185"/>
      <c r="BY28" s="184"/>
      <c r="BZ28" s="185"/>
      <c r="CA28" s="184"/>
      <c r="CB28" s="185"/>
      <c r="CC28" s="184"/>
      <c r="CD28" s="185"/>
      <c r="CE28" s="184"/>
      <c r="CF28" s="185"/>
      <c r="CG28" s="184"/>
      <c r="CH28" s="185"/>
      <c r="CI28" s="184"/>
      <c r="CJ28" s="185"/>
      <c r="CK28" s="184"/>
      <c r="CL28" s="185"/>
      <c r="CM28" s="184"/>
      <c r="CN28" s="185"/>
      <c r="CO28" s="184"/>
      <c r="CP28" s="185"/>
      <c r="CQ28" s="184"/>
      <c r="CR28" s="185"/>
      <c r="CS28" s="184"/>
      <c r="CT28" s="185"/>
      <c r="CU28" s="184"/>
      <c r="CV28" s="185"/>
      <c r="CW28" s="184"/>
      <c r="CX28" s="185"/>
      <c r="CY28" s="184"/>
      <c r="CZ28" s="185"/>
      <c r="DA28" s="184"/>
      <c r="DB28" s="185"/>
      <c r="DC28" s="184"/>
      <c r="DD28" s="185"/>
      <c r="DE28" s="184"/>
      <c r="DF28" s="185"/>
      <c r="DG28" s="184"/>
      <c r="DH28" s="185"/>
      <c r="DI28" s="184"/>
      <c r="DJ28" s="185"/>
      <c r="DK28" s="184"/>
      <c r="DL28" s="185"/>
      <c r="DM28" s="184"/>
      <c r="DN28" s="185"/>
      <c r="DO28" s="184"/>
      <c r="DP28" s="185"/>
      <c r="DQ28" s="184"/>
      <c r="DR28" s="185"/>
      <c r="DS28" s="184"/>
      <c r="DT28" s="185"/>
      <c r="DU28" s="184"/>
      <c r="DV28" s="185"/>
    </row>
    <row r="29" spans="1:126" x14ac:dyDescent="0.2">
      <c r="A29" s="183" t="s">
        <v>119</v>
      </c>
      <c r="B29" s="183" t="s">
        <v>889</v>
      </c>
      <c r="C29" s="184">
        <f t="shared" si="147"/>
        <v>33387</v>
      </c>
      <c r="D29" s="185">
        <f t="shared" si="51"/>
        <v>18388</v>
      </c>
      <c r="E29" s="184">
        <f t="shared" si="148"/>
        <v>33387</v>
      </c>
      <c r="F29" s="185">
        <f t="shared" si="52"/>
        <v>18288</v>
      </c>
      <c r="G29" s="184">
        <f t="shared" si="3"/>
        <v>0</v>
      </c>
      <c r="H29" s="185">
        <f t="shared" si="3"/>
        <v>100</v>
      </c>
      <c r="I29" s="184"/>
      <c r="J29" s="185"/>
      <c r="K29" s="184"/>
      <c r="L29" s="185"/>
      <c r="M29" s="184"/>
      <c r="N29" s="185"/>
      <c r="O29" s="184">
        <v>2400</v>
      </c>
      <c r="P29" s="185">
        <f>1080+876</f>
        <v>1956</v>
      </c>
      <c r="Q29" s="184"/>
      <c r="R29" s="185"/>
      <c r="S29" s="184"/>
      <c r="T29" s="185"/>
      <c r="U29" s="184"/>
      <c r="V29" s="185"/>
      <c r="W29" s="184"/>
      <c r="X29" s="185"/>
      <c r="Y29" s="184"/>
      <c r="Z29" s="185"/>
      <c r="AA29" s="184"/>
      <c r="AB29" s="185"/>
      <c r="AC29" s="184"/>
      <c r="AD29" s="185"/>
      <c r="AE29" s="184">
        <v>30987</v>
      </c>
      <c r="AF29" s="185">
        <v>16332</v>
      </c>
      <c r="AG29" s="184"/>
      <c r="AH29" s="185"/>
      <c r="AI29" s="184"/>
      <c r="AJ29" s="185"/>
      <c r="AK29" s="184"/>
      <c r="AL29" s="185"/>
      <c r="AM29" s="184"/>
      <c r="AN29" s="185"/>
      <c r="AO29" s="184"/>
      <c r="AP29" s="185"/>
      <c r="AQ29" s="184"/>
      <c r="AR29" s="185"/>
      <c r="AS29" s="184"/>
      <c r="AT29" s="185"/>
      <c r="AU29" s="184"/>
      <c r="AV29" s="185"/>
      <c r="AW29" s="184"/>
      <c r="AX29" s="185"/>
      <c r="AY29" s="184"/>
      <c r="AZ29" s="185"/>
      <c r="BA29" s="184"/>
      <c r="BB29" s="185"/>
      <c r="BC29" s="184"/>
      <c r="BD29" s="185"/>
      <c r="BE29" s="184"/>
      <c r="BF29" s="185"/>
      <c r="BG29" s="184"/>
      <c r="BH29" s="185"/>
      <c r="BI29" s="184"/>
      <c r="BJ29" s="185"/>
      <c r="BK29" s="184"/>
      <c r="BL29" s="185"/>
      <c r="BM29" s="184"/>
      <c r="BN29" s="185"/>
      <c r="BO29" s="184"/>
      <c r="BP29" s="185"/>
      <c r="BQ29" s="184"/>
      <c r="BR29" s="185"/>
      <c r="BS29" s="184"/>
      <c r="BT29" s="185"/>
      <c r="BU29" s="184"/>
      <c r="BV29" s="185"/>
      <c r="BW29" s="184"/>
      <c r="BX29" s="185"/>
      <c r="BY29" s="184"/>
      <c r="BZ29" s="185"/>
      <c r="CA29" s="184"/>
      <c r="CB29" s="185"/>
      <c r="CC29" s="184"/>
      <c r="CD29" s="185"/>
      <c r="CE29" s="184"/>
      <c r="CF29" s="185"/>
      <c r="CG29" s="184"/>
      <c r="CH29" s="185"/>
      <c r="CI29" s="184"/>
      <c r="CJ29" s="185"/>
      <c r="CK29" s="184"/>
      <c r="CL29" s="185"/>
      <c r="CM29" s="184"/>
      <c r="CN29" s="185"/>
      <c r="CO29" s="184"/>
      <c r="CP29" s="185"/>
      <c r="CQ29" s="184"/>
      <c r="CR29" s="185"/>
      <c r="CS29" s="184"/>
      <c r="CT29" s="185"/>
      <c r="CU29" s="184"/>
      <c r="CV29" s="185"/>
      <c r="CW29" s="184"/>
      <c r="CX29" s="185"/>
      <c r="CY29" s="184"/>
      <c r="CZ29" s="185"/>
      <c r="DA29" s="184"/>
      <c r="DB29" s="185"/>
      <c r="DC29" s="184"/>
      <c r="DD29" s="185"/>
      <c r="DE29" s="184"/>
      <c r="DF29" s="185"/>
      <c r="DG29" s="184"/>
      <c r="DH29" s="185">
        <v>100</v>
      </c>
      <c r="DI29" s="184"/>
      <c r="DJ29" s="185"/>
      <c r="DK29" s="184"/>
      <c r="DL29" s="185"/>
      <c r="DM29" s="184"/>
      <c r="DN29" s="185"/>
      <c r="DO29" s="184"/>
      <c r="DP29" s="185"/>
      <c r="DQ29" s="184"/>
      <c r="DR29" s="185"/>
      <c r="DS29" s="184"/>
      <c r="DT29" s="185"/>
      <c r="DU29" s="184"/>
      <c r="DV29" s="185"/>
    </row>
    <row r="30" spans="1:126" x14ac:dyDescent="0.2">
      <c r="A30" s="183" t="s">
        <v>124</v>
      </c>
      <c r="B30" s="183" t="s">
        <v>126</v>
      </c>
      <c r="C30" s="184">
        <f t="shared" si="147"/>
        <v>2236</v>
      </c>
      <c r="D30" s="185">
        <f t="shared" si="51"/>
        <v>1286</v>
      </c>
      <c r="E30" s="184">
        <f t="shared" si="148"/>
        <v>600</v>
      </c>
      <c r="F30" s="185">
        <f t="shared" si="52"/>
        <v>1286</v>
      </c>
      <c r="G30" s="184">
        <f t="shared" si="3"/>
        <v>1636</v>
      </c>
      <c r="H30" s="185">
        <f t="shared" si="3"/>
        <v>0</v>
      </c>
      <c r="I30" s="184"/>
      <c r="J30" s="185"/>
      <c r="K30" s="184"/>
      <c r="L30" s="185"/>
      <c r="M30" s="184"/>
      <c r="N30" s="185"/>
      <c r="O30" s="184"/>
      <c r="P30" s="185"/>
      <c r="Q30" s="184"/>
      <c r="R30" s="185">
        <v>30</v>
      </c>
      <c r="S30" s="184"/>
      <c r="T30" s="185"/>
      <c r="U30" s="184"/>
      <c r="V30" s="185"/>
      <c r="W30" s="184"/>
      <c r="X30" s="185"/>
      <c r="Y30" s="184"/>
      <c r="Z30" s="185"/>
      <c r="AA30" s="184"/>
      <c r="AB30" s="185"/>
      <c r="AC30" s="184"/>
      <c r="AD30" s="185"/>
      <c r="AE30" s="184">
        <v>600</v>
      </c>
      <c r="AF30" s="185">
        <v>1256</v>
      </c>
      <c r="AG30" s="184"/>
      <c r="AH30" s="185"/>
      <c r="AI30" s="184"/>
      <c r="AJ30" s="185"/>
      <c r="AK30" s="184"/>
      <c r="AL30" s="185"/>
      <c r="AM30" s="184"/>
      <c r="AN30" s="185"/>
      <c r="AO30" s="184"/>
      <c r="AP30" s="185"/>
      <c r="AQ30" s="184"/>
      <c r="AR30" s="185"/>
      <c r="AS30" s="184"/>
      <c r="AT30" s="185"/>
      <c r="AU30" s="184"/>
      <c r="AV30" s="185"/>
      <c r="AW30" s="184"/>
      <c r="AX30" s="185"/>
      <c r="AY30" s="184"/>
      <c r="AZ30" s="185"/>
      <c r="BA30" s="184"/>
      <c r="BB30" s="185"/>
      <c r="BC30" s="184"/>
      <c r="BD30" s="185"/>
      <c r="BE30" s="184"/>
      <c r="BF30" s="185"/>
      <c r="BG30" s="184"/>
      <c r="BH30" s="185"/>
      <c r="BI30" s="184"/>
      <c r="BJ30" s="185"/>
      <c r="BK30" s="184">
        <f>4*298+37*12</f>
        <v>1636</v>
      </c>
      <c r="BL30" s="185">
        <v>0</v>
      </c>
      <c r="BM30" s="184"/>
      <c r="BN30" s="185"/>
      <c r="BO30" s="184"/>
      <c r="BP30" s="185"/>
      <c r="BQ30" s="184"/>
      <c r="BR30" s="185"/>
      <c r="BS30" s="184"/>
      <c r="BT30" s="185"/>
      <c r="BU30" s="184"/>
      <c r="BV30" s="185"/>
      <c r="BW30" s="184"/>
      <c r="BX30" s="185"/>
      <c r="BY30" s="184"/>
      <c r="BZ30" s="185"/>
      <c r="CA30" s="184"/>
      <c r="CB30" s="185"/>
      <c r="CC30" s="184"/>
      <c r="CD30" s="185"/>
      <c r="CE30" s="184"/>
      <c r="CF30" s="185"/>
      <c r="CG30" s="184"/>
      <c r="CH30" s="185"/>
      <c r="CI30" s="184"/>
      <c r="CJ30" s="185"/>
      <c r="CK30" s="184"/>
      <c r="CL30" s="185"/>
      <c r="CM30" s="184"/>
      <c r="CN30" s="185"/>
      <c r="CO30" s="184"/>
      <c r="CP30" s="185"/>
      <c r="CQ30" s="184"/>
      <c r="CR30" s="185"/>
      <c r="CS30" s="184"/>
      <c r="CT30" s="185"/>
      <c r="CU30" s="184"/>
      <c r="CV30" s="185"/>
      <c r="CW30" s="184"/>
      <c r="CX30" s="185"/>
      <c r="CY30" s="184"/>
      <c r="CZ30" s="185"/>
      <c r="DA30" s="184"/>
      <c r="DB30" s="185"/>
      <c r="DC30" s="184"/>
      <c r="DD30" s="185"/>
      <c r="DE30" s="184"/>
      <c r="DF30" s="185"/>
      <c r="DG30" s="184"/>
      <c r="DH30" s="185"/>
      <c r="DI30" s="184"/>
      <c r="DJ30" s="185"/>
      <c r="DK30" s="184"/>
      <c r="DL30" s="185"/>
      <c r="DM30" s="184"/>
      <c r="DN30" s="185"/>
      <c r="DO30" s="184"/>
      <c r="DP30" s="185"/>
      <c r="DQ30" s="184"/>
      <c r="DR30" s="185"/>
      <c r="DS30" s="184"/>
      <c r="DT30" s="185"/>
      <c r="DU30" s="184"/>
      <c r="DV30" s="185"/>
    </row>
    <row r="31" spans="1:126" x14ac:dyDescent="0.2">
      <c r="A31" s="183" t="s">
        <v>127</v>
      </c>
      <c r="B31" s="183" t="s">
        <v>890</v>
      </c>
      <c r="C31" s="184">
        <f t="shared" si="147"/>
        <v>1500</v>
      </c>
      <c r="D31" s="185">
        <f t="shared" si="51"/>
        <v>1825</v>
      </c>
      <c r="E31" s="184">
        <f t="shared" si="148"/>
        <v>1500</v>
      </c>
      <c r="F31" s="185">
        <f t="shared" si="52"/>
        <v>1825</v>
      </c>
      <c r="G31" s="184">
        <f t="shared" si="3"/>
        <v>0</v>
      </c>
      <c r="H31" s="185">
        <f t="shared" si="3"/>
        <v>0</v>
      </c>
      <c r="I31" s="184"/>
      <c r="J31" s="185"/>
      <c r="K31" s="184"/>
      <c r="L31" s="185"/>
      <c r="M31" s="184"/>
      <c r="N31" s="185"/>
      <c r="O31" s="184"/>
      <c r="P31" s="185"/>
      <c r="Q31" s="184"/>
      <c r="R31" s="185">
        <v>25</v>
      </c>
      <c r="S31" s="184"/>
      <c r="T31" s="185"/>
      <c r="U31" s="184"/>
      <c r="V31" s="185"/>
      <c r="W31" s="184"/>
      <c r="X31" s="185"/>
      <c r="Y31" s="184"/>
      <c r="Z31" s="185"/>
      <c r="AA31" s="184"/>
      <c r="AB31" s="185"/>
      <c r="AC31" s="184"/>
      <c r="AD31" s="185"/>
      <c r="AE31" s="184">
        <v>1500</v>
      </c>
      <c r="AF31" s="185">
        <v>1800</v>
      </c>
      <c r="AG31" s="184"/>
      <c r="AH31" s="185"/>
      <c r="AI31" s="184"/>
      <c r="AJ31" s="185"/>
      <c r="AK31" s="184"/>
      <c r="AL31" s="185"/>
      <c r="AM31" s="184"/>
      <c r="AN31" s="185"/>
      <c r="AO31" s="184"/>
      <c r="AP31" s="185"/>
      <c r="AQ31" s="184"/>
      <c r="AR31" s="185"/>
      <c r="AS31" s="184"/>
      <c r="AT31" s="185"/>
      <c r="AU31" s="184"/>
      <c r="AV31" s="185"/>
      <c r="AW31" s="184"/>
      <c r="AX31" s="185"/>
      <c r="AY31" s="184"/>
      <c r="AZ31" s="185"/>
      <c r="BA31" s="184"/>
      <c r="BB31" s="185"/>
      <c r="BC31" s="184"/>
      <c r="BD31" s="185"/>
      <c r="BE31" s="184"/>
      <c r="BF31" s="185"/>
      <c r="BG31" s="184"/>
      <c r="BH31" s="185"/>
      <c r="BI31" s="184"/>
      <c r="BJ31" s="185"/>
      <c r="BK31" s="184"/>
      <c r="BL31" s="185"/>
      <c r="BM31" s="184"/>
      <c r="BN31" s="185"/>
      <c r="BO31" s="184"/>
      <c r="BP31" s="185"/>
      <c r="BQ31" s="184"/>
      <c r="BR31" s="185"/>
      <c r="BS31" s="184"/>
      <c r="BT31" s="185"/>
      <c r="BU31" s="184"/>
      <c r="BV31" s="185"/>
      <c r="BW31" s="184"/>
      <c r="BX31" s="185"/>
      <c r="BY31" s="184"/>
      <c r="BZ31" s="185"/>
      <c r="CA31" s="184"/>
      <c r="CB31" s="185"/>
      <c r="CC31" s="184"/>
      <c r="CD31" s="185"/>
      <c r="CE31" s="184"/>
      <c r="CF31" s="185"/>
      <c r="CG31" s="184"/>
      <c r="CH31" s="185"/>
      <c r="CI31" s="184"/>
      <c r="CJ31" s="185"/>
      <c r="CK31" s="184"/>
      <c r="CL31" s="185"/>
      <c r="CM31" s="184"/>
      <c r="CN31" s="185"/>
      <c r="CO31" s="184"/>
      <c r="CP31" s="185"/>
      <c r="CQ31" s="184"/>
      <c r="CR31" s="185"/>
      <c r="CS31" s="184"/>
      <c r="CT31" s="185"/>
      <c r="CU31" s="184"/>
      <c r="CV31" s="185"/>
      <c r="CW31" s="184"/>
      <c r="CX31" s="185"/>
      <c r="CY31" s="184"/>
      <c r="CZ31" s="185"/>
      <c r="DA31" s="184"/>
      <c r="DB31" s="185"/>
      <c r="DC31" s="184"/>
      <c r="DD31" s="185"/>
      <c r="DE31" s="184"/>
      <c r="DF31" s="185"/>
      <c r="DG31" s="184"/>
      <c r="DH31" s="185"/>
      <c r="DI31" s="184"/>
      <c r="DJ31" s="185"/>
      <c r="DK31" s="184"/>
      <c r="DL31" s="185"/>
      <c r="DM31" s="184"/>
      <c r="DN31" s="185"/>
      <c r="DO31" s="184"/>
      <c r="DP31" s="185"/>
      <c r="DQ31" s="184"/>
      <c r="DR31" s="185"/>
      <c r="DS31" s="184"/>
      <c r="DT31" s="185"/>
      <c r="DU31" s="184"/>
      <c r="DV31" s="185"/>
    </row>
    <row r="32" spans="1:126" x14ac:dyDescent="0.2">
      <c r="A32" s="183" t="s">
        <v>132</v>
      </c>
      <c r="B32" s="183" t="s">
        <v>134</v>
      </c>
      <c r="C32" s="184">
        <f t="shared" si="147"/>
        <v>60967</v>
      </c>
      <c r="D32" s="185">
        <f t="shared" si="51"/>
        <v>75194</v>
      </c>
      <c r="E32" s="184">
        <f t="shared" si="148"/>
        <v>48012</v>
      </c>
      <c r="F32" s="185">
        <f t="shared" si="52"/>
        <v>56922</v>
      </c>
      <c r="G32" s="184">
        <f t="shared" si="3"/>
        <v>12955</v>
      </c>
      <c r="H32" s="185">
        <f t="shared" si="3"/>
        <v>18272</v>
      </c>
      <c r="I32" s="184"/>
      <c r="J32" s="185"/>
      <c r="K32" s="184">
        <f>6600+1350+200</f>
        <v>8150</v>
      </c>
      <c r="L32" s="185">
        <f>6600+500</f>
        <v>7100</v>
      </c>
      <c r="M32" s="184"/>
      <c r="N32" s="185"/>
      <c r="O32" s="184">
        <v>16640</v>
      </c>
      <c r="P32" s="185">
        <f>14300+1480</f>
        <v>15780</v>
      </c>
      <c r="Q32" s="184">
        <v>50</v>
      </c>
      <c r="R32" s="185">
        <v>50</v>
      </c>
      <c r="S32" s="184"/>
      <c r="T32" s="185"/>
      <c r="U32" s="184"/>
      <c r="V32" s="185"/>
      <c r="W32" s="184"/>
      <c r="X32" s="185"/>
      <c r="Y32" s="184"/>
      <c r="Z32" s="185"/>
      <c r="AA32" s="184"/>
      <c r="AB32" s="185"/>
      <c r="AC32" s="184"/>
      <c r="AD32" s="185"/>
      <c r="AE32" s="184">
        <v>23172</v>
      </c>
      <c r="AF32" s="185">
        <v>33992</v>
      </c>
      <c r="AG32" s="184"/>
      <c r="AH32" s="185"/>
      <c r="AI32" s="184"/>
      <c r="AJ32" s="185"/>
      <c r="AK32" s="184">
        <v>3744</v>
      </c>
      <c r="AL32" s="185">
        <v>3744</v>
      </c>
      <c r="AM32" s="184"/>
      <c r="AN32" s="185"/>
      <c r="AO32" s="184"/>
      <c r="AP32" s="185"/>
      <c r="AQ32" s="184"/>
      <c r="AR32" s="185"/>
      <c r="AS32" s="184"/>
      <c r="AT32" s="185"/>
      <c r="AU32" s="184"/>
      <c r="AV32" s="185"/>
      <c r="AW32" s="184">
        <v>2811</v>
      </c>
      <c r="AX32" s="185">
        <v>2811</v>
      </c>
      <c r="AY32" s="184">
        <v>1595</v>
      </c>
      <c r="AZ32" s="185">
        <v>1595</v>
      </c>
      <c r="BA32" s="184"/>
      <c r="BB32" s="185"/>
      <c r="BC32" s="184">
        <v>875</v>
      </c>
      <c r="BD32" s="185">
        <v>1750</v>
      </c>
      <c r="BE32" s="184">
        <v>720</v>
      </c>
      <c r="BF32" s="185">
        <v>1440</v>
      </c>
      <c r="BG32" s="184"/>
      <c r="BH32" s="185"/>
      <c r="BI32" s="184"/>
      <c r="BJ32" s="185"/>
      <c r="BK32" s="184"/>
      <c r="BL32" s="185"/>
      <c r="BM32" s="184">
        <v>1200</v>
      </c>
      <c r="BN32" s="185">
        <v>1500</v>
      </c>
      <c r="BO32" s="184"/>
      <c r="BP32" s="185"/>
      <c r="BQ32" s="184"/>
      <c r="BR32" s="185"/>
      <c r="BS32" s="184"/>
      <c r="BT32" s="185"/>
      <c r="BU32" s="184"/>
      <c r="BV32" s="185"/>
      <c r="BW32" s="184"/>
      <c r="BX32" s="185"/>
      <c r="BY32" s="184"/>
      <c r="BZ32" s="185"/>
      <c r="CA32" s="184"/>
      <c r="CB32" s="185"/>
      <c r="CC32" s="184"/>
      <c r="CD32" s="185"/>
      <c r="CE32" s="184"/>
      <c r="CF32" s="185"/>
      <c r="CG32" s="184"/>
      <c r="CH32" s="185"/>
      <c r="CI32" s="184"/>
      <c r="CJ32" s="185"/>
      <c r="CK32" s="184"/>
      <c r="CL32" s="185"/>
      <c r="CM32" s="184"/>
      <c r="CN32" s="185"/>
      <c r="CO32" s="184"/>
      <c r="CP32" s="185"/>
      <c r="CQ32" s="184"/>
      <c r="CR32" s="185"/>
      <c r="CS32" s="184"/>
      <c r="CT32" s="185">
        <v>512</v>
      </c>
      <c r="CU32" s="184"/>
      <c r="CV32" s="185"/>
      <c r="CW32" s="184"/>
      <c r="CX32" s="185"/>
      <c r="CY32" s="184"/>
      <c r="CZ32" s="185"/>
      <c r="DA32" s="184"/>
      <c r="DB32" s="185"/>
      <c r="DC32" s="184">
        <v>1710</v>
      </c>
      <c r="DD32" s="185">
        <v>2470</v>
      </c>
      <c r="DE32" s="184"/>
      <c r="DF32" s="185"/>
      <c r="DG32" s="184"/>
      <c r="DH32" s="185">
        <f>800+1500</f>
        <v>2300</v>
      </c>
      <c r="DI32" s="184"/>
      <c r="DJ32" s="185"/>
      <c r="DK32" s="184"/>
      <c r="DL32" s="185"/>
      <c r="DM32" s="184"/>
      <c r="DN32" s="185"/>
      <c r="DO32" s="184">
        <v>300</v>
      </c>
      <c r="DP32" s="185">
        <v>150</v>
      </c>
      <c r="DQ32" s="184"/>
      <c r="DR32" s="185"/>
      <c r="DS32" s="184"/>
      <c r="DT32" s="185"/>
      <c r="DU32" s="184"/>
      <c r="DV32" s="185"/>
    </row>
    <row r="33" spans="1:126" x14ac:dyDescent="0.2">
      <c r="A33" s="183" t="s">
        <v>138</v>
      </c>
      <c r="B33" s="183" t="s">
        <v>891</v>
      </c>
      <c r="C33" s="184">
        <f t="shared" si="147"/>
        <v>126806</v>
      </c>
      <c r="D33" s="185">
        <f t="shared" si="51"/>
        <v>80600</v>
      </c>
      <c r="E33" s="184">
        <f t="shared" si="148"/>
        <v>22807</v>
      </c>
      <c r="F33" s="185">
        <f t="shared" si="52"/>
        <v>43807</v>
      </c>
      <c r="G33" s="184">
        <f t="shared" si="3"/>
        <v>103999</v>
      </c>
      <c r="H33" s="185">
        <f t="shared" si="3"/>
        <v>36793</v>
      </c>
      <c r="I33" s="184"/>
      <c r="J33" s="185"/>
      <c r="K33" s="184"/>
      <c r="L33" s="185"/>
      <c r="M33" s="184">
        <v>2000</v>
      </c>
      <c r="N33" s="185">
        <v>2000</v>
      </c>
      <c r="O33" s="184"/>
      <c r="P33" s="185"/>
      <c r="Q33" s="184">
        <v>140</v>
      </c>
      <c r="R33" s="185">
        <v>140</v>
      </c>
      <c r="S33" s="184"/>
      <c r="T33" s="185"/>
      <c r="U33" s="184"/>
      <c r="V33" s="185"/>
      <c r="W33" s="184"/>
      <c r="X33" s="185"/>
      <c r="Y33" s="184">
        <f>788</f>
        <v>788</v>
      </c>
      <c r="Z33" s="185">
        <f>788</f>
        <v>788</v>
      </c>
      <c r="AA33" s="184">
        <f>1500+2362</f>
        <v>3862</v>
      </c>
      <c r="AB33" s="185">
        <f>2362</f>
        <v>2362</v>
      </c>
      <c r="AC33" s="184">
        <v>12</v>
      </c>
      <c r="AD33" s="185">
        <v>12</v>
      </c>
      <c r="AE33" s="184">
        <v>16005</v>
      </c>
      <c r="AF33" s="185">
        <v>38505</v>
      </c>
      <c r="AG33" s="184"/>
      <c r="AH33" s="185"/>
      <c r="AI33" s="184"/>
      <c r="AJ33" s="185"/>
      <c r="AK33" s="184">
        <v>0</v>
      </c>
      <c r="AL33" s="185">
        <v>0</v>
      </c>
      <c r="AM33" s="184"/>
      <c r="AN33" s="185"/>
      <c r="AO33" s="184">
        <v>3150</v>
      </c>
      <c r="AP33" s="185">
        <v>6347</v>
      </c>
      <c r="AQ33" s="184">
        <v>1000</v>
      </c>
      <c r="AR33" s="185">
        <v>1000</v>
      </c>
      <c r="AS33" s="184"/>
      <c r="AT33" s="185"/>
      <c r="AU33" s="184"/>
      <c r="AV33" s="185"/>
      <c r="AW33" s="184"/>
      <c r="AX33" s="185"/>
      <c r="AY33" s="184"/>
      <c r="AZ33" s="185"/>
      <c r="BA33" s="184">
        <v>4724</v>
      </c>
      <c r="BB33" s="185">
        <v>6000</v>
      </c>
      <c r="BC33" s="184"/>
      <c r="BD33" s="185"/>
      <c r="BE33" s="184"/>
      <c r="BF33" s="185"/>
      <c r="BG33" s="184">
        <v>2400</v>
      </c>
      <c r="BH33" s="185">
        <v>2400</v>
      </c>
      <c r="BI33" s="184">
        <v>1906</v>
      </c>
      <c r="BJ33" s="185">
        <v>1906</v>
      </c>
      <c r="BK33" s="184"/>
      <c r="BL33" s="185"/>
      <c r="BM33" s="184"/>
      <c r="BN33" s="185"/>
      <c r="BO33" s="184">
        <f>5388+600+7560-1737</f>
        <v>11811</v>
      </c>
      <c r="BP33" s="185">
        <f>14840</f>
        <v>14840</v>
      </c>
      <c r="BQ33" s="184"/>
      <c r="BR33" s="185"/>
      <c r="BS33" s="184"/>
      <c r="BT33" s="185"/>
      <c r="BU33" s="184"/>
      <c r="BV33" s="185"/>
      <c r="BW33" s="184"/>
      <c r="BX33" s="185"/>
      <c r="BY33" s="184"/>
      <c r="BZ33" s="185"/>
      <c r="CA33" s="184"/>
      <c r="CB33" s="185"/>
      <c r="CC33" s="184"/>
      <c r="CD33" s="185"/>
      <c r="CE33" s="184"/>
      <c r="CF33" s="185"/>
      <c r="CG33" s="184"/>
      <c r="CH33" s="185"/>
      <c r="CI33" s="184">
        <v>78608</v>
      </c>
      <c r="CJ33" s="185">
        <v>0</v>
      </c>
      <c r="CK33" s="184"/>
      <c r="CL33" s="185"/>
      <c r="CM33" s="184"/>
      <c r="CN33" s="185"/>
      <c r="CO33" s="184"/>
      <c r="CP33" s="185"/>
      <c r="CQ33" s="184"/>
      <c r="CR33" s="185"/>
      <c r="CS33" s="184"/>
      <c r="CT33" s="185"/>
      <c r="CU33" s="184"/>
      <c r="CV33" s="185"/>
      <c r="CW33" s="184"/>
      <c r="CX33" s="185"/>
      <c r="CY33" s="184"/>
      <c r="CZ33" s="185"/>
      <c r="DA33" s="184"/>
      <c r="DB33" s="185"/>
      <c r="DC33" s="184"/>
      <c r="DD33" s="185"/>
      <c r="DE33" s="184"/>
      <c r="DF33" s="185"/>
      <c r="DG33" s="184"/>
      <c r="DH33" s="185">
        <v>4100</v>
      </c>
      <c r="DI33" s="184"/>
      <c r="DJ33" s="185"/>
      <c r="DK33" s="184"/>
      <c r="DL33" s="185"/>
      <c r="DM33" s="184">
        <v>0</v>
      </c>
      <c r="DN33" s="185">
        <v>0</v>
      </c>
      <c r="DO33" s="184">
        <v>400</v>
      </c>
      <c r="DP33" s="185">
        <v>200</v>
      </c>
      <c r="DQ33" s="184"/>
      <c r="DR33" s="185"/>
      <c r="DS33" s="184"/>
      <c r="DT33" s="185"/>
      <c r="DU33" s="184"/>
      <c r="DV33" s="185"/>
    </row>
    <row r="34" spans="1:126" ht="13.6" x14ac:dyDescent="0.25">
      <c r="A34" s="190" t="s">
        <v>145</v>
      </c>
      <c r="B34" s="190" t="s">
        <v>892</v>
      </c>
      <c r="C34" s="191">
        <f>SUM(C27:C33)</f>
        <v>235396</v>
      </c>
      <c r="D34" s="192">
        <f>SUM(D27:D33)</f>
        <v>188593</v>
      </c>
      <c r="E34" s="191">
        <f t="shared" ref="E34:AE34" si="149">SUM(E27:E33)</f>
        <v>116806</v>
      </c>
      <c r="F34" s="192">
        <f t="shared" si="149"/>
        <v>133428</v>
      </c>
      <c r="G34" s="191">
        <f t="shared" si="149"/>
        <v>118590</v>
      </c>
      <c r="H34" s="192">
        <f>SUM(H27:H33)</f>
        <v>55165</v>
      </c>
      <c r="I34" s="191"/>
      <c r="J34" s="192"/>
      <c r="K34" s="191">
        <f t="shared" si="149"/>
        <v>8150</v>
      </c>
      <c r="L34" s="192">
        <f t="shared" si="149"/>
        <v>7100</v>
      </c>
      <c r="M34" s="191">
        <f t="shared" si="149"/>
        <v>2000</v>
      </c>
      <c r="N34" s="192">
        <f t="shared" si="149"/>
        <v>2000</v>
      </c>
      <c r="O34" s="191">
        <f t="shared" si="149"/>
        <v>19240</v>
      </c>
      <c r="P34" s="192">
        <f t="shared" si="149"/>
        <v>17936</v>
      </c>
      <c r="Q34" s="191">
        <f t="shared" si="149"/>
        <v>190</v>
      </c>
      <c r="R34" s="192">
        <f t="shared" si="149"/>
        <v>245</v>
      </c>
      <c r="S34" s="191">
        <f t="shared" si="149"/>
        <v>0</v>
      </c>
      <c r="T34" s="192">
        <f t="shared" ref="T34" si="150">SUM(T27:T33)</f>
        <v>0</v>
      </c>
      <c r="U34" s="191">
        <f t="shared" si="149"/>
        <v>0</v>
      </c>
      <c r="V34" s="192">
        <f t="shared" ref="V34" si="151">SUM(V27:V33)</f>
        <v>0</v>
      </c>
      <c r="W34" s="191">
        <f t="shared" si="149"/>
        <v>1900</v>
      </c>
      <c r="X34" s="192">
        <f t="shared" si="149"/>
        <v>1900</v>
      </c>
      <c r="Y34" s="191">
        <f t="shared" si="149"/>
        <v>788</v>
      </c>
      <c r="Z34" s="192">
        <f t="shared" si="149"/>
        <v>788</v>
      </c>
      <c r="AA34" s="191">
        <f t="shared" si="149"/>
        <v>3862</v>
      </c>
      <c r="AB34" s="192">
        <f t="shared" ref="AB34" si="152">SUM(AB27:AB33)</f>
        <v>2362</v>
      </c>
      <c r="AC34" s="191">
        <f t="shared" si="149"/>
        <v>12</v>
      </c>
      <c r="AD34" s="192">
        <f t="shared" ref="AD34" si="153">SUM(AD27:AD33)</f>
        <v>12</v>
      </c>
      <c r="AE34" s="191">
        <f t="shared" si="149"/>
        <v>80664</v>
      </c>
      <c r="AF34" s="192">
        <f t="shared" ref="AF34" si="154">SUM(AF27:AF33)</f>
        <v>101085</v>
      </c>
      <c r="AG34" s="191"/>
      <c r="AH34" s="192"/>
      <c r="AI34" s="191">
        <f t="shared" ref="AI34:DS34" si="155">SUM(AI27:AI33)</f>
        <v>0</v>
      </c>
      <c r="AJ34" s="192">
        <f t="shared" ref="AJ34" si="156">SUM(AJ27:AJ33)</f>
        <v>0</v>
      </c>
      <c r="AK34" s="191">
        <f t="shared" si="155"/>
        <v>3744</v>
      </c>
      <c r="AL34" s="192">
        <f t="shared" ref="AL34" si="157">SUM(AL27:AL33)</f>
        <v>3744</v>
      </c>
      <c r="AM34" s="191">
        <f t="shared" si="155"/>
        <v>0</v>
      </c>
      <c r="AN34" s="192"/>
      <c r="AO34" s="191">
        <f t="shared" si="155"/>
        <v>3150</v>
      </c>
      <c r="AP34" s="192">
        <f t="shared" ref="AP34" si="158">SUM(AP27:AP33)</f>
        <v>6347</v>
      </c>
      <c r="AQ34" s="191">
        <f t="shared" si="155"/>
        <v>1000</v>
      </c>
      <c r="AR34" s="192">
        <f t="shared" ref="AR34" si="159">SUM(AR27:AR33)</f>
        <v>1000</v>
      </c>
      <c r="AS34" s="191">
        <f t="shared" si="155"/>
        <v>0</v>
      </c>
      <c r="AT34" s="192">
        <f t="shared" ref="AT34" si="160">SUM(AT27:AT33)</f>
        <v>0</v>
      </c>
      <c r="AU34" s="191">
        <f t="shared" si="155"/>
        <v>0</v>
      </c>
      <c r="AV34" s="192">
        <f t="shared" ref="AV34" si="161">SUM(AV27:AV33)</f>
        <v>0</v>
      </c>
      <c r="AW34" s="191">
        <f t="shared" si="155"/>
        <v>2811</v>
      </c>
      <c r="AX34" s="192">
        <f t="shared" ref="AX34" si="162">SUM(AX27:AX33)</f>
        <v>2811</v>
      </c>
      <c r="AY34" s="191">
        <f t="shared" si="155"/>
        <v>1595</v>
      </c>
      <c r="AZ34" s="192">
        <f t="shared" ref="AZ34" si="163">SUM(AZ27:AZ33)</f>
        <v>1595</v>
      </c>
      <c r="BA34" s="191">
        <f t="shared" si="155"/>
        <v>4724</v>
      </c>
      <c r="BB34" s="192">
        <f t="shared" ref="BB34" si="164">SUM(BB27:BB33)</f>
        <v>6000</v>
      </c>
      <c r="BC34" s="191">
        <f t="shared" si="155"/>
        <v>875</v>
      </c>
      <c r="BD34" s="192">
        <f t="shared" ref="BD34" si="165">SUM(BD27:BD33)</f>
        <v>1750</v>
      </c>
      <c r="BE34" s="191">
        <f t="shared" si="155"/>
        <v>720</v>
      </c>
      <c r="BF34" s="192">
        <f t="shared" ref="BF34" si="166">SUM(BF27:BF33)</f>
        <v>1440</v>
      </c>
      <c r="BG34" s="191">
        <f t="shared" si="155"/>
        <v>2400</v>
      </c>
      <c r="BH34" s="192">
        <f t="shared" ref="BH34" si="167">SUM(BH27:BH33)</f>
        <v>2400</v>
      </c>
      <c r="BI34" s="191">
        <f t="shared" si="155"/>
        <v>1906</v>
      </c>
      <c r="BJ34" s="192">
        <f t="shared" ref="BJ34" si="168">SUM(BJ27:BJ33)</f>
        <v>1906</v>
      </c>
      <c r="BK34" s="191">
        <f t="shared" si="155"/>
        <v>1636</v>
      </c>
      <c r="BL34" s="192">
        <f t="shared" ref="BL34" si="169">SUM(BL27:BL33)</f>
        <v>0</v>
      </c>
      <c r="BM34" s="191">
        <f t="shared" si="155"/>
        <v>1200</v>
      </c>
      <c r="BN34" s="192">
        <f t="shared" ref="BN34" si="170">SUM(BN27:BN33)</f>
        <v>1500</v>
      </c>
      <c r="BO34" s="191">
        <f t="shared" si="155"/>
        <v>11811</v>
      </c>
      <c r="BP34" s="192">
        <f t="shared" ref="BP34" si="171">SUM(BP27:BP33)</f>
        <v>14840</v>
      </c>
      <c r="BQ34" s="191">
        <f t="shared" si="155"/>
        <v>0</v>
      </c>
      <c r="BR34" s="192">
        <f t="shared" ref="BR34" si="172">SUM(BR27:BR33)</f>
        <v>0</v>
      </c>
      <c r="BS34" s="191">
        <f t="shared" si="155"/>
        <v>0</v>
      </c>
      <c r="BT34" s="192">
        <f t="shared" ref="BT34" si="173">SUM(BT27:BT33)</f>
        <v>0</v>
      </c>
      <c r="BU34" s="191">
        <f t="shared" si="155"/>
        <v>0</v>
      </c>
      <c r="BV34" s="192">
        <f t="shared" ref="BV34" si="174">SUM(BV27:BV33)</f>
        <v>0</v>
      </c>
      <c r="BW34" s="191">
        <f t="shared" si="155"/>
        <v>0</v>
      </c>
      <c r="BX34" s="192">
        <f t="shared" ref="BX34" si="175">SUM(BX27:BX33)</f>
        <v>0</v>
      </c>
      <c r="BY34" s="191">
        <f t="shared" si="155"/>
        <v>0</v>
      </c>
      <c r="BZ34" s="192">
        <f t="shared" ref="BZ34" si="176">SUM(BZ27:BZ33)</f>
        <v>0</v>
      </c>
      <c r="CA34" s="191">
        <f t="shared" si="155"/>
        <v>0</v>
      </c>
      <c r="CB34" s="192">
        <f t="shared" ref="CB34" si="177">SUM(CB27:CB33)</f>
        <v>0</v>
      </c>
      <c r="CC34" s="191">
        <f t="shared" si="155"/>
        <v>0</v>
      </c>
      <c r="CD34" s="192">
        <f t="shared" ref="CD34" si="178">SUM(CD27:CD33)</f>
        <v>0</v>
      </c>
      <c r="CE34" s="191">
        <f>SUM(CE27:CE33)</f>
        <v>0</v>
      </c>
      <c r="CF34" s="192">
        <f>SUM(CF27:CF33)</f>
        <v>0</v>
      </c>
      <c r="CG34" s="191">
        <f t="shared" si="155"/>
        <v>0</v>
      </c>
      <c r="CH34" s="192">
        <f t="shared" ref="CH34" si="179">SUM(CH27:CH33)</f>
        <v>0</v>
      </c>
      <c r="CI34" s="191">
        <f t="shared" si="155"/>
        <v>78608</v>
      </c>
      <c r="CJ34" s="192">
        <f t="shared" ref="CJ34" si="180">SUM(CJ27:CJ33)</f>
        <v>0</v>
      </c>
      <c r="CK34" s="191">
        <f t="shared" si="155"/>
        <v>0</v>
      </c>
      <c r="CL34" s="192">
        <f t="shared" ref="CL34" si="181">SUM(CL27:CL33)</f>
        <v>0</v>
      </c>
      <c r="CM34" s="191">
        <f t="shared" si="155"/>
        <v>0</v>
      </c>
      <c r="CN34" s="192">
        <f t="shared" ref="CN34" si="182">SUM(CN27:CN33)</f>
        <v>0</v>
      </c>
      <c r="CO34" s="191">
        <f t="shared" si="155"/>
        <v>0</v>
      </c>
      <c r="CP34" s="192">
        <f t="shared" ref="CP34" si="183">SUM(CP27:CP33)</f>
        <v>0</v>
      </c>
      <c r="CQ34" s="191">
        <f t="shared" si="155"/>
        <v>0</v>
      </c>
      <c r="CR34" s="192">
        <f t="shared" ref="CR34" si="184">SUM(CR27:CR33)</f>
        <v>0</v>
      </c>
      <c r="CS34" s="191">
        <f t="shared" si="155"/>
        <v>0</v>
      </c>
      <c r="CT34" s="192">
        <f t="shared" ref="CT34" si="185">SUM(CT27:CT33)</f>
        <v>512</v>
      </c>
      <c r="CU34" s="191">
        <f t="shared" si="155"/>
        <v>0</v>
      </c>
      <c r="CV34" s="192">
        <f t="shared" ref="CV34" si="186">SUM(CV27:CV33)</f>
        <v>0</v>
      </c>
      <c r="CW34" s="191">
        <f t="shared" si="155"/>
        <v>0</v>
      </c>
      <c r="CX34" s="192">
        <f t="shared" ref="CX34" si="187">SUM(CX27:CX33)</f>
        <v>0</v>
      </c>
      <c r="CY34" s="191">
        <f t="shared" si="155"/>
        <v>0</v>
      </c>
      <c r="CZ34" s="192"/>
      <c r="DA34" s="191">
        <f t="shared" si="155"/>
        <v>0</v>
      </c>
      <c r="DB34" s="192"/>
      <c r="DC34" s="191">
        <f t="shared" si="155"/>
        <v>1710</v>
      </c>
      <c r="DD34" s="192">
        <f t="shared" ref="DD34" si="188">SUM(DD27:DD33)</f>
        <v>2470</v>
      </c>
      <c r="DE34" s="191">
        <f t="shared" si="155"/>
        <v>0</v>
      </c>
      <c r="DF34" s="192">
        <f t="shared" ref="DF34" si="189">SUM(DF27:DF33)</f>
        <v>0</v>
      </c>
      <c r="DG34" s="191">
        <f t="shared" si="155"/>
        <v>0</v>
      </c>
      <c r="DH34" s="192">
        <f t="shared" ref="DH34" si="190">SUM(DH27:DH33)</f>
        <v>6500</v>
      </c>
      <c r="DI34" s="191">
        <f t="shared" si="155"/>
        <v>0</v>
      </c>
      <c r="DJ34" s="192">
        <f t="shared" ref="DJ34" si="191">SUM(DJ27:DJ33)</f>
        <v>0</v>
      </c>
      <c r="DK34" s="191">
        <f t="shared" si="155"/>
        <v>0</v>
      </c>
      <c r="DL34" s="192">
        <f t="shared" ref="DL34" si="192">SUM(DL27:DL33)</f>
        <v>0</v>
      </c>
      <c r="DM34" s="191">
        <f t="shared" si="155"/>
        <v>0</v>
      </c>
      <c r="DN34" s="192">
        <f t="shared" ref="DN34" si="193">SUM(DN27:DN33)</f>
        <v>0</v>
      </c>
      <c r="DO34" s="191">
        <f t="shared" si="155"/>
        <v>700</v>
      </c>
      <c r="DP34" s="192">
        <f t="shared" ref="DP34" si="194">SUM(DP27:DP33)</f>
        <v>350</v>
      </c>
      <c r="DQ34" s="191">
        <f t="shared" si="155"/>
        <v>0</v>
      </c>
      <c r="DR34" s="192"/>
      <c r="DS34" s="191">
        <f t="shared" si="155"/>
        <v>0</v>
      </c>
      <c r="DT34" s="192">
        <f t="shared" ref="DT34" si="195">SUM(DT27:DT33)</f>
        <v>0</v>
      </c>
      <c r="DU34" s="191"/>
      <c r="DV34" s="192"/>
    </row>
    <row r="35" spans="1:126" x14ac:dyDescent="0.2">
      <c r="A35" s="183" t="s">
        <v>148</v>
      </c>
      <c r="B35" s="183" t="s">
        <v>893</v>
      </c>
      <c r="C35" s="184">
        <f>E35+G35+I35</f>
        <v>1540</v>
      </c>
      <c r="D35" s="185">
        <f t="shared" si="51"/>
        <v>3530</v>
      </c>
      <c r="E35" s="184">
        <f>K35+M35+O34:O35+Q35+S35+U35+W35+Y35+AA35+AC35+AE35+AI35</f>
        <v>1310</v>
      </c>
      <c r="F35" s="185">
        <f t="shared" si="52"/>
        <v>1800</v>
      </c>
      <c r="G35" s="184">
        <f t="shared" si="3"/>
        <v>230</v>
      </c>
      <c r="H35" s="185">
        <f t="shared" si="3"/>
        <v>1730</v>
      </c>
      <c r="I35" s="184"/>
      <c r="J35" s="185"/>
      <c r="K35" s="184"/>
      <c r="L35" s="185"/>
      <c r="M35" s="184"/>
      <c r="N35" s="185"/>
      <c r="O35" s="184"/>
      <c r="P35" s="185"/>
      <c r="Q35" s="184">
        <v>500</v>
      </c>
      <c r="R35" s="185">
        <v>450</v>
      </c>
      <c r="S35" s="184"/>
      <c r="T35" s="185"/>
      <c r="U35" s="184"/>
      <c r="V35" s="185"/>
      <c r="W35" s="184"/>
      <c r="X35" s="185"/>
      <c r="Y35" s="184"/>
      <c r="Z35" s="185"/>
      <c r="AA35" s="184"/>
      <c r="AB35" s="185"/>
      <c r="AC35" s="184"/>
      <c r="AD35" s="185"/>
      <c r="AE35" s="184">
        <v>810</v>
      </c>
      <c r="AF35" s="185">
        <v>1350</v>
      </c>
      <c r="AG35" s="184"/>
      <c r="AH35" s="185"/>
      <c r="AI35" s="184"/>
      <c r="AJ35" s="185"/>
      <c r="AK35" s="184"/>
      <c r="AL35" s="185"/>
      <c r="AM35" s="184"/>
      <c r="AN35" s="185"/>
      <c r="AO35" s="184"/>
      <c r="AP35" s="185"/>
      <c r="AQ35" s="184">
        <v>230</v>
      </c>
      <c r="AR35" s="185">
        <v>230</v>
      </c>
      <c r="AS35" s="184"/>
      <c r="AT35" s="185"/>
      <c r="AU35" s="184"/>
      <c r="AV35" s="185"/>
      <c r="AW35" s="184"/>
      <c r="AX35" s="185"/>
      <c r="AY35" s="184"/>
      <c r="AZ35" s="185"/>
      <c r="BA35" s="184"/>
      <c r="BB35" s="185"/>
      <c r="BC35" s="184"/>
      <c r="BD35" s="185"/>
      <c r="BE35" s="184"/>
      <c r="BF35" s="185"/>
      <c r="BG35" s="184"/>
      <c r="BH35" s="185"/>
      <c r="BI35" s="184"/>
      <c r="BJ35" s="185"/>
      <c r="BK35" s="184"/>
      <c r="BL35" s="185"/>
      <c r="BM35" s="184"/>
      <c r="BN35" s="185"/>
      <c r="BO35" s="184"/>
      <c r="BP35" s="185"/>
      <c r="BQ35" s="184"/>
      <c r="BR35" s="185"/>
      <c r="BS35" s="184"/>
      <c r="BT35" s="185"/>
      <c r="BU35" s="184"/>
      <c r="BV35" s="185"/>
      <c r="BW35" s="184"/>
      <c r="BX35" s="185"/>
      <c r="BY35" s="184"/>
      <c r="BZ35" s="185"/>
      <c r="CA35" s="184"/>
      <c r="CB35" s="185"/>
      <c r="CC35" s="184"/>
      <c r="CD35" s="185"/>
      <c r="CE35" s="184"/>
      <c r="CF35" s="185"/>
      <c r="CG35" s="184"/>
      <c r="CH35" s="185"/>
      <c r="CI35" s="184"/>
      <c r="CJ35" s="185"/>
      <c r="CK35" s="184"/>
      <c r="CL35" s="185"/>
      <c r="CM35" s="184"/>
      <c r="CN35" s="185"/>
      <c r="CO35" s="184"/>
      <c r="CP35" s="185"/>
      <c r="CQ35" s="184"/>
      <c r="CR35" s="185"/>
      <c r="CS35" s="184"/>
      <c r="CT35" s="185"/>
      <c r="CU35" s="184"/>
      <c r="CV35" s="185"/>
      <c r="CW35" s="184"/>
      <c r="CX35" s="185"/>
      <c r="CY35" s="184"/>
      <c r="CZ35" s="185"/>
      <c r="DA35" s="184"/>
      <c r="DB35" s="185"/>
      <c r="DC35" s="184"/>
      <c r="DD35" s="185"/>
      <c r="DE35" s="184"/>
      <c r="DF35" s="185"/>
      <c r="DG35" s="184"/>
      <c r="DH35" s="185">
        <v>1500</v>
      </c>
      <c r="DI35" s="184"/>
      <c r="DJ35" s="185"/>
      <c r="DK35" s="184"/>
      <c r="DL35" s="185"/>
      <c r="DM35" s="184"/>
      <c r="DN35" s="185"/>
      <c r="DO35" s="184"/>
      <c r="DP35" s="185"/>
      <c r="DQ35" s="184"/>
      <c r="DR35" s="185"/>
      <c r="DS35" s="184"/>
      <c r="DT35" s="185"/>
      <c r="DU35" s="184"/>
      <c r="DV35" s="185"/>
    </row>
    <row r="36" spans="1:126" x14ac:dyDescent="0.2">
      <c r="A36" s="183" t="s">
        <v>153</v>
      </c>
      <c r="B36" s="183" t="s">
        <v>894</v>
      </c>
      <c r="C36" s="184">
        <f>E36+G36+I36</f>
        <v>160</v>
      </c>
      <c r="D36" s="185">
        <f t="shared" si="51"/>
        <v>660</v>
      </c>
      <c r="E36" s="184">
        <f>K36+M36+O35:O36+Q36+S36+U36+W36+Y36+AA36+AC36+AE36+AI36</f>
        <v>160</v>
      </c>
      <c r="F36" s="185">
        <f t="shared" si="52"/>
        <v>160</v>
      </c>
      <c r="G36" s="184">
        <f t="shared" si="3"/>
        <v>0</v>
      </c>
      <c r="H36" s="185">
        <f t="shared" si="3"/>
        <v>500</v>
      </c>
      <c r="I36" s="184"/>
      <c r="J36" s="185"/>
      <c r="K36" s="184"/>
      <c r="L36" s="185"/>
      <c r="M36" s="184"/>
      <c r="N36" s="185"/>
      <c r="O36" s="184"/>
      <c r="P36" s="185"/>
      <c r="Q36" s="184"/>
      <c r="R36" s="185"/>
      <c r="S36" s="184"/>
      <c r="T36" s="185"/>
      <c r="U36" s="184"/>
      <c r="V36" s="185"/>
      <c r="W36" s="184"/>
      <c r="X36" s="185"/>
      <c r="Y36" s="184"/>
      <c r="Z36" s="185"/>
      <c r="AA36" s="184"/>
      <c r="AB36" s="185"/>
      <c r="AC36" s="184"/>
      <c r="AD36" s="185"/>
      <c r="AE36" s="184">
        <v>160</v>
      </c>
      <c r="AF36" s="185">
        <v>160</v>
      </c>
      <c r="AG36" s="184"/>
      <c r="AH36" s="185"/>
      <c r="AI36" s="184"/>
      <c r="AJ36" s="185"/>
      <c r="AK36" s="184"/>
      <c r="AL36" s="185"/>
      <c r="AM36" s="184"/>
      <c r="AN36" s="185"/>
      <c r="AO36" s="184"/>
      <c r="AP36" s="185"/>
      <c r="AQ36" s="184"/>
      <c r="AR36" s="185"/>
      <c r="AS36" s="184"/>
      <c r="AT36" s="185"/>
      <c r="AU36" s="184"/>
      <c r="AV36" s="185"/>
      <c r="AW36" s="184"/>
      <c r="AX36" s="185"/>
      <c r="AY36" s="184"/>
      <c r="AZ36" s="185"/>
      <c r="BA36" s="184"/>
      <c r="BB36" s="185"/>
      <c r="BC36" s="184"/>
      <c r="BD36" s="185"/>
      <c r="BE36" s="184"/>
      <c r="BF36" s="185"/>
      <c r="BG36" s="184"/>
      <c r="BH36" s="185"/>
      <c r="BI36" s="184"/>
      <c r="BJ36" s="185"/>
      <c r="BK36" s="184"/>
      <c r="BL36" s="185"/>
      <c r="BM36" s="184"/>
      <c r="BN36" s="185"/>
      <c r="BO36" s="184"/>
      <c r="BP36" s="185"/>
      <c r="BQ36" s="184"/>
      <c r="BR36" s="185"/>
      <c r="BS36" s="184"/>
      <c r="BT36" s="185"/>
      <c r="BU36" s="184"/>
      <c r="BV36" s="185"/>
      <c r="BW36" s="184"/>
      <c r="BX36" s="185"/>
      <c r="BY36" s="184"/>
      <c r="BZ36" s="185"/>
      <c r="CA36" s="184"/>
      <c r="CB36" s="185"/>
      <c r="CC36" s="184"/>
      <c r="CD36" s="185"/>
      <c r="CE36" s="184"/>
      <c r="CF36" s="185"/>
      <c r="CG36" s="184"/>
      <c r="CH36" s="185"/>
      <c r="CI36" s="184"/>
      <c r="CJ36" s="185"/>
      <c r="CK36" s="184"/>
      <c r="CL36" s="185"/>
      <c r="CM36" s="184"/>
      <c r="CN36" s="185"/>
      <c r="CO36" s="184"/>
      <c r="CP36" s="185"/>
      <c r="CQ36" s="184"/>
      <c r="CR36" s="185"/>
      <c r="CS36" s="184"/>
      <c r="CT36" s="185"/>
      <c r="CU36" s="184"/>
      <c r="CV36" s="185"/>
      <c r="CW36" s="184"/>
      <c r="CX36" s="185"/>
      <c r="CY36" s="184"/>
      <c r="CZ36" s="185"/>
      <c r="DA36" s="184"/>
      <c r="DB36" s="185"/>
      <c r="DC36" s="184"/>
      <c r="DD36" s="185"/>
      <c r="DE36" s="184"/>
      <c r="DF36" s="185"/>
      <c r="DG36" s="184"/>
      <c r="DH36" s="185">
        <v>500</v>
      </c>
      <c r="DI36" s="184"/>
      <c r="DJ36" s="185"/>
      <c r="DK36" s="184"/>
      <c r="DL36" s="185"/>
      <c r="DM36" s="184"/>
      <c r="DN36" s="185"/>
      <c r="DO36" s="184"/>
      <c r="DP36" s="185"/>
      <c r="DQ36" s="184"/>
      <c r="DR36" s="185"/>
      <c r="DS36" s="184"/>
      <c r="DT36" s="185"/>
      <c r="DU36" s="184"/>
      <c r="DV36" s="185"/>
    </row>
    <row r="37" spans="1:126" ht="13.6" x14ac:dyDescent="0.25">
      <c r="A37" s="190" t="s">
        <v>156</v>
      </c>
      <c r="B37" s="190" t="s">
        <v>895</v>
      </c>
      <c r="C37" s="191">
        <f t="shared" ref="C37:H37" si="196">SUM(C35:C36)</f>
        <v>1700</v>
      </c>
      <c r="D37" s="192">
        <f t="shared" si="196"/>
        <v>4190</v>
      </c>
      <c r="E37" s="191">
        <f t="shared" si="196"/>
        <v>1470</v>
      </c>
      <c r="F37" s="192">
        <f t="shared" si="196"/>
        <v>1960</v>
      </c>
      <c r="G37" s="191">
        <f t="shared" si="196"/>
        <v>230</v>
      </c>
      <c r="H37" s="192">
        <f t="shared" si="196"/>
        <v>2230</v>
      </c>
      <c r="I37" s="191"/>
      <c r="J37" s="192"/>
      <c r="K37" s="191">
        <f t="shared" ref="K37:AO37" si="197">SUM(K35:K36)</f>
        <v>0</v>
      </c>
      <c r="L37" s="192">
        <f t="shared" si="197"/>
        <v>0</v>
      </c>
      <c r="M37" s="191">
        <f t="shared" si="197"/>
        <v>0</v>
      </c>
      <c r="N37" s="192">
        <f t="shared" si="197"/>
        <v>0</v>
      </c>
      <c r="O37" s="191">
        <f t="shared" si="197"/>
        <v>0</v>
      </c>
      <c r="P37" s="192">
        <f t="shared" si="197"/>
        <v>0</v>
      </c>
      <c r="Q37" s="191">
        <f t="shared" si="197"/>
        <v>500</v>
      </c>
      <c r="R37" s="192">
        <f t="shared" si="197"/>
        <v>450</v>
      </c>
      <c r="S37" s="191">
        <f t="shared" si="197"/>
        <v>0</v>
      </c>
      <c r="T37" s="192">
        <f t="shared" ref="T37" si="198">SUM(T35:T36)</f>
        <v>0</v>
      </c>
      <c r="U37" s="191">
        <f t="shared" si="197"/>
        <v>0</v>
      </c>
      <c r="V37" s="192">
        <f t="shared" ref="V37" si="199">SUM(V35:V36)</f>
        <v>0</v>
      </c>
      <c r="W37" s="191">
        <f t="shared" si="197"/>
        <v>0</v>
      </c>
      <c r="X37" s="192">
        <f t="shared" si="197"/>
        <v>0</v>
      </c>
      <c r="Y37" s="191">
        <f t="shared" si="197"/>
        <v>0</v>
      </c>
      <c r="Z37" s="192">
        <f t="shared" si="197"/>
        <v>0</v>
      </c>
      <c r="AA37" s="191">
        <f t="shared" si="197"/>
        <v>0</v>
      </c>
      <c r="AB37" s="192">
        <f t="shared" ref="AB37" si="200">SUM(AB35:AB36)</f>
        <v>0</v>
      </c>
      <c r="AC37" s="191">
        <f t="shared" si="197"/>
        <v>0</v>
      </c>
      <c r="AD37" s="192">
        <f t="shared" ref="AD37" si="201">SUM(AD35:AD36)</f>
        <v>0</v>
      </c>
      <c r="AE37" s="191">
        <f t="shared" si="197"/>
        <v>970</v>
      </c>
      <c r="AF37" s="192">
        <f t="shared" ref="AF37" si="202">SUM(AF35:AF36)</f>
        <v>1510</v>
      </c>
      <c r="AG37" s="191"/>
      <c r="AH37" s="192"/>
      <c r="AI37" s="191">
        <f>SUM(AI35:AI36)</f>
        <v>0</v>
      </c>
      <c r="AJ37" s="192">
        <f>SUM(AJ35:AJ36)</f>
        <v>0</v>
      </c>
      <c r="AK37" s="191">
        <f t="shared" si="197"/>
        <v>0</v>
      </c>
      <c r="AL37" s="192">
        <f t="shared" ref="AL37" si="203">SUM(AL35:AL36)</f>
        <v>0</v>
      </c>
      <c r="AM37" s="191">
        <f t="shared" si="197"/>
        <v>0</v>
      </c>
      <c r="AN37" s="192"/>
      <c r="AO37" s="191">
        <f t="shared" si="197"/>
        <v>0</v>
      </c>
      <c r="AP37" s="192">
        <f t="shared" ref="AP37" si="204">SUM(AP35:AP36)</f>
        <v>0</v>
      </c>
      <c r="AQ37" s="191">
        <f t="shared" ref="AQ37:DS37" si="205">SUM(AQ35:AQ36)</f>
        <v>230</v>
      </c>
      <c r="AR37" s="192">
        <f t="shared" ref="AR37" si="206">SUM(AR35:AR36)</f>
        <v>230</v>
      </c>
      <c r="AS37" s="191">
        <f t="shared" si="205"/>
        <v>0</v>
      </c>
      <c r="AT37" s="192">
        <f t="shared" ref="AT37" si="207">SUM(AT35:AT36)</f>
        <v>0</v>
      </c>
      <c r="AU37" s="191">
        <f t="shared" si="205"/>
        <v>0</v>
      </c>
      <c r="AV37" s="192">
        <f t="shared" ref="AV37" si="208">SUM(AV35:AV36)</f>
        <v>0</v>
      </c>
      <c r="AW37" s="191">
        <f t="shared" si="205"/>
        <v>0</v>
      </c>
      <c r="AX37" s="192">
        <f t="shared" ref="AX37" si="209">SUM(AX35:AX36)</f>
        <v>0</v>
      </c>
      <c r="AY37" s="191">
        <f t="shared" si="205"/>
        <v>0</v>
      </c>
      <c r="AZ37" s="192">
        <f t="shared" ref="AZ37" si="210">SUM(AZ35:AZ36)</f>
        <v>0</v>
      </c>
      <c r="BA37" s="191">
        <f t="shared" si="205"/>
        <v>0</v>
      </c>
      <c r="BB37" s="192">
        <f t="shared" ref="BB37" si="211">SUM(BB35:BB36)</f>
        <v>0</v>
      </c>
      <c r="BC37" s="191">
        <f t="shared" si="205"/>
        <v>0</v>
      </c>
      <c r="BD37" s="192">
        <f t="shared" ref="BD37" si="212">SUM(BD35:BD36)</f>
        <v>0</v>
      </c>
      <c r="BE37" s="191">
        <f t="shared" si="205"/>
        <v>0</v>
      </c>
      <c r="BF37" s="192">
        <f t="shared" ref="BF37" si="213">SUM(BF35:BF36)</f>
        <v>0</v>
      </c>
      <c r="BG37" s="191">
        <f t="shared" si="205"/>
        <v>0</v>
      </c>
      <c r="BH37" s="192">
        <f t="shared" ref="BH37" si="214">SUM(BH35:BH36)</f>
        <v>0</v>
      </c>
      <c r="BI37" s="191">
        <f t="shared" si="205"/>
        <v>0</v>
      </c>
      <c r="BJ37" s="192">
        <f t="shared" ref="BJ37" si="215">SUM(BJ35:BJ36)</f>
        <v>0</v>
      </c>
      <c r="BK37" s="191">
        <f t="shared" si="205"/>
        <v>0</v>
      </c>
      <c r="BL37" s="192">
        <f t="shared" ref="BL37" si="216">SUM(BL35:BL36)</f>
        <v>0</v>
      </c>
      <c r="BM37" s="191">
        <f t="shared" si="205"/>
        <v>0</v>
      </c>
      <c r="BN37" s="192">
        <f t="shared" ref="BN37" si="217">SUM(BN35:BN36)</f>
        <v>0</v>
      </c>
      <c r="BO37" s="191">
        <f t="shared" si="205"/>
        <v>0</v>
      </c>
      <c r="BP37" s="192">
        <f t="shared" ref="BP37" si="218">SUM(BP35:BP36)</f>
        <v>0</v>
      </c>
      <c r="BQ37" s="191">
        <f t="shared" si="205"/>
        <v>0</v>
      </c>
      <c r="BR37" s="192">
        <f t="shared" ref="BR37" si="219">SUM(BR35:BR36)</f>
        <v>0</v>
      </c>
      <c r="BS37" s="191">
        <f t="shared" si="205"/>
        <v>0</v>
      </c>
      <c r="BT37" s="192">
        <f t="shared" ref="BT37" si="220">SUM(BT35:BT36)</f>
        <v>0</v>
      </c>
      <c r="BU37" s="191">
        <f t="shared" si="205"/>
        <v>0</v>
      </c>
      <c r="BV37" s="192">
        <f t="shared" ref="BV37" si="221">SUM(BV35:BV36)</f>
        <v>0</v>
      </c>
      <c r="BW37" s="191">
        <f t="shared" si="205"/>
        <v>0</v>
      </c>
      <c r="BX37" s="192">
        <f t="shared" ref="BX37" si="222">SUM(BX35:BX36)</f>
        <v>0</v>
      </c>
      <c r="BY37" s="191">
        <f t="shared" si="205"/>
        <v>0</v>
      </c>
      <c r="BZ37" s="192">
        <f t="shared" ref="BZ37" si="223">SUM(BZ35:BZ36)</f>
        <v>0</v>
      </c>
      <c r="CA37" s="191">
        <f t="shared" si="205"/>
        <v>0</v>
      </c>
      <c r="CB37" s="192">
        <f t="shared" ref="CB37" si="224">SUM(CB35:CB36)</f>
        <v>0</v>
      </c>
      <c r="CC37" s="191">
        <f t="shared" si="205"/>
        <v>0</v>
      </c>
      <c r="CD37" s="192">
        <f t="shared" ref="CD37" si="225">SUM(CD35:CD36)</f>
        <v>0</v>
      </c>
      <c r="CE37" s="191">
        <f>SUM(CE35:CE36)</f>
        <v>0</v>
      </c>
      <c r="CF37" s="192">
        <f>SUM(CF35:CF36)</f>
        <v>0</v>
      </c>
      <c r="CG37" s="191">
        <f t="shared" si="205"/>
        <v>0</v>
      </c>
      <c r="CH37" s="192">
        <f t="shared" ref="CH37" si="226">SUM(CH35:CH36)</f>
        <v>0</v>
      </c>
      <c r="CI37" s="191">
        <f t="shared" si="205"/>
        <v>0</v>
      </c>
      <c r="CJ37" s="192">
        <f t="shared" ref="CJ37" si="227">SUM(CJ35:CJ36)</f>
        <v>0</v>
      </c>
      <c r="CK37" s="191">
        <f t="shared" si="205"/>
        <v>0</v>
      </c>
      <c r="CL37" s="192">
        <f t="shared" ref="CL37" si="228">SUM(CL35:CL36)</f>
        <v>0</v>
      </c>
      <c r="CM37" s="191">
        <f t="shared" si="205"/>
        <v>0</v>
      </c>
      <c r="CN37" s="192">
        <f t="shared" ref="CN37" si="229">SUM(CN35:CN36)</f>
        <v>0</v>
      </c>
      <c r="CO37" s="191">
        <f t="shared" si="205"/>
        <v>0</v>
      </c>
      <c r="CP37" s="192">
        <f t="shared" ref="CP37" si="230">SUM(CP35:CP36)</f>
        <v>0</v>
      </c>
      <c r="CQ37" s="191">
        <f t="shared" si="205"/>
        <v>0</v>
      </c>
      <c r="CR37" s="192">
        <f t="shared" ref="CR37" si="231">SUM(CR35:CR36)</f>
        <v>0</v>
      </c>
      <c r="CS37" s="191">
        <f t="shared" si="205"/>
        <v>0</v>
      </c>
      <c r="CT37" s="192">
        <f t="shared" ref="CT37" si="232">SUM(CT35:CT36)</f>
        <v>0</v>
      </c>
      <c r="CU37" s="191">
        <f t="shared" si="205"/>
        <v>0</v>
      </c>
      <c r="CV37" s="192">
        <f t="shared" ref="CV37" si="233">SUM(CV35:CV36)</f>
        <v>0</v>
      </c>
      <c r="CW37" s="191">
        <f t="shared" si="205"/>
        <v>0</v>
      </c>
      <c r="CX37" s="192">
        <f t="shared" ref="CX37" si="234">SUM(CX35:CX36)</f>
        <v>0</v>
      </c>
      <c r="CY37" s="191">
        <f t="shared" si="205"/>
        <v>0</v>
      </c>
      <c r="CZ37" s="192"/>
      <c r="DA37" s="191">
        <f t="shared" si="205"/>
        <v>0</v>
      </c>
      <c r="DB37" s="192"/>
      <c r="DC37" s="191">
        <f t="shared" si="205"/>
        <v>0</v>
      </c>
      <c r="DD37" s="192">
        <f t="shared" ref="DD37" si="235">SUM(DD35:DD36)</f>
        <v>0</v>
      </c>
      <c r="DE37" s="191">
        <f t="shared" si="205"/>
        <v>0</v>
      </c>
      <c r="DF37" s="192">
        <f t="shared" ref="DF37" si="236">SUM(DF35:DF36)</f>
        <v>0</v>
      </c>
      <c r="DG37" s="191">
        <f t="shared" si="205"/>
        <v>0</v>
      </c>
      <c r="DH37" s="192">
        <f t="shared" ref="DH37" si="237">SUM(DH35:DH36)</f>
        <v>2000</v>
      </c>
      <c r="DI37" s="191">
        <f t="shared" si="205"/>
        <v>0</v>
      </c>
      <c r="DJ37" s="192">
        <f t="shared" ref="DJ37" si="238">SUM(DJ35:DJ36)</f>
        <v>0</v>
      </c>
      <c r="DK37" s="191">
        <f t="shared" si="205"/>
        <v>0</v>
      </c>
      <c r="DL37" s="192">
        <f t="shared" ref="DL37" si="239">SUM(DL35:DL36)</f>
        <v>0</v>
      </c>
      <c r="DM37" s="191">
        <f t="shared" si="205"/>
        <v>0</v>
      </c>
      <c r="DN37" s="192">
        <f t="shared" ref="DN37" si="240">SUM(DN35:DN36)</f>
        <v>0</v>
      </c>
      <c r="DO37" s="191">
        <f t="shared" si="205"/>
        <v>0</v>
      </c>
      <c r="DP37" s="192">
        <f t="shared" ref="DP37" si="241">SUM(DP35:DP36)</f>
        <v>0</v>
      </c>
      <c r="DQ37" s="191">
        <f t="shared" si="205"/>
        <v>0</v>
      </c>
      <c r="DR37" s="192"/>
      <c r="DS37" s="191">
        <f t="shared" si="205"/>
        <v>0</v>
      </c>
      <c r="DT37" s="192">
        <f t="shared" ref="DT37" si="242">SUM(DT35:DT36)</f>
        <v>0</v>
      </c>
      <c r="DU37" s="191"/>
      <c r="DV37" s="192"/>
    </row>
    <row r="38" spans="1:126" x14ac:dyDescent="0.2">
      <c r="A38" s="183" t="s">
        <v>159</v>
      </c>
      <c r="B38" s="183" t="s">
        <v>896</v>
      </c>
      <c r="C38" s="184">
        <f>E38+G38+I38</f>
        <v>59828</v>
      </c>
      <c r="D38" s="185">
        <f t="shared" si="51"/>
        <v>47758</v>
      </c>
      <c r="E38" s="184">
        <f>K38+M38+O37:O38+Q38+S38+U38+W38+Y38+AA38+AC38+AE38+AI38</f>
        <v>31584</v>
      </c>
      <c r="F38" s="185">
        <f t="shared" si="52"/>
        <v>36890</v>
      </c>
      <c r="G38" s="184">
        <f t="shared" si="3"/>
        <v>28244</v>
      </c>
      <c r="H38" s="185">
        <f t="shared" si="3"/>
        <v>10868</v>
      </c>
      <c r="I38" s="184"/>
      <c r="J38" s="185"/>
      <c r="K38" s="184">
        <f>ROUND((K23+K26+K34+K36)*0.27,0)</f>
        <v>2255</v>
      </c>
      <c r="L38" s="185">
        <f>ROUND((L23+L26+L34+L36)*0.27,0)</f>
        <v>1949</v>
      </c>
      <c r="M38" s="184">
        <f>ROUND((M23+M26+M34+M36)*0.27,0)</f>
        <v>540</v>
      </c>
      <c r="N38" s="185">
        <f>ROUND((N23+N26+N34+N36)*0.27,0)</f>
        <v>540</v>
      </c>
      <c r="O38" s="184">
        <f>ROUND((O23+O26+O34+O36-O32)*0.27,0)</f>
        <v>702</v>
      </c>
      <c r="P38" s="185">
        <f>ROUND((P23+P26+P34+P36-P32)*0.27,0)</f>
        <v>582</v>
      </c>
      <c r="Q38" s="184">
        <f>ROUND((Q23+Q26+Q34+Q36)*0.27,0)</f>
        <v>185</v>
      </c>
      <c r="R38" s="185">
        <f>ROUND((R23+R26+R34+R36)*0.27,0)</f>
        <v>346</v>
      </c>
      <c r="S38" s="184"/>
      <c r="T38" s="185"/>
      <c r="U38" s="184"/>
      <c r="V38" s="185"/>
      <c r="W38" s="184">
        <f>ROUND((W23+W26+W34+W36)*0.27,0)</f>
        <v>513</v>
      </c>
      <c r="X38" s="185">
        <f>ROUND((X23+X26+X34+X36)*0.27,0)</f>
        <v>513</v>
      </c>
      <c r="Y38" s="184">
        <v>212</v>
      </c>
      <c r="Z38" s="185">
        <f>212</f>
        <v>212</v>
      </c>
      <c r="AA38" s="184">
        <f t="shared" ref="AA38:AF38" si="243">ROUND((AA23+AA26+AA34+AA36)*0.27,0)</f>
        <v>1043</v>
      </c>
      <c r="AB38" s="185">
        <f t="shared" si="243"/>
        <v>638</v>
      </c>
      <c r="AC38" s="184">
        <f t="shared" si="243"/>
        <v>79</v>
      </c>
      <c r="AD38" s="185">
        <f t="shared" si="243"/>
        <v>79</v>
      </c>
      <c r="AE38" s="184">
        <f t="shared" si="243"/>
        <v>26055</v>
      </c>
      <c r="AF38" s="185">
        <f t="shared" si="243"/>
        <v>32031</v>
      </c>
      <c r="AG38" s="184"/>
      <c r="AH38" s="185"/>
      <c r="AI38" s="184"/>
      <c r="AJ38" s="185"/>
      <c r="AK38" s="184"/>
      <c r="AL38" s="185"/>
      <c r="AM38" s="184"/>
      <c r="AN38" s="185"/>
      <c r="AO38" s="184">
        <v>850</v>
      </c>
      <c r="AP38" s="185">
        <v>1714</v>
      </c>
      <c r="AQ38" s="184">
        <f>ROUND((AQ23+AQ26+AQ34+AQ36)*0.27,0)</f>
        <v>270</v>
      </c>
      <c r="AR38" s="185">
        <f>ROUND((AR23+AR26+AR34+AR36)*0.27,0)</f>
        <v>270</v>
      </c>
      <c r="AS38" s="184"/>
      <c r="AT38" s="185"/>
      <c r="AU38" s="184"/>
      <c r="AV38" s="185"/>
      <c r="AW38" s="184"/>
      <c r="AX38" s="185"/>
      <c r="AY38" s="184"/>
      <c r="AZ38" s="185"/>
      <c r="BA38" s="184">
        <v>1276</v>
      </c>
      <c r="BB38" s="185">
        <f>ROUND((BB23+BB26+BB34+BB36)*0.27,0)</f>
        <v>1620</v>
      </c>
      <c r="BC38" s="184"/>
      <c r="BD38" s="185"/>
      <c r="BE38" s="184">
        <f>ROUND((BE23+BE26+BE34+BE36)*0.27,0)</f>
        <v>194</v>
      </c>
      <c r="BF38" s="185">
        <f>ROUND((BF23+BF26+BF34+BF36)*0.27,0)</f>
        <v>389</v>
      </c>
      <c r="BG38" s="184"/>
      <c r="BH38" s="185"/>
      <c r="BI38" s="184">
        <f>ROUND((BI23+BI26+BI34+BI36)*0.27,0)</f>
        <v>515</v>
      </c>
      <c r="BJ38" s="185">
        <f>ROUND((BJ23+BJ26+BJ34+BJ36)*0.27,0)</f>
        <v>515</v>
      </c>
      <c r="BK38" s="184">
        <v>442</v>
      </c>
      <c r="BL38" s="185">
        <f>ROUND((BL23+BL26+BL34+BL36)*0.27,0)</f>
        <v>0</v>
      </c>
      <c r="BM38" s="184"/>
      <c r="BN38" s="185"/>
      <c r="BO38" s="184">
        <f>ROUND((BO23+BO26+BO34+BO36)*0.27,0)</f>
        <v>3189</v>
      </c>
      <c r="BP38" s="185">
        <f>ROUND((BP23+BP26+BP34+BP36)*0.27,0)</f>
        <v>4007</v>
      </c>
      <c r="BQ38" s="184"/>
      <c r="BR38" s="185"/>
      <c r="BS38" s="184"/>
      <c r="BT38" s="185"/>
      <c r="BU38" s="184"/>
      <c r="BV38" s="185"/>
      <c r="BW38" s="184"/>
      <c r="BX38" s="185"/>
      <c r="BY38" s="184"/>
      <c r="BZ38" s="185"/>
      <c r="CA38" s="184"/>
      <c r="CB38" s="185"/>
      <c r="CC38" s="184"/>
      <c r="CD38" s="185"/>
      <c r="CE38" s="184"/>
      <c r="CF38" s="185"/>
      <c r="CG38" s="184"/>
      <c r="CH38" s="185"/>
      <c r="CI38" s="184">
        <f>ROUND((CI23+CI26+CI34+CI36)*0.27,0)</f>
        <v>21224</v>
      </c>
      <c r="CJ38" s="185">
        <f>ROUND((CJ23+CJ26+CJ34+CJ36)*0.27,0)</f>
        <v>0</v>
      </c>
      <c r="CK38" s="184"/>
      <c r="CL38" s="185"/>
      <c r="CM38" s="184"/>
      <c r="CN38" s="185"/>
      <c r="CO38" s="184"/>
      <c r="CP38" s="185"/>
      <c r="CQ38" s="184"/>
      <c r="CR38" s="185"/>
      <c r="CS38" s="184"/>
      <c r="CT38" s="185">
        <f>ROUND((CT23+CT26+CT34+CT36)*0.27,0)</f>
        <v>138</v>
      </c>
      <c r="CU38" s="184"/>
      <c r="CV38" s="185"/>
      <c r="CW38" s="184"/>
      <c r="CX38" s="185"/>
      <c r="CY38" s="184"/>
      <c r="CZ38" s="185"/>
      <c r="DA38" s="184"/>
      <c r="DB38" s="185"/>
      <c r="DC38" s="184"/>
      <c r="DD38" s="185"/>
      <c r="DE38" s="184"/>
      <c r="DF38" s="185"/>
      <c r="DG38" s="184"/>
      <c r="DH38" s="185">
        <f>ROUND((DH23+DH26+DH34+DH36)*0.27,0)</f>
        <v>2120</v>
      </c>
      <c r="DI38" s="184"/>
      <c r="DJ38" s="185"/>
      <c r="DK38" s="184"/>
      <c r="DL38" s="185"/>
      <c r="DM38" s="184">
        <v>95</v>
      </c>
      <c r="DN38" s="185">
        <v>0</v>
      </c>
      <c r="DO38" s="184">
        <f>ROUND((DO23+DO26+DO34+DO36)*0.27,0)</f>
        <v>189</v>
      </c>
      <c r="DP38" s="185">
        <f>ROUND((DP23+DP26+DP34+DP36)*0.27,0)</f>
        <v>95</v>
      </c>
      <c r="DQ38" s="184"/>
      <c r="DR38" s="185"/>
      <c r="DS38" s="184"/>
      <c r="DT38" s="185"/>
      <c r="DU38" s="184"/>
      <c r="DV38" s="185"/>
    </row>
    <row r="39" spans="1:126" x14ac:dyDescent="0.2">
      <c r="A39" s="183" t="s">
        <v>164</v>
      </c>
      <c r="B39" s="183" t="s">
        <v>897</v>
      </c>
      <c r="C39" s="184">
        <f>E39+G39+I39</f>
        <v>5000</v>
      </c>
      <c r="D39" s="185">
        <f t="shared" si="51"/>
        <v>5000</v>
      </c>
      <c r="E39" s="184">
        <f>K39+M39+O38:O39+Q39+S39+U39+W39+Y39+AA39+AC39+AE39+AI39</f>
        <v>5000</v>
      </c>
      <c r="F39" s="185">
        <f t="shared" si="52"/>
        <v>5000</v>
      </c>
      <c r="G39" s="184">
        <f t="shared" si="3"/>
        <v>0</v>
      </c>
      <c r="H39" s="185">
        <f t="shared" si="3"/>
        <v>0</v>
      </c>
      <c r="I39" s="184"/>
      <c r="J39" s="185"/>
      <c r="K39" s="184"/>
      <c r="L39" s="185"/>
      <c r="M39" s="184"/>
      <c r="N39" s="185"/>
      <c r="O39" s="184"/>
      <c r="P39" s="185"/>
      <c r="Q39" s="184"/>
      <c r="R39" s="185"/>
      <c r="S39" s="184"/>
      <c r="T39" s="185"/>
      <c r="U39" s="184"/>
      <c r="V39" s="185"/>
      <c r="W39" s="184"/>
      <c r="X39" s="185"/>
      <c r="Y39" s="184"/>
      <c r="Z39" s="185"/>
      <c r="AA39" s="184"/>
      <c r="AB39" s="185"/>
      <c r="AC39" s="184"/>
      <c r="AD39" s="185"/>
      <c r="AE39" s="184">
        <v>5000</v>
      </c>
      <c r="AF39" s="185">
        <v>5000</v>
      </c>
      <c r="AG39" s="184"/>
      <c r="AH39" s="185"/>
      <c r="AI39" s="184"/>
      <c r="AJ39" s="185"/>
      <c r="AK39" s="184"/>
      <c r="AL39" s="185"/>
      <c r="AM39" s="184"/>
      <c r="AN39" s="185"/>
      <c r="AO39" s="184"/>
      <c r="AP39" s="185"/>
      <c r="AQ39" s="184"/>
      <c r="AR39" s="185"/>
      <c r="AS39" s="184"/>
      <c r="AT39" s="185"/>
      <c r="AU39" s="184"/>
      <c r="AV39" s="185"/>
      <c r="AW39" s="184"/>
      <c r="AX39" s="185"/>
      <c r="AY39" s="184"/>
      <c r="AZ39" s="185"/>
      <c r="BA39" s="184"/>
      <c r="BB39" s="185"/>
      <c r="BC39" s="184"/>
      <c r="BD39" s="185"/>
      <c r="BE39" s="184"/>
      <c r="BF39" s="185"/>
      <c r="BG39" s="184"/>
      <c r="BH39" s="185"/>
      <c r="BI39" s="184"/>
      <c r="BJ39" s="185"/>
      <c r="BK39" s="184"/>
      <c r="BL39" s="185"/>
      <c r="BM39" s="184"/>
      <c r="BN39" s="185"/>
      <c r="BO39" s="184"/>
      <c r="BP39" s="185"/>
      <c r="BQ39" s="184"/>
      <c r="BR39" s="185"/>
      <c r="BS39" s="184"/>
      <c r="BT39" s="185"/>
      <c r="BU39" s="184"/>
      <c r="BV39" s="185"/>
      <c r="BW39" s="184"/>
      <c r="BX39" s="185"/>
      <c r="BY39" s="184"/>
      <c r="BZ39" s="185"/>
      <c r="CA39" s="184"/>
      <c r="CB39" s="185"/>
      <c r="CC39" s="184"/>
      <c r="CD39" s="185"/>
      <c r="CE39" s="184"/>
      <c r="CF39" s="185"/>
      <c r="CG39" s="184"/>
      <c r="CH39" s="185"/>
      <c r="CI39" s="184"/>
      <c r="CJ39" s="185"/>
      <c r="CK39" s="184"/>
      <c r="CL39" s="185"/>
      <c r="CM39" s="184"/>
      <c r="CN39" s="185"/>
      <c r="CO39" s="184"/>
      <c r="CP39" s="185"/>
      <c r="CQ39" s="184"/>
      <c r="CR39" s="185"/>
      <c r="CS39" s="184"/>
      <c r="CT39" s="185"/>
      <c r="CU39" s="184"/>
      <c r="CV39" s="185"/>
      <c r="CW39" s="184"/>
      <c r="CX39" s="185"/>
      <c r="CY39" s="184"/>
      <c r="CZ39" s="185"/>
      <c r="DA39" s="184"/>
      <c r="DB39" s="185"/>
      <c r="DC39" s="184"/>
      <c r="DD39" s="185"/>
      <c r="DE39" s="184"/>
      <c r="DF39" s="185"/>
      <c r="DG39" s="184"/>
      <c r="DH39" s="185"/>
      <c r="DI39" s="184"/>
      <c r="DJ39" s="185"/>
      <c r="DK39" s="184"/>
      <c r="DL39" s="185"/>
      <c r="DM39" s="184"/>
      <c r="DN39" s="185"/>
      <c r="DO39" s="184"/>
      <c r="DP39" s="185"/>
      <c r="DQ39" s="184"/>
      <c r="DR39" s="185"/>
      <c r="DS39" s="184"/>
      <c r="DT39" s="185"/>
      <c r="DU39" s="184"/>
      <c r="DV39" s="185"/>
    </row>
    <row r="40" spans="1:126" x14ac:dyDescent="0.2">
      <c r="A40" s="183" t="s">
        <v>170</v>
      </c>
      <c r="B40" s="183" t="s">
        <v>172</v>
      </c>
      <c r="C40" s="184">
        <f>E40+G40+I40</f>
        <v>3600</v>
      </c>
      <c r="D40" s="185">
        <f t="shared" si="51"/>
        <v>3500</v>
      </c>
      <c r="E40" s="184">
        <f>K40+M40+O39:O40+Q40+S40+U40+W40+Y40+AA40+AC40+AE40+AI40</f>
        <v>3600</v>
      </c>
      <c r="F40" s="185">
        <f t="shared" si="52"/>
        <v>3500</v>
      </c>
      <c r="G40" s="184">
        <f t="shared" si="3"/>
        <v>0</v>
      </c>
      <c r="H40" s="185">
        <f t="shared" si="3"/>
        <v>0</v>
      </c>
      <c r="I40" s="184"/>
      <c r="J40" s="185"/>
      <c r="K40" s="184"/>
      <c r="L40" s="185"/>
      <c r="M40" s="184"/>
      <c r="N40" s="185"/>
      <c r="O40" s="184"/>
      <c r="P40" s="185"/>
      <c r="Q40" s="184"/>
      <c r="R40" s="185"/>
      <c r="S40" s="184"/>
      <c r="T40" s="185"/>
      <c r="U40" s="184"/>
      <c r="V40" s="185"/>
      <c r="W40" s="184"/>
      <c r="X40" s="185"/>
      <c r="Y40" s="184"/>
      <c r="Z40" s="185"/>
      <c r="AA40" s="184"/>
      <c r="AB40" s="185"/>
      <c r="AC40" s="184"/>
      <c r="AD40" s="185"/>
      <c r="AE40" s="184">
        <v>3600</v>
      </c>
      <c r="AF40" s="185">
        <v>3500</v>
      </c>
      <c r="AG40" s="184"/>
      <c r="AH40" s="185"/>
      <c r="AI40" s="184"/>
      <c r="AJ40" s="185"/>
      <c r="AK40" s="184"/>
      <c r="AL40" s="185"/>
      <c r="AM40" s="184"/>
      <c r="AN40" s="185"/>
      <c r="AO40" s="184"/>
      <c r="AP40" s="185"/>
      <c r="AQ40" s="184"/>
      <c r="AR40" s="185"/>
      <c r="AS40" s="184"/>
      <c r="AT40" s="185"/>
      <c r="AU40" s="184"/>
      <c r="AV40" s="185"/>
      <c r="AW40" s="184"/>
      <c r="AX40" s="185"/>
      <c r="AY40" s="184"/>
      <c r="AZ40" s="185"/>
      <c r="BA40" s="184"/>
      <c r="BB40" s="185"/>
      <c r="BC40" s="184"/>
      <c r="BD40" s="185"/>
      <c r="BE40" s="184"/>
      <c r="BF40" s="185"/>
      <c r="BG40" s="184"/>
      <c r="BH40" s="185"/>
      <c r="BI40" s="184"/>
      <c r="BJ40" s="185"/>
      <c r="BK40" s="184"/>
      <c r="BL40" s="185"/>
      <c r="BM40" s="184"/>
      <c r="BN40" s="185"/>
      <c r="BO40" s="184"/>
      <c r="BP40" s="185"/>
      <c r="BQ40" s="184"/>
      <c r="BR40" s="185"/>
      <c r="BS40" s="184"/>
      <c r="BT40" s="185"/>
      <c r="BU40" s="184"/>
      <c r="BV40" s="185"/>
      <c r="BW40" s="184"/>
      <c r="BX40" s="185"/>
      <c r="BY40" s="184"/>
      <c r="BZ40" s="185"/>
      <c r="CA40" s="184"/>
      <c r="CB40" s="185"/>
      <c r="CC40" s="184"/>
      <c r="CD40" s="185"/>
      <c r="CE40" s="184"/>
      <c r="CF40" s="185"/>
      <c r="CG40" s="184"/>
      <c r="CH40" s="185"/>
      <c r="CI40" s="184"/>
      <c r="CJ40" s="185"/>
      <c r="CK40" s="184"/>
      <c r="CL40" s="185"/>
      <c r="CM40" s="184"/>
      <c r="CN40" s="185"/>
      <c r="CO40" s="184"/>
      <c r="CP40" s="185"/>
      <c r="CQ40" s="184"/>
      <c r="CR40" s="185"/>
      <c r="CS40" s="184"/>
      <c r="CT40" s="185"/>
      <c r="CU40" s="184"/>
      <c r="CV40" s="185"/>
      <c r="CW40" s="184"/>
      <c r="CX40" s="185"/>
      <c r="CY40" s="184"/>
      <c r="CZ40" s="185"/>
      <c r="DA40" s="184"/>
      <c r="DB40" s="185"/>
      <c r="DC40" s="184"/>
      <c r="DD40" s="185"/>
      <c r="DE40" s="184"/>
      <c r="DF40" s="185"/>
      <c r="DG40" s="184"/>
      <c r="DH40" s="185"/>
      <c r="DI40" s="184"/>
      <c r="DJ40" s="185"/>
      <c r="DK40" s="184"/>
      <c r="DL40" s="185"/>
      <c r="DM40" s="184"/>
      <c r="DN40" s="185"/>
      <c r="DO40" s="184"/>
      <c r="DP40" s="185"/>
      <c r="DQ40" s="184"/>
      <c r="DR40" s="185"/>
      <c r="DS40" s="184"/>
      <c r="DT40" s="185"/>
      <c r="DU40" s="184"/>
      <c r="DV40" s="185"/>
    </row>
    <row r="41" spans="1:126" x14ac:dyDescent="0.2">
      <c r="A41" s="183" t="s">
        <v>177</v>
      </c>
      <c r="B41" s="183" t="s">
        <v>179</v>
      </c>
      <c r="C41" s="184">
        <f>E41+G41+I41</f>
        <v>0</v>
      </c>
      <c r="D41" s="185">
        <f t="shared" si="51"/>
        <v>0</v>
      </c>
      <c r="E41" s="184">
        <f>K41+M41+O40:O41+Q41+S41+U41+W41+Y41+AA41+AC41+AE41+AI41</f>
        <v>0</v>
      </c>
      <c r="F41" s="185">
        <f t="shared" si="52"/>
        <v>0</v>
      </c>
      <c r="G41" s="184">
        <f t="shared" si="3"/>
        <v>0</v>
      </c>
      <c r="H41" s="185">
        <f t="shared" si="3"/>
        <v>0</v>
      </c>
      <c r="I41" s="184"/>
      <c r="J41" s="185"/>
      <c r="K41" s="184"/>
      <c r="L41" s="185"/>
      <c r="M41" s="184"/>
      <c r="N41" s="185"/>
      <c r="O41" s="184"/>
      <c r="P41" s="185"/>
      <c r="Q41" s="184"/>
      <c r="R41" s="185"/>
      <c r="S41" s="184"/>
      <c r="T41" s="185"/>
      <c r="U41" s="184"/>
      <c r="V41" s="185"/>
      <c r="W41" s="184"/>
      <c r="X41" s="185"/>
      <c r="Y41" s="184"/>
      <c r="Z41" s="185"/>
      <c r="AA41" s="184"/>
      <c r="AB41" s="185"/>
      <c r="AC41" s="184"/>
      <c r="AD41" s="185"/>
      <c r="AE41" s="184">
        <v>0</v>
      </c>
      <c r="AF41" s="185">
        <v>0</v>
      </c>
      <c r="AG41" s="184"/>
      <c r="AH41" s="185"/>
      <c r="AI41" s="184"/>
      <c r="AJ41" s="185"/>
      <c r="AK41" s="184"/>
      <c r="AL41" s="185"/>
      <c r="AM41" s="184"/>
      <c r="AN41" s="185"/>
      <c r="AO41" s="184"/>
      <c r="AP41" s="185"/>
      <c r="AQ41" s="184"/>
      <c r="AR41" s="185"/>
      <c r="AS41" s="184"/>
      <c r="AT41" s="185"/>
      <c r="AU41" s="184"/>
      <c r="AV41" s="185"/>
      <c r="AW41" s="184"/>
      <c r="AX41" s="185"/>
      <c r="AY41" s="184"/>
      <c r="AZ41" s="185"/>
      <c r="BA41" s="184"/>
      <c r="BB41" s="185"/>
      <c r="BC41" s="184"/>
      <c r="BD41" s="185"/>
      <c r="BE41" s="184"/>
      <c r="BF41" s="185"/>
      <c r="BG41" s="184"/>
      <c r="BH41" s="185"/>
      <c r="BI41" s="184"/>
      <c r="BJ41" s="185"/>
      <c r="BK41" s="184"/>
      <c r="BL41" s="185"/>
      <c r="BM41" s="184"/>
      <c r="BN41" s="185"/>
      <c r="BO41" s="184"/>
      <c r="BP41" s="185"/>
      <c r="BQ41" s="184"/>
      <c r="BR41" s="185"/>
      <c r="BS41" s="184"/>
      <c r="BT41" s="185"/>
      <c r="BU41" s="184"/>
      <c r="BV41" s="185"/>
      <c r="BW41" s="184"/>
      <c r="BX41" s="185"/>
      <c r="BY41" s="184"/>
      <c r="BZ41" s="185"/>
      <c r="CA41" s="184"/>
      <c r="CB41" s="185"/>
      <c r="CC41" s="184"/>
      <c r="CD41" s="185"/>
      <c r="CE41" s="184"/>
      <c r="CF41" s="185"/>
      <c r="CG41" s="184"/>
      <c r="CH41" s="185"/>
      <c r="CI41" s="184"/>
      <c r="CJ41" s="185"/>
      <c r="CK41" s="184"/>
      <c r="CL41" s="185"/>
      <c r="CM41" s="184"/>
      <c r="CN41" s="185"/>
      <c r="CO41" s="184"/>
      <c r="CP41" s="185"/>
      <c r="CQ41" s="184"/>
      <c r="CR41" s="185"/>
      <c r="CS41" s="184"/>
      <c r="CT41" s="185"/>
      <c r="CU41" s="184"/>
      <c r="CV41" s="185"/>
      <c r="CW41" s="184"/>
      <c r="CX41" s="185"/>
      <c r="CY41" s="184"/>
      <c r="CZ41" s="185"/>
      <c r="DA41" s="184"/>
      <c r="DB41" s="185"/>
      <c r="DC41" s="184"/>
      <c r="DD41" s="185"/>
      <c r="DE41" s="184"/>
      <c r="DF41" s="185"/>
      <c r="DG41" s="184"/>
      <c r="DH41" s="185"/>
      <c r="DI41" s="184"/>
      <c r="DJ41" s="185"/>
      <c r="DK41" s="184"/>
      <c r="DL41" s="185"/>
      <c r="DM41" s="184"/>
      <c r="DN41" s="185"/>
      <c r="DO41" s="184"/>
      <c r="DP41" s="185"/>
      <c r="DQ41" s="184"/>
      <c r="DR41" s="185"/>
      <c r="DS41" s="184"/>
      <c r="DT41" s="185"/>
      <c r="DU41" s="184"/>
      <c r="DV41" s="185"/>
    </row>
    <row r="42" spans="1:126" x14ac:dyDescent="0.2">
      <c r="A42" s="183" t="s">
        <v>182</v>
      </c>
      <c r="B42" s="183" t="s">
        <v>184</v>
      </c>
      <c r="C42" s="184">
        <f>E42+G42+I42</f>
        <v>27222</v>
      </c>
      <c r="D42" s="185">
        <f t="shared" si="51"/>
        <v>44410</v>
      </c>
      <c r="E42" s="184">
        <f>K42+M42+O41:O42+Q42+S42+U42+W42+Y42+AA42+AC42+AE42+AI42</f>
        <v>23824</v>
      </c>
      <c r="F42" s="185">
        <f t="shared" si="52"/>
        <v>37955</v>
      </c>
      <c r="G42" s="184">
        <f t="shared" si="3"/>
        <v>3398</v>
      </c>
      <c r="H42" s="185">
        <f t="shared" si="3"/>
        <v>6455</v>
      </c>
      <c r="I42" s="184"/>
      <c r="J42" s="185"/>
      <c r="K42" s="184">
        <v>1800</v>
      </c>
      <c r="L42" s="185">
        <v>831</v>
      </c>
      <c r="M42" s="184"/>
      <c r="N42" s="185"/>
      <c r="O42" s="184"/>
      <c r="P42" s="185"/>
      <c r="Q42" s="184"/>
      <c r="R42" s="185"/>
      <c r="S42" s="184"/>
      <c r="T42" s="185">
        <v>1000</v>
      </c>
      <c r="U42" s="184"/>
      <c r="V42" s="185">
        <v>100</v>
      </c>
      <c r="W42" s="184"/>
      <c r="X42" s="185">
        <v>300</v>
      </c>
      <c r="Y42" s="184"/>
      <c r="Z42" s="185"/>
      <c r="AA42" s="184">
        <v>210</v>
      </c>
      <c r="AB42" s="185">
        <v>210</v>
      </c>
      <c r="AC42" s="184">
        <v>29</v>
      </c>
      <c r="AD42" s="185">
        <v>29</v>
      </c>
      <c r="AE42" s="184">
        <v>21785</v>
      </c>
      <c r="AF42" s="185">
        <v>35485</v>
      </c>
      <c r="AG42" s="184"/>
      <c r="AH42" s="185"/>
      <c r="AI42" s="184"/>
      <c r="AJ42" s="185"/>
      <c r="AK42" s="184"/>
      <c r="AL42" s="185"/>
      <c r="AM42" s="184"/>
      <c r="AN42" s="185"/>
      <c r="AO42" s="184"/>
      <c r="AP42" s="185"/>
      <c r="AQ42" s="184">
        <v>0</v>
      </c>
      <c r="AR42" s="185">
        <v>500</v>
      </c>
      <c r="AS42" s="184"/>
      <c r="AT42" s="185"/>
      <c r="AU42" s="184"/>
      <c r="AV42" s="185"/>
      <c r="AW42" s="184"/>
      <c r="AX42" s="185"/>
      <c r="AY42" s="184"/>
      <c r="AZ42" s="185"/>
      <c r="BA42" s="184"/>
      <c r="BB42" s="185"/>
      <c r="BC42" s="184"/>
      <c r="BD42" s="185"/>
      <c r="BE42" s="184"/>
      <c r="BF42" s="185"/>
      <c r="BG42" s="184"/>
      <c r="BH42" s="185"/>
      <c r="BI42" s="184"/>
      <c r="BJ42" s="185"/>
      <c r="BK42" s="184">
        <v>58</v>
      </c>
      <c r="BL42" s="185">
        <v>0</v>
      </c>
      <c r="BM42" s="184"/>
      <c r="BN42" s="185"/>
      <c r="BO42" s="184"/>
      <c r="BP42" s="185">
        <v>0</v>
      </c>
      <c r="BQ42" s="184"/>
      <c r="BR42" s="185"/>
      <c r="BS42" s="184"/>
      <c r="BT42" s="185"/>
      <c r="BU42" s="184"/>
      <c r="BV42" s="185"/>
      <c r="BW42" s="184"/>
      <c r="BX42" s="185"/>
      <c r="BY42" s="184"/>
      <c r="BZ42" s="185"/>
      <c r="CA42" s="184"/>
      <c r="CB42" s="185"/>
      <c r="CC42" s="184"/>
      <c r="CD42" s="185"/>
      <c r="CE42" s="184"/>
      <c r="CF42" s="185"/>
      <c r="CG42" s="184"/>
      <c r="CH42" s="185"/>
      <c r="CI42" s="184"/>
      <c r="CJ42" s="185"/>
      <c r="CK42" s="184"/>
      <c r="CL42" s="185"/>
      <c r="CM42" s="184"/>
      <c r="CN42" s="185"/>
      <c r="CO42" s="184"/>
      <c r="CP42" s="185"/>
      <c r="CQ42" s="184"/>
      <c r="CR42" s="185"/>
      <c r="CS42" s="184"/>
      <c r="CT42" s="185"/>
      <c r="CU42" s="184"/>
      <c r="CV42" s="185"/>
      <c r="CW42" s="184"/>
      <c r="CX42" s="185"/>
      <c r="CY42" s="184"/>
      <c r="CZ42" s="185"/>
      <c r="DA42" s="184"/>
      <c r="DB42" s="185"/>
      <c r="DC42" s="184"/>
      <c r="DD42" s="185"/>
      <c r="DE42" s="184"/>
      <c r="DF42" s="185"/>
      <c r="DG42" s="184">
        <v>3229</v>
      </c>
      <c r="DH42" s="185">
        <f>5000+400</f>
        <v>5400</v>
      </c>
      <c r="DI42" s="184"/>
      <c r="DJ42" s="185"/>
      <c r="DK42" s="184"/>
      <c r="DL42" s="185"/>
      <c r="DM42" s="184"/>
      <c r="DN42" s="185"/>
      <c r="DO42" s="184">
        <v>111</v>
      </c>
      <c r="DP42" s="185">
        <v>555</v>
      </c>
      <c r="DQ42" s="184"/>
      <c r="DR42" s="185"/>
      <c r="DS42" s="184"/>
      <c r="DT42" s="185"/>
      <c r="DU42" s="184"/>
      <c r="DV42" s="185"/>
    </row>
    <row r="43" spans="1:126" ht="13.6" x14ac:dyDescent="0.25">
      <c r="A43" s="190" t="s">
        <v>189</v>
      </c>
      <c r="B43" s="190" t="s">
        <v>191</v>
      </c>
      <c r="C43" s="191">
        <f t="shared" ref="C43:H43" si="244">SUM(C38:C42)</f>
        <v>95650</v>
      </c>
      <c r="D43" s="192">
        <f t="shared" si="244"/>
        <v>100668</v>
      </c>
      <c r="E43" s="191">
        <f t="shared" si="244"/>
        <v>64008</v>
      </c>
      <c r="F43" s="192">
        <f t="shared" si="244"/>
        <v>83345</v>
      </c>
      <c r="G43" s="191">
        <f t="shared" si="244"/>
        <v>31642</v>
      </c>
      <c r="H43" s="192">
        <f t="shared" si="244"/>
        <v>17323</v>
      </c>
      <c r="I43" s="191"/>
      <c r="J43" s="192"/>
      <c r="K43" s="191">
        <f t="shared" ref="K43:AO43" si="245">SUM(K38:K42)</f>
        <v>4055</v>
      </c>
      <c r="L43" s="192">
        <f t="shared" si="245"/>
        <v>2780</v>
      </c>
      <c r="M43" s="191">
        <f t="shared" si="245"/>
        <v>540</v>
      </c>
      <c r="N43" s="192">
        <f t="shared" si="245"/>
        <v>540</v>
      </c>
      <c r="O43" s="191">
        <f t="shared" si="245"/>
        <v>702</v>
      </c>
      <c r="P43" s="192">
        <f t="shared" si="245"/>
        <v>582</v>
      </c>
      <c r="Q43" s="191">
        <f t="shared" si="245"/>
        <v>185</v>
      </c>
      <c r="R43" s="192">
        <f t="shared" si="245"/>
        <v>346</v>
      </c>
      <c r="S43" s="191">
        <f t="shared" si="245"/>
        <v>0</v>
      </c>
      <c r="T43" s="192">
        <f t="shared" ref="T43" si="246">SUM(T38:T42)</f>
        <v>1000</v>
      </c>
      <c r="U43" s="191">
        <f t="shared" si="245"/>
        <v>0</v>
      </c>
      <c r="V43" s="192">
        <f t="shared" ref="V43" si="247">SUM(V38:V42)</f>
        <v>100</v>
      </c>
      <c r="W43" s="191">
        <f t="shared" si="245"/>
        <v>513</v>
      </c>
      <c r="X43" s="192">
        <f t="shared" si="245"/>
        <v>813</v>
      </c>
      <c r="Y43" s="191">
        <f t="shared" si="245"/>
        <v>212</v>
      </c>
      <c r="Z43" s="192">
        <f t="shared" si="245"/>
        <v>212</v>
      </c>
      <c r="AA43" s="191">
        <f t="shared" si="245"/>
        <v>1253</v>
      </c>
      <c r="AB43" s="192">
        <f t="shared" ref="AB43" si="248">SUM(AB38:AB42)</f>
        <v>848</v>
      </c>
      <c r="AC43" s="191">
        <f t="shared" si="245"/>
        <v>108</v>
      </c>
      <c r="AD43" s="192">
        <f t="shared" ref="AD43" si="249">SUM(AD38:AD42)</f>
        <v>108</v>
      </c>
      <c r="AE43" s="191">
        <f t="shared" si="245"/>
        <v>56440</v>
      </c>
      <c r="AF43" s="192">
        <f t="shared" ref="AF43" si="250">SUM(AF38:AF42)</f>
        <v>76016</v>
      </c>
      <c r="AG43" s="191"/>
      <c r="AH43" s="192"/>
      <c r="AI43" s="191">
        <f>SUM(AI38:AI42)</f>
        <v>0</v>
      </c>
      <c r="AJ43" s="192">
        <f>SUM(AJ38:AJ42)</f>
        <v>0</v>
      </c>
      <c r="AK43" s="191">
        <f t="shared" si="245"/>
        <v>0</v>
      </c>
      <c r="AL43" s="192">
        <f t="shared" ref="AL43" si="251">SUM(AL38:AL42)</f>
        <v>0</v>
      </c>
      <c r="AM43" s="191">
        <f t="shared" si="245"/>
        <v>0</v>
      </c>
      <c r="AN43" s="192"/>
      <c r="AO43" s="191">
        <f t="shared" si="245"/>
        <v>850</v>
      </c>
      <c r="AP43" s="192">
        <f t="shared" ref="AP43" si="252">SUM(AP38:AP42)</f>
        <v>1714</v>
      </c>
      <c r="AQ43" s="191">
        <f t="shared" ref="AQ43:DS43" si="253">SUM(AQ38:AQ42)</f>
        <v>270</v>
      </c>
      <c r="AR43" s="192">
        <f t="shared" ref="AR43" si="254">SUM(AR38:AR42)</f>
        <v>770</v>
      </c>
      <c r="AS43" s="191">
        <f t="shared" si="253"/>
        <v>0</v>
      </c>
      <c r="AT43" s="192">
        <f t="shared" ref="AT43" si="255">SUM(AT38:AT42)</f>
        <v>0</v>
      </c>
      <c r="AU43" s="191">
        <f t="shared" si="253"/>
        <v>0</v>
      </c>
      <c r="AV43" s="192">
        <f t="shared" ref="AV43" si="256">SUM(AV38:AV42)</f>
        <v>0</v>
      </c>
      <c r="AW43" s="191">
        <f t="shared" si="253"/>
        <v>0</v>
      </c>
      <c r="AX43" s="192">
        <f t="shared" ref="AX43" si="257">SUM(AX38:AX42)</f>
        <v>0</v>
      </c>
      <c r="AY43" s="191">
        <f t="shared" si="253"/>
        <v>0</v>
      </c>
      <c r="AZ43" s="192">
        <f t="shared" ref="AZ43" si="258">SUM(AZ38:AZ42)</f>
        <v>0</v>
      </c>
      <c r="BA43" s="191">
        <f t="shared" si="253"/>
        <v>1276</v>
      </c>
      <c r="BB43" s="192">
        <f t="shared" ref="BB43" si="259">SUM(BB38:BB42)</f>
        <v>1620</v>
      </c>
      <c r="BC43" s="191">
        <f t="shared" si="253"/>
        <v>0</v>
      </c>
      <c r="BD43" s="192">
        <f t="shared" ref="BD43" si="260">SUM(BD38:BD42)</f>
        <v>0</v>
      </c>
      <c r="BE43" s="191">
        <f t="shared" si="253"/>
        <v>194</v>
      </c>
      <c r="BF43" s="192">
        <f t="shared" ref="BF43" si="261">SUM(BF38:BF42)</f>
        <v>389</v>
      </c>
      <c r="BG43" s="191">
        <f t="shared" si="253"/>
        <v>0</v>
      </c>
      <c r="BH43" s="192">
        <f t="shared" ref="BH43" si="262">SUM(BH38:BH42)</f>
        <v>0</v>
      </c>
      <c r="BI43" s="191">
        <f t="shared" si="253"/>
        <v>515</v>
      </c>
      <c r="BJ43" s="192">
        <f t="shared" ref="BJ43" si="263">SUM(BJ38:BJ42)</f>
        <v>515</v>
      </c>
      <c r="BK43" s="191">
        <f t="shared" si="253"/>
        <v>500</v>
      </c>
      <c r="BL43" s="192">
        <f t="shared" ref="BL43" si="264">SUM(BL38:BL42)</f>
        <v>0</v>
      </c>
      <c r="BM43" s="191">
        <f t="shared" si="253"/>
        <v>0</v>
      </c>
      <c r="BN43" s="192">
        <f t="shared" ref="BN43" si="265">SUM(BN38:BN42)</f>
        <v>0</v>
      </c>
      <c r="BO43" s="191">
        <f t="shared" si="253"/>
        <v>3189</v>
      </c>
      <c r="BP43" s="192">
        <f t="shared" ref="BP43" si="266">SUM(BP38:BP42)</f>
        <v>4007</v>
      </c>
      <c r="BQ43" s="191">
        <f t="shared" si="253"/>
        <v>0</v>
      </c>
      <c r="BR43" s="192">
        <f t="shared" ref="BR43" si="267">SUM(BR38:BR42)</f>
        <v>0</v>
      </c>
      <c r="BS43" s="191">
        <f t="shared" si="253"/>
        <v>0</v>
      </c>
      <c r="BT43" s="192">
        <f t="shared" ref="BT43" si="268">SUM(BT38:BT42)</f>
        <v>0</v>
      </c>
      <c r="BU43" s="191">
        <f t="shared" si="253"/>
        <v>0</v>
      </c>
      <c r="BV43" s="192">
        <f t="shared" ref="BV43" si="269">SUM(BV38:BV42)</f>
        <v>0</v>
      </c>
      <c r="BW43" s="191">
        <f t="shared" si="253"/>
        <v>0</v>
      </c>
      <c r="BX43" s="192">
        <f t="shared" ref="BX43" si="270">SUM(BX38:BX42)</f>
        <v>0</v>
      </c>
      <c r="BY43" s="191">
        <f t="shared" si="253"/>
        <v>0</v>
      </c>
      <c r="BZ43" s="192">
        <f t="shared" ref="BZ43" si="271">SUM(BZ38:BZ42)</f>
        <v>0</v>
      </c>
      <c r="CA43" s="191">
        <f t="shared" si="253"/>
        <v>0</v>
      </c>
      <c r="CB43" s="192">
        <f t="shared" ref="CB43" si="272">SUM(CB38:CB42)</f>
        <v>0</v>
      </c>
      <c r="CC43" s="191">
        <f t="shared" si="253"/>
        <v>0</v>
      </c>
      <c r="CD43" s="192">
        <f t="shared" ref="CD43" si="273">SUM(CD38:CD42)</f>
        <v>0</v>
      </c>
      <c r="CE43" s="191">
        <f>SUM(CE38:CE42)</f>
        <v>0</v>
      </c>
      <c r="CF43" s="192">
        <f>SUM(CF38:CF42)</f>
        <v>0</v>
      </c>
      <c r="CG43" s="191">
        <f t="shared" si="253"/>
        <v>0</v>
      </c>
      <c r="CH43" s="192">
        <f t="shared" ref="CH43" si="274">SUM(CH38:CH42)</f>
        <v>0</v>
      </c>
      <c r="CI43" s="191">
        <f t="shared" si="253"/>
        <v>21224</v>
      </c>
      <c r="CJ43" s="192">
        <f t="shared" ref="CJ43" si="275">SUM(CJ38:CJ42)</f>
        <v>0</v>
      </c>
      <c r="CK43" s="191">
        <f t="shared" si="253"/>
        <v>0</v>
      </c>
      <c r="CL43" s="192">
        <f t="shared" ref="CL43" si="276">SUM(CL38:CL42)</f>
        <v>0</v>
      </c>
      <c r="CM43" s="191">
        <f t="shared" si="253"/>
        <v>0</v>
      </c>
      <c r="CN43" s="192">
        <f t="shared" ref="CN43" si="277">SUM(CN38:CN42)</f>
        <v>0</v>
      </c>
      <c r="CO43" s="191">
        <f t="shared" si="253"/>
        <v>0</v>
      </c>
      <c r="CP43" s="192">
        <f t="shared" ref="CP43" si="278">SUM(CP38:CP42)</f>
        <v>0</v>
      </c>
      <c r="CQ43" s="191">
        <f t="shared" si="253"/>
        <v>0</v>
      </c>
      <c r="CR43" s="192">
        <f t="shared" ref="CR43" si="279">SUM(CR38:CR42)</f>
        <v>0</v>
      </c>
      <c r="CS43" s="191">
        <f t="shared" si="253"/>
        <v>0</v>
      </c>
      <c r="CT43" s="192">
        <f t="shared" ref="CT43" si="280">SUM(CT38:CT42)</f>
        <v>138</v>
      </c>
      <c r="CU43" s="191">
        <f t="shared" si="253"/>
        <v>0</v>
      </c>
      <c r="CV43" s="192">
        <f t="shared" ref="CV43" si="281">SUM(CV38:CV42)</f>
        <v>0</v>
      </c>
      <c r="CW43" s="191">
        <f t="shared" si="253"/>
        <v>0</v>
      </c>
      <c r="CX43" s="192">
        <f t="shared" ref="CX43" si="282">SUM(CX38:CX42)</f>
        <v>0</v>
      </c>
      <c r="CY43" s="191">
        <f t="shared" si="253"/>
        <v>0</v>
      </c>
      <c r="CZ43" s="192"/>
      <c r="DA43" s="191">
        <f t="shared" si="253"/>
        <v>0</v>
      </c>
      <c r="DB43" s="192"/>
      <c r="DC43" s="191">
        <f t="shared" si="253"/>
        <v>0</v>
      </c>
      <c r="DD43" s="192">
        <f t="shared" ref="DD43" si="283">SUM(DD38:DD42)</f>
        <v>0</v>
      </c>
      <c r="DE43" s="191">
        <f t="shared" si="253"/>
        <v>0</v>
      </c>
      <c r="DF43" s="192">
        <f t="shared" ref="DF43" si="284">SUM(DF38:DF42)</f>
        <v>0</v>
      </c>
      <c r="DG43" s="191">
        <f t="shared" si="253"/>
        <v>3229</v>
      </c>
      <c r="DH43" s="192">
        <f t="shared" ref="DH43" si="285">SUM(DH38:DH42)</f>
        <v>7520</v>
      </c>
      <c r="DI43" s="191">
        <f t="shared" si="253"/>
        <v>0</v>
      </c>
      <c r="DJ43" s="192">
        <f t="shared" ref="DJ43" si="286">SUM(DJ38:DJ42)</f>
        <v>0</v>
      </c>
      <c r="DK43" s="191">
        <f t="shared" si="253"/>
        <v>0</v>
      </c>
      <c r="DL43" s="192">
        <f t="shared" ref="DL43" si="287">SUM(DL38:DL42)</f>
        <v>0</v>
      </c>
      <c r="DM43" s="191">
        <f t="shared" si="253"/>
        <v>95</v>
      </c>
      <c r="DN43" s="192">
        <f t="shared" ref="DN43" si="288">SUM(DN38:DN42)</f>
        <v>0</v>
      </c>
      <c r="DO43" s="191">
        <f t="shared" si="253"/>
        <v>300</v>
      </c>
      <c r="DP43" s="192">
        <f t="shared" ref="DP43" si="289">SUM(DP38:DP42)</f>
        <v>650</v>
      </c>
      <c r="DQ43" s="191">
        <f t="shared" si="253"/>
        <v>0</v>
      </c>
      <c r="DR43" s="192"/>
      <c r="DS43" s="191">
        <f t="shared" si="253"/>
        <v>0</v>
      </c>
      <c r="DT43" s="192">
        <f t="shared" ref="DT43" si="290">SUM(DT38:DT42)</f>
        <v>0</v>
      </c>
      <c r="DU43" s="191"/>
      <c r="DV43" s="192"/>
    </row>
    <row r="44" spans="1:126" ht="13.6" x14ac:dyDescent="0.25">
      <c r="A44" s="186" t="s">
        <v>192</v>
      </c>
      <c r="B44" s="186" t="s">
        <v>898</v>
      </c>
      <c r="C44" s="187">
        <f t="shared" ref="C44:H44" si="291">C23+C26+C34+C37+C43</f>
        <v>351300</v>
      </c>
      <c r="D44" s="188">
        <f t="shared" si="291"/>
        <v>318125</v>
      </c>
      <c r="E44" s="187">
        <f t="shared" si="291"/>
        <v>198933</v>
      </c>
      <c r="F44" s="188">
        <f t="shared" si="291"/>
        <v>237557</v>
      </c>
      <c r="G44" s="187">
        <f t="shared" si="291"/>
        <v>152367</v>
      </c>
      <c r="H44" s="188">
        <f t="shared" si="291"/>
        <v>80568</v>
      </c>
      <c r="I44" s="187"/>
      <c r="J44" s="188">
        <f t="shared" ref="J44:AO44" si="292">J23+J26+J34+J37+J43</f>
        <v>0</v>
      </c>
      <c r="K44" s="187">
        <f t="shared" si="292"/>
        <v>12405</v>
      </c>
      <c r="L44" s="188">
        <f t="shared" si="292"/>
        <v>10000</v>
      </c>
      <c r="M44" s="187">
        <f t="shared" si="292"/>
        <v>2540</v>
      </c>
      <c r="N44" s="188">
        <f t="shared" si="292"/>
        <v>2540</v>
      </c>
      <c r="O44" s="187">
        <f t="shared" si="292"/>
        <v>19942</v>
      </c>
      <c r="P44" s="188">
        <f t="shared" si="292"/>
        <v>18518</v>
      </c>
      <c r="Q44" s="187">
        <f t="shared" si="292"/>
        <v>1369</v>
      </c>
      <c r="R44" s="188">
        <f t="shared" si="292"/>
        <v>2077</v>
      </c>
      <c r="S44" s="187">
        <f t="shared" si="292"/>
        <v>0</v>
      </c>
      <c r="T44" s="188">
        <f t="shared" ref="T44" si="293">T23+T26+T34+T37+T43</f>
        <v>1000</v>
      </c>
      <c r="U44" s="187">
        <f t="shared" si="292"/>
        <v>0</v>
      </c>
      <c r="V44" s="188">
        <f t="shared" ref="V44" si="294">V23+V26+V34+V37+V43</f>
        <v>100</v>
      </c>
      <c r="W44" s="187">
        <f t="shared" si="292"/>
        <v>2413</v>
      </c>
      <c r="X44" s="188">
        <f t="shared" si="292"/>
        <v>2713</v>
      </c>
      <c r="Y44" s="187">
        <f t="shared" si="292"/>
        <v>1000</v>
      </c>
      <c r="Z44" s="188">
        <f t="shared" si="292"/>
        <v>1000</v>
      </c>
      <c r="AA44" s="187">
        <f t="shared" si="292"/>
        <v>5115</v>
      </c>
      <c r="AB44" s="188">
        <f t="shared" ref="AB44" si="295">AB23+AB26+AB34+AB37+AB43</f>
        <v>3210</v>
      </c>
      <c r="AC44" s="187">
        <f t="shared" si="292"/>
        <v>400</v>
      </c>
      <c r="AD44" s="188">
        <f t="shared" ref="AD44" si="296">AD23+AD26+AD34+AD37+AD43</f>
        <v>400</v>
      </c>
      <c r="AE44" s="187">
        <f t="shared" si="292"/>
        <v>153749</v>
      </c>
      <c r="AF44" s="188">
        <f t="shared" ref="AF44:AH44" si="297">AF23+AF26+AF34+AF37+AF43</f>
        <v>195999</v>
      </c>
      <c r="AG44" s="187"/>
      <c r="AH44" s="188">
        <f t="shared" si="297"/>
        <v>0</v>
      </c>
      <c r="AI44" s="187">
        <f>AI23+AI26+AI34+AI37+AI43</f>
        <v>0</v>
      </c>
      <c r="AJ44" s="188">
        <f>AJ23+AJ26+AJ34+AJ37+AJ43</f>
        <v>0</v>
      </c>
      <c r="AK44" s="187">
        <f t="shared" si="292"/>
        <v>3744</v>
      </c>
      <c r="AL44" s="188">
        <f t="shared" ref="AL44" si="298">AL23+AL26+AL34+AL37+AL43</f>
        <v>3744</v>
      </c>
      <c r="AM44" s="187">
        <f t="shared" si="292"/>
        <v>0</v>
      </c>
      <c r="AN44" s="188"/>
      <c r="AO44" s="187">
        <f t="shared" si="292"/>
        <v>4000</v>
      </c>
      <c r="AP44" s="188">
        <f t="shared" ref="AP44" si="299">AP23+AP26+AP34+AP37+AP43</f>
        <v>8061</v>
      </c>
      <c r="AQ44" s="187">
        <f t="shared" ref="AQ44:DS44" si="300">AQ23+AQ26+AQ34+AQ37+AQ43</f>
        <v>1500</v>
      </c>
      <c r="AR44" s="188">
        <f t="shared" ref="AR44" si="301">AR23+AR26+AR34+AR37+AR43</f>
        <v>2000</v>
      </c>
      <c r="AS44" s="187">
        <f t="shared" si="300"/>
        <v>0</v>
      </c>
      <c r="AT44" s="188">
        <f t="shared" ref="AT44" si="302">AT23+AT26+AT34+AT37+AT43</f>
        <v>0</v>
      </c>
      <c r="AU44" s="187">
        <f t="shared" si="300"/>
        <v>0</v>
      </c>
      <c r="AV44" s="188">
        <f t="shared" ref="AV44" si="303">AV23+AV26+AV34+AV37+AV43</f>
        <v>0</v>
      </c>
      <c r="AW44" s="187">
        <f t="shared" si="300"/>
        <v>2811</v>
      </c>
      <c r="AX44" s="188">
        <f t="shared" ref="AX44" si="304">AX23+AX26+AX34+AX37+AX43</f>
        <v>2811</v>
      </c>
      <c r="AY44" s="187">
        <f t="shared" si="300"/>
        <v>1595</v>
      </c>
      <c r="AZ44" s="188">
        <f t="shared" ref="AZ44" si="305">AZ23+AZ26+AZ34+AZ37+AZ43</f>
        <v>1595</v>
      </c>
      <c r="BA44" s="187">
        <f t="shared" si="300"/>
        <v>6000</v>
      </c>
      <c r="BB44" s="188">
        <f t="shared" ref="BB44" si="306">BB23+BB26+BB34+BB37+BB43</f>
        <v>7620</v>
      </c>
      <c r="BC44" s="187">
        <f t="shared" si="300"/>
        <v>875</v>
      </c>
      <c r="BD44" s="188">
        <f t="shared" ref="BD44" si="307">BD23+BD26+BD34+BD37+BD43</f>
        <v>1750</v>
      </c>
      <c r="BE44" s="187">
        <f t="shared" si="300"/>
        <v>914</v>
      </c>
      <c r="BF44" s="188">
        <f t="shared" ref="BF44" si="308">BF23+BF26+BF34+BF37+BF43</f>
        <v>1829</v>
      </c>
      <c r="BG44" s="187">
        <f t="shared" si="300"/>
        <v>2400</v>
      </c>
      <c r="BH44" s="188">
        <f t="shared" ref="BH44" si="309">BH23+BH26+BH34+BH37+BH43</f>
        <v>2400</v>
      </c>
      <c r="BI44" s="187">
        <f t="shared" si="300"/>
        <v>2421</v>
      </c>
      <c r="BJ44" s="188">
        <f t="shared" ref="BJ44" si="310">BJ23+BJ26+BJ34+BJ37+BJ43</f>
        <v>2421</v>
      </c>
      <c r="BK44" s="187">
        <f t="shared" si="300"/>
        <v>2136</v>
      </c>
      <c r="BL44" s="188">
        <f t="shared" ref="BL44" si="311">BL23+BL26+BL34+BL37+BL43</f>
        <v>0</v>
      </c>
      <c r="BM44" s="187">
        <f t="shared" si="300"/>
        <v>1200</v>
      </c>
      <c r="BN44" s="188">
        <f t="shared" ref="BN44" si="312">BN23+BN26+BN34+BN37+BN43</f>
        <v>1500</v>
      </c>
      <c r="BO44" s="187">
        <f t="shared" si="300"/>
        <v>15000</v>
      </c>
      <c r="BP44" s="188">
        <f t="shared" ref="BP44" si="313">BP23+BP26+BP34+BP37+BP43</f>
        <v>18847</v>
      </c>
      <c r="BQ44" s="187">
        <f t="shared" si="300"/>
        <v>0</v>
      </c>
      <c r="BR44" s="188">
        <f t="shared" ref="BR44" si="314">BR23+BR26+BR34+BR37+BR43</f>
        <v>0</v>
      </c>
      <c r="BS44" s="187">
        <f t="shared" si="300"/>
        <v>0</v>
      </c>
      <c r="BT44" s="188">
        <f t="shared" ref="BT44" si="315">BT23+BT26+BT34+BT37+BT43</f>
        <v>0</v>
      </c>
      <c r="BU44" s="187">
        <f t="shared" si="300"/>
        <v>0</v>
      </c>
      <c r="BV44" s="188">
        <f t="shared" ref="BV44" si="316">BV23+BV26+BV34+BV37+BV43</f>
        <v>0</v>
      </c>
      <c r="BW44" s="187">
        <f t="shared" si="300"/>
        <v>0</v>
      </c>
      <c r="BX44" s="188">
        <f t="shared" ref="BX44" si="317">BX23+BX26+BX34+BX37+BX43</f>
        <v>0</v>
      </c>
      <c r="BY44" s="187">
        <f t="shared" si="300"/>
        <v>0</v>
      </c>
      <c r="BZ44" s="188">
        <f t="shared" ref="BZ44" si="318">BZ23+BZ26+BZ34+BZ37+BZ43</f>
        <v>0</v>
      </c>
      <c r="CA44" s="187">
        <f t="shared" si="300"/>
        <v>0</v>
      </c>
      <c r="CB44" s="188">
        <f t="shared" ref="CB44" si="319">CB23+CB26+CB34+CB37+CB43</f>
        <v>0</v>
      </c>
      <c r="CC44" s="187">
        <f t="shared" si="300"/>
        <v>0</v>
      </c>
      <c r="CD44" s="188">
        <f t="shared" ref="CD44" si="320">CD23+CD26+CD34+CD37+CD43</f>
        <v>0</v>
      </c>
      <c r="CE44" s="187">
        <f>CE23+CE26+CE34+CE37+CE43</f>
        <v>0</v>
      </c>
      <c r="CF44" s="188">
        <f>CF23+CF26+CF34+CF37+CF43</f>
        <v>0</v>
      </c>
      <c r="CG44" s="187">
        <f t="shared" si="300"/>
        <v>0</v>
      </c>
      <c r="CH44" s="188">
        <f t="shared" ref="CH44" si="321">CH23+CH26+CH34+CH37+CH43</f>
        <v>0</v>
      </c>
      <c r="CI44" s="187">
        <f t="shared" si="300"/>
        <v>99832</v>
      </c>
      <c r="CJ44" s="188">
        <f t="shared" ref="CJ44" si="322">CJ23+CJ26+CJ34+CJ37+CJ43</f>
        <v>0</v>
      </c>
      <c r="CK44" s="187">
        <f t="shared" si="300"/>
        <v>0</v>
      </c>
      <c r="CL44" s="188">
        <f t="shared" ref="CL44" si="323">CL23+CL26+CL34+CL37+CL43</f>
        <v>0</v>
      </c>
      <c r="CM44" s="187">
        <f t="shared" si="300"/>
        <v>0</v>
      </c>
      <c r="CN44" s="188">
        <f t="shared" ref="CN44" si="324">CN23+CN26+CN34+CN37+CN43</f>
        <v>0</v>
      </c>
      <c r="CO44" s="187">
        <f t="shared" si="300"/>
        <v>0</v>
      </c>
      <c r="CP44" s="188">
        <f t="shared" ref="CP44" si="325">CP23+CP26+CP34+CP37+CP43</f>
        <v>0</v>
      </c>
      <c r="CQ44" s="187">
        <f t="shared" si="300"/>
        <v>0</v>
      </c>
      <c r="CR44" s="188">
        <f t="shared" ref="CR44" si="326">CR23+CR26+CR34+CR37+CR43</f>
        <v>0</v>
      </c>
      <c r="CS44" s="187">
        <f t="shared" si="300"/>
        <v>0</v>
      </c>
      <c r="CT44" s="188">
        <f t="shared" ref="CT44" si="327">CT23+CT26+CT34+CT37+CT43</f>
        <v>650</v>
      </c>
      <c r="CU44" s="187">
        <f t="shared" si="300"/>
        <v>0</v>
      </c>
      <c r="CV44" s="188">
        <f t="shared" ref="CV44" si="328">CV23+CV26+CV34+CV37+CV43</f>
        <v>0</v>
      </c>
      <c r="CW44" s="187">
        <f t="shared" si="300"/>
        <v>0</v>
      </c>
      <c r="CX44" s="188">
        <f t="shared" ref="CX44" si="329">CX23+CX26+CX34+CX37+CX43</f>
        <v>0</v>
      </c>
      <c r="CY44" s="187">
        <f t="shared" si="300"/>
        <v>0</v>
      </c>
      <c r="CZ44" s="188"/>
      <c r="DA44" s="187">
        <f t="shared" si="300"/>
        <v>0</v>
      </c>
      <c r="DB44" s="188"/>
      <c r="DC44" s="187">
        <f t="shared" si="300"/>
        <v>1710</v>
      </c>
      <c r="DD44" s="188">
        <f t="shared" ref="DD44" si="330">DD23+DD26+DD34+DD37+DD43</f>
        <v>2470</v>
      </c>
      <c r="DE44" s="187">
        <f t="shared" si="300"/>
        <v>0</v>
      </c>
      <c r="DF44" s="188">
        <f t="shared" ref="DF44" si="331">DF23+DF26+DF34+DF37+DF43</f>
        <v>0</v>
      </c>
      <c r="DG44" s="187">
        <f t="shared" si="300"/>
        <v>3229</v>
      </c>
      <c r="DH44" s="188">
        <f t="shared" ref="DH44" si="332">DH23+DH26+DH34+DH37+DH43</f>
        <v>16870</v>
      </c>
      <c r="DI44" s="187">
        <f t="shared" si="300"/>
        <v>0</v>
      </c>
      <c r="DJ44" s="188">
        <f t="shared" ref="DJ44" si="333">DJ23+DJ26+DJ34+DJ37+DJ43</f>
        <v>0</v>
      </c>
      <c r="DK44" s="187">
        <f t="shared" si="300"/>
        <v>0</v>
      </c>
      <c r="DL44" s="188">
        <f t="shared" ref="DL44" si="334">DL23+DL26+DL34+DL37+DL43</f>
        <v>0</v>
      </c>
      <c r="DM44" s="187">
        <f t="shared" si="300"/>
        <v>2000</v>
      </c>
      <c r="DN44" s="188">
        <f t="shared" ref="DN44" si="335">DN23+DN26+DN34+DN37+DN43</f>
        <v>5000</v>
      </c>
      <c r="DO44" s="187">
        <f t="shared" si="300"/>
        <v>1000</v>
      </c>
      <c r="DP44" s="188">
        <f t="shared" ref="DP44" si="336">DP23+DP26+DP34+DP37+DP43</f>
        <v>1000</v>
      </c>
      <c r="DQ44" s="187">
        <f t="shared" si="300"/>
        <v>0</v>
      </c>
      <c r="DR44" s="188"/>
      <c r="DS44" s="187">
        <f t="shared" si="300"/>
        <v>0</v>
      </c>
      <c r="DT44" s="188">
        <f t="shared" ref="DT44" si="337">DT23+DT26+DT34+DT37+DT43</f>
        <v>0</v>
      </c>
      <c r="DU44" s="187"/>
      <c r="DV44" s="188"/>
    </row>
    <row r="45" spans="1:126" x14ac:dyDescent="0.2">
      <c r="A45" s="183" t="s">
        <v>625</v>
      </c>
      <c r="B45" s="183" t="s">
        <v>641</v>
      </c>
      <c r="C45" s="184">
        <f>SUM(I45:DS45)</f>
        <v>0</v>
      </c>
      <c r="D45" s="185">
        <f t="shared" ref="D45:D105" si="338">F45+H45+J45</f>
        <v>0</v>
      </c>
      <c r="E45" s="184">
        <f t="shared" ref="E45:E52" si="339">K45+M45+O44:O45+Q45+S45+U45+W45+Y45+AA45+AC45+AE45+AI45</f>
        <v>0</v>
      </c>
      <c r="F45" s="185">
        <f t="shared" ref="F45:F52" si="340">L45+N45+P44:P45+R45+T45+V45+X45+Z45+AB45+AD45+AF45+AJ45+AH45</f>
        <v>0</v>
      </c>
      <c r="G45" s="184">
        <f t="shared" ref="G45:H52" si="34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85">
        <f t="shared" si="341"/>
        <v>0</v>
      </c>
      <c r="I45" s="184"/>
      <c r="J45" s="185"/>
      <c r="K45" s="184"/>
      <c r="L45" s="185"/>
      <c r="M45" s="184"/>
      <c r="N45" s="185"/>
      <c r="O45" s="184"/>
      <c r="P45" s="185"/>
      <c r="Q45" s="184"/>
      <c r="R45" s="185"/>
      <c r="S45" s="184"/>
      <c r="T45" s="185"/>
      <c r="U45" s="184"/>
      <c r="V45" s="185"/>
      <c r="W45" s="184"/>
      <c r="X45" s="185"/>
      <c r="Y45" s="184"/>
      <c r="Z45" s="185"/>
      <c r="AA45" s="184"/>
      <c r="AB45" s="185"/>
      <c r="AC45" s="184"/>
      <c r="AD45" s="185"/>
      <c r="AE45" s="184"/>
      <c r="AF45" s="185"/>
      <c r="AG45" s="184"/>
      <c r="AH45" s="185"/>
      <c r="AI45" s="184"/>
      <c r="AJ45" s="185"/>
      <c r="AK45" s="184"/>
      <c r="AL45" s="185"/>
      <c r="AM45" s="184"/>
      <c r="AN45" s="185"/>
      <c r="AO45" s="184"/>
      <c r="AP45" s="185"/>
      <c r="AQ45" s="184"/>
      <c r="AR45" s="185"/>
      <c r="AS45" s="184"/>
      <c r="AT45" s="185"/>
      <c r="AU45" s="184"/>
      <c r="AV45" s="185"/>
      <c r="AW45" s="184"/>
      <c r="AX45" s="185"/>
      <c r="AY45" s="184"/>
      <c r="AZ45" s="185"/>
      <c r="BA45" s="184"/>
      <c r="BB45" s="185"/>
      <c r="BC45" s="184"/>
      <c r="BD45" s="185"/>
      <c r="BE45" s="184"/>
      <c r="BF45" s="185"/>
      <c r="BG45" s="184"/>
      <c r="BH45" s="185"/>
      <c r="BI45" s="184"/>
      <c r="BJ45" s="185"/>
      <c r="BK45" s="184"/>
      <c r="BL45" s="185"/>
      <c r="BM45" s="184"/>
      <c r="BN45" s="185"/>
      <c r="BO45" s="184"/>
      <c r="BP45" s="185"/>
      <c r="BQ45" s="184"/>
      <c r="BR45" s="185"/>
      <c r="BS45" s="184"/>
      <c r="BT45" s="185"/>
      <c r="BU45" s="184"/>
      <c r="BV45" s="185"/>
      <c r="BW45" s="184"/>
      <c r="BX45" s="185"/>
      <c r="BY45" s="184"/>
      <c r="BZ45" s="185"/>
      <c r="CA45" s="184"/>
      <c r="CB45" s="185"/>
      <c r="CC45" s="184"/>
      <c r="CD45" s="185"/>
      <c r="CE45" s="184"/>
      <c r="CF45" s="185"/>
      <c r="CG45" s="184"/>
      <c r="CH45" s="185"/>
      <c r="CI45" s="184"/>
      <c r="CJ45" s="185"/>
      <c r="CK45" s="184"/>
      <c r="CL45" s="185"/>
      <c r="CM45" s="184"/>
      <c r="CN45" s="185"/>
      <c r="CO45" s="184"/>
      <c r="CP45" s="185"/>
      <c r="CQ45" s="184"/>
      <c r="CR45" s="185"/>
      <c r="CS45" s="184"/>
      <c r="CT45" s="185"/>
      <c r="CU45" s="184"/>
      <c r="CV45" s="185"/>
      <c r="CW45" s="184"/>
      <c r="CX45" s="185"/>
      <c r="CY45" s="184"/>
      <c r="CZ45" s="185"/>
      <c r="DA45" s="184"/>
      <c r="DB45" s="185"/>
      <c r="DC45" s="184"/>
      <c r="DD45" s="185"/>
      <c r="DE45" s="184"/>
      <c r="DF45" s="185"/>
      <c r="DG45" s="184"/>
      <c r="DH45" s="185"/>
      <c r="DI45" s="184"/>
      <c r="DJ45" s="185"/>
      <c r="DK45" s="184"/>
      <c r="DL45" s="185"/>
      <c r="DM45" s="184"/>
      <c r="DN45" s="185"/>
      <c r="DO45" s="184"/>
      <c r="DP45" s="185"/>
      <c r="DQ45" s="184"/>
      <c r="DR45" s="185"/>
      <c r="DS45" s="184"/>
      <c r="DT45" s="185"/>
      <c r="DU45" s="184"/>
      <c r="DV45" s="185"/>
    </row>
    <row r="46" spans="1:126" x14ac:dyDescent="0.2">
      <c r="A46" s="183" t="s">
        <v>626</v>
      </c>
      <c r="B46" s="183" t="s">
        <v>642</v>
      </c>
      <c r="C46" s="184">
        <f t="shared" ref="C46:C105" si="342">SUM(I46:DS46)</f>
        <v>2500</v>
      </c>
      <c r="D46" s="185">
        <f t="shared" si="338"/>
        <v>2500</v>
      </c>
      <c r="E46" s="184">
        <f t="shared" si="339"/>
        <v>0</v>
      </c>
      <c r="F46" s="185">
        <f t="shared" si="340"/>
        <v>0</v>
      </c>
      <c r="G46" s="184">
        <f t="shared" si="341"/>
        <v>0</v>
      </c>
      <c r="H46" s="185">
        <f t="shared" si="341"/>
        <v>2500</v>
      </c>
      <c r="I46" s="184"/>
      <c r="J46" s="185"/>
      <c r="K46" s="184"/>
      <c r="L46" s="185"/>
      <c r="M46" s="184"/>
      <c r="N46" s="185"/>
      <c r="O46" s="184"/>
      <c r="P46" s="185"/>
      <c r="Q46" s="184"/>
      <c r="R46" s="185"/>
      <c r="S46" s="184"/>
      <c r="T46" s="185"/>
      <c r="U46" s="184"/>
      <c r="V46" s="185"/>
      <c r="W46" s="184"/>
      <c r="X46" s="185"/>
      <c r="Y46" s="184"/>
      <c r="Z46" s="185"/>
      <c r="AA46" s="184"/>
      <c r="AB46" s="185"/>
      <c r="AC46" s="184"/>
      <c r="AD46" s="185"/>
      <c r="AE46" s="184"/>
      <c r="AF46" s="185"/>
      <c r="AG46" s="184"/>
      <c r="AH46" s="185"/>
      <c r="AI46" s="184"/>
      <c r="AJ46" s="185"/>
      <c r="AK46" s="184"/>
      <c r="AL46" s="185"/>
      <c r="AM46" s="184"/>
      <c r="AN46" s="185"/>
      <c r="AO46" s="184"/>
      <c r="AP46" s="185"/>
      <c r="AQ46" s="184"/>
      <c r="AR46" s="185"/>
      <c r="AS46" s="184"/>
      <c r="AT46" s="185"/>
      <c r="AU46" s="184"/>
      <c r="AV46" s="185"/>
      <c r="AW46" s="184"/>
      <c r="AX46" s="185"/>
      <c r="AY46" s="184"/>
      <c r="AZ46" s="185"/>
      <c r="BA46" s="184"/>
      <c r="BB46" s="185"/>
      <c r="BC46" s="184"/>
      <c r="BD46" s="185"/>
      <c r="BE46" s="184"/>
      <c r="BF46" s="185"/>
      <c r="BG46" s="184"/>
      <c r="BH46" s="185"/>
      <c r="BI46" s="184"/>
      <c r="BJ46" s="185"/>
      <c r="BK46" s="184"/>
      <c r="BL46" s="185"/>
      <c r="BM46" s="184"/>
      <c r="BN46" s="185"/>
      <c r="BO46" s="184"/>
      <c r="BP46" s="185"/>
      <c r="BQ46" s="184"/>
      <c r="BR46" s="185"/>
      <c r="BS46" s="184"/>
      <c r="BT46" s="185"/>
      <c r="BU46" s="184"/>
      <c r="BV46" s="185"/>
      <c r="BW46" s="184"/>
      <c r="BX46" s="185"/>
      <c r="BY46" s="184"/>
      <c r="BZ46" s="185"/>
      <c r="CA46" s="184"/>
      <c r="CB46" s="185"/>
      <c r="CC46" s="184"/>
      <c r="CD46" s="185"/>
      <c r="CE46" s="184"/>
      <c r="CF46" s="185"/>
      <c r="CG46" s="184"/>
      <c r="CH46" s="185"/>
      <c r="CI46" s="184"/>
      <c r="CJ46" s="185"/>
      <c r="CK46" s="184"/>
      <c r="CL46" s="185"/>
      <c r="CM46" s="184"/>
      <c r="CN46" s="185"/>
      <c r="CO46" s="184"/>
      <c r="CP46" s="185"/>
      <c r="CQ46" s="184"/>
      <c r="CR46" s="185"/>
      <c r="CS46" s="184"/>
      <c r="CT46" s="185"/>
      <c r="CU46" s="184"/>
      <c r="CV46" s="185"/>
      <c r="CW46" s="184"/>
      <c r="CX46" s="185"/>
      <c r="CY46" s="184"/>
      <c r="CZ46" s="185"/>
      <c r="DA46" s="184"/>
      <c r="DB46" s="185"/>
      <c r="DC46" s="184"/>
      <c r="DD46" s="185"/>
      <c r="DE46" s="184"/>
      <c r="DF46" s="185">
        <v>2500</v>
      </c>
      <c r="DG46" s="184"/>
      <c r="DH46" s="185"/>
      <c r="DI46" s="184"/>
      <c r="DJ46" s="185"/>
      <c r="DK46" s="184"/>
      <c r="DL46" s="185"/>
      <c r="DM46" s="184"/>
      <c r="DN46" s="185"/>
      <c r="DO46" s="184"/>
      <c r="DP46" s="185"/>
      <c r="DQ46" s="184"/>
      <c r="DR46" s="185"/>
      <c r="DS46" s="184"/>
      <c r="DT46" s="185"/>
      <c r="DU46" s="184"/>
      <c r="DV46" s="185"/>
    </row>
    <row r="47" spans="1:126" x14ac:dyDescent="0.2">
      <c r="A47" s="183" t="s">
        <v>627</v>
      </c>
      <c r="B47" s="183" t="s">
        <v>643</v>
      </c>
      <c r="C47" s="184">
        <f t="shared" si="342"/>
        <v>0</v>
      </c>
      <c r="D47" s="185">
        <f t="shared" si="338"/>
        <v>0</v>
      </c>
      <c r="E47" s="184">
        <f t="shared" si="339"/>
        <v>0</v>
      </c>
      <c r="F47" s="185">
        <f t="shared" si="340"/>
        <v>0</v>
      </c>
      <c r="G47" s="184">
        <f t="shared" si="341"/>
        <v>0</v>
      </c>
      <c r="H47" s="185">
        <f t="shared" si="341"/>
        <v>0</v>
      </c>
      <c r="I47" s="184"/>
      <c r="J47" s="185"/>
      <c r="K47" s="184"/>
      <c r="L47" s="185"/>
      <c r="M47" s="184"/>
      <c r="N47" s="185"/>
      <c r="O47" s="184"/>
      <c r="P47" s="185"/>
      <c r="Q47" s="184"/>
      <c r="R47" s="185"/>
      <c r="S47" s="184"/>
      <c r="T47" s="185"/>
      <c r="U47" s="184"/>
      <c r="V47" s="185"/>
      <c r="W47" s="184"/>
      <c r="X47" s="185"/>
      <c r="Y47" s="184"/>
      <c r="Z47" s="185"/>
      <c r="AA47" s="184"/>
      <c r="AB47" s="185"/>
      <c r="AC47" s="184"/>
      <c r="AD47" s="185"/>
      <c r="AE47" s="184"/>
      <c r="AF47" s="185"/>
      <c r="AG47" s="184"/>
      <c r="AH47" s="185"/>
      <c r="AI47" s="184"/>
      <c r="AJ47" s="185"/>
      <c r="AK47" s="184"/>
      <c r="AL47" s="185"/>
      <c r="AM47" s="184"/>
      <c r="AN47" s="185"/>
      <c r="AO47" s="184"/>
      <c r="AP47" s="185"/>
      <c r="AQ47" s="184"/>
      <c r="AR47" s="185"/>
      <c r="AS47" s="184"/>
      <c r="AT47" s="185"/>
      <c r="AU47" s="184"/>
      <c r="AV47" s="185"/>
      <c r="AW47" s="184"/>
      <c r="AX47" s="185"/>
      <c r="AY47" s="184"/>
      <c r="AZ47" s="185"/>
      <c r="BA47" s="184"/>
      <c r="BB47" s="185"/>
      <c r="BC47" s="184"/>
      <c r="BD47" s="185"/>
      <c r="BE47" s="184"/>
      <c r="BF47" s="185"/>
      <c r="BG47" s="184"/>
      <c r="BH47" s="185"/>
      <c r="BI47" s="184"/>
      <c r="BJ47" s="185"/>
      <c r="BK47" s="184"/>
      <c r="BL47" s="185"/>
      <c r="BM47" s="184"/>
      <c r="BN47" s="185"/>
      <c r="BO47" s="184"/>
      <c r="BP47" s="185"/>
      <c r="BQ47" s="184"/>
      <c r="BR47" s="185"/>
      <c r="BS47" s="184"/>
      <c r="BT47" s="185"/>
      <c r="BU47" s="184"/>
      <c r="BV47" s="185"/>
      <c r="BW47" s="184"/>
      <c r="BX47" s="185"/>
      <c r="BY47" s="184"/>
      <c r="BZ47" s="185"/>
      <c r="CA47" s="184"/>
      <c r="CB47" s="185"/>
      <c r="CC47" s="184"/>
      <c r="CD47" s="185"/>
      <c r="CE47" s="184"/>
      <c r="CF47" s="185"/>
      <c r="CG47" s="184"/>
      <c r="CH47" s="185"/>
      <c r="CI47" s="184"/>
      <c r="CJ47" s="185"/>
      <c r="CK47" s="184"/>
      <c r="CL47" s="185"/>
      <c r="CM47" s="184"/>
      <c r="CN47" s="185"/>
      <c r="CO47" s="184"/>
      <c r="CP47" s="185"/>
      <c r="CQ47" s="184"/>
      <c r="CR47" s="185"/>
      <c r="CS47" s="184"/>
      <c r="CT47" s="185"/>
      <c r="CU47" s="184"/>
      <c r="CV47" s="185"/>
      <c r="CW47" s="184"/>
      <c r="CX47" s="185"/>
      <c r="CY47" s="184"/>
      <c r="CZ47" s="185"/>
      <c r="DA47" s="184"/>
      <c r="DB47" s="185"/>
      <c r="DC47" s="184"/>
      <c r="DD47" s="185"/>
      <c r="DE47" s="184"/>
      <c r="DF47" s="185"/>
      <c r="DG47" s="184"/>
      <c r="DH47" s="185"/>
      <c r="DI47" s="184"/>
      <c r="DJ47" s="185"/>
      <c r="DK47" s="184"/>
      <c r="DL47" s="185"/>
      <c r="DM47" s="184"/>
      <c r="DN47" s="185"/>
      <c r="DO47" s="184"/>
      <c r="DP47" s="185"/>
      <c r="DQ47" s="184"/>
      <c r="DR47" s="185"/>
      <c r="DS47" s="184"/>
      <c r="DT47" s="185"/>
      <c r="DU47" s="184"/>
      <c r="DV47" s="185"/>
    </row>
    <row r="48" spans="1:126" x14ac:dyDescent="0.2">
      <c r="A48" s="183" t="s">
        <v>628</v>
      </c>
      <c r="B48" s="183" t="s">
        <v>899</v>
      </c>
      <c r="C48" s="184">
        <f t="shared" si="342"/>
        <v>12500</v>
      </c>
      <c r="D48" s="185">
        <f t="shared" si="338"/>
        <v>7500</v>
      </c>
      <c r="E48" s="184">
        <f t="shared" si="339"/>
        <v>0</v>
      </c>
      <c r="F48" s="185">
        <f t="shared" si="340"/>
        <v>0</v>
      </c>
      <c r="G48" s="184">
        <f t="shared" si="341"/>
        <v>5000</v>
      </c>
      <c r="H48" s="185">
        <f t="shared" si="341"/>
        <v>7500</v>
      </c>
      <c r="I48" s="184"/>
      <c r="J48" s="185"/>
      <c r="K48" s="184"/>
      <c r="L48" s="185"/>
      <c r="M48" s="184"/>
      <c r="N48" s="185"/>
      <c r="O48" s="184"/>
      <c r="P48" s="185"/>
      <c r="Q48" s="184"/>
      <c r="R48" s="185"/>
      <c r="S48" s="184"/>
      <c r="T48" s="185"/>
      <c r="U48" s="184"/>
      <c r="V48" s="185"/>
      <c r="W48" s="184"/>
      <c r="X48" s="185"/>
      <c r="Y48" s="184"/>
      <c r="Z48" s="185"/>
      <c r="AA48" s="184"/>
      <c r="AB48" s="185"/>
      <c r="AC48" s="184"/>
      <c r="AD48" s="185"/>
      <c r="AE48" s="184"/>
      <c r="AF48" s="185"/>
      <c r="AG48" s="184"/>
      <c r="AH48" s="185"/>
      <c r="AI48" s="184"/>
      <c r="AJ48" s="185"/>
      <c r="AK48" s="184"/>
      <c r="AL48" s="185"/>
      <c r="AM48" s="184"/>
      <c r="AN48" s="185"/>
      <c r="AO48" s="184"/>
      <c r="AP48" s="185"/>
      <c r="AQ48" s="184"/>
      <c r="AR48" s="185"/>
      <c r="AS48" s="184"/>
      <c r="AT48" s="185"/>
      <c r="AU48" s="184"/>
      <c r="AV48" s="185"/>
      <c r="AW48" s="184"/>
      <c r="AX48" s="185"/>
      <c r="AY48" s="184"/>
      <c r="AZ48" s="185"/>
      <c r="BA48" s="184"/>
      <c r="BB48" s="185"/>
      <c r="BC48" s="184"/>
      <c r="BD48" s="185"/>
      <c r="BE48" s="184"/>
      <c r="BF48" s="185"/>
      <c r="BG48" s="184"/>
      <c r="BH48" s="185"/>
      <c r="BI48" s="184"/>
      <c r="BJ48" s="185"/>
      <c r="BK48" s="184"/>
      <c r="BL48" s="185"/>
      <c r="BM48" s="184"/>
      <c r="BN48" s="185"/>
      <c r="BO48" s="184"/>
      <c r="BP48" s="185"/>
      <c r="BQ48" s="184"/>
      <c r="BR48" s="185"/>
      <c r="BS48" s="184"/>
      <c r="BT48" s="185"/>
      <c r="BU48" s="184"/>
      <c r="BV48" s="185"/>
      <c r="BW48" s="184"/>
      <c r="BX48" s="185"/>
      <c r="BY48" s="184"/>
      <c r="BZ48" s="185"/>
      <c r="CA48" s="184"/>
      <c r="CB48" s="185"/>
      <c r="CC48" s="184"/>
      <c r="CD48" s="185"/>
      <c r="CE48" s="184"/>
      <c r="CF48" s="185"/>
      <c r="CG48" s="184"/>
      <c r="CH48" s="185"/>
      <c r="CI48" s="184"/>
      <c r="CJ48" s="185"/>
      <c r="CK48" s="184"/>
      <c r="CL48" s="185"/>
      <c r="CM48" s="184"/>
      <c r="CN48" s="185"/>
      <c r="CO48" s="184"/>
      <c r="CP48" s="185"/>
      <c r="CQ48" s="184"/>
      <c r="CR48" s="185"/>
      <c r="CS48" s="184"/>
      <c r="CT48" s="185"/>
      <c r="CU48" s="184"/>
      <c r="CV48" s="185"/>
      <c r="CW48" s="184"/>
      <c r="CX48" s="185"/>
      <c r="CY48" s="184"/>
      <c r="CZ48" s="185"/>
      <c r="DA48" s="184"/>
      <c r="DB48" s="185"/>
      <c r="DC48" s="184"/>
      <c r="DD48" s="185"/>
      <c r="DE48" s="184">
        <v>5000</v>
      </c>
      <c r="DF48" s="185">
        <f>6000+1500</f>
        <v>7500</v>
      </c>
      <c r="DG48" s="184"/>
      <c r="DH48" s="185"/>
      <c r="DI48" s="184"/>
      <c r="DJ48" s="185"/>
      <c r="DK48" s="184"/>
      <c r="DL48" s="185"/>
      <c r="DM48" s="184"/>
      <c r="DN48" s="185"/>
      <c r="DO48" s="184"/>
      <c r="DP48" s="185"/>
      <c r="DQ48" s="184"/>
      <c r="DR48" s="185"/>
      <c r="DS48" s="184"/>
      <c r="DT48" s="185"/>
      <c r="DU48" s="184"/>
      <c r="DV48" s="185"/>
    </row>
    <row r="49" spans="1:126" x14ac:dyDescent="0.2">
      <c r="A49" s="183" t="s">
        <v>629</v>
      </c>
      <c r="B49" s="183" t="s">
        <v>900</v>
      </c>
      <c r="C49" s="184">
        <f t="shared" si="342"/>
        <v>0</v>
      </c>
      <c r="D49" s="185">
        <f t="shared" si="338"/>
        <v>0</v>
      </c>
      <c r="E49" s="184">
        <f t="shared" si="339"/>
        <v>0</v>
      </c>
      <c r="F49" s="185">
        <f t="shared" si="340"/>
        <v>0</v>
      </c>
      <c r="G49" s="184">
        <f t="shared" si="341"/>
        <v>0</v>
      </c>
      <c r="H49" s="185">
        <f t="shared" si="341"/>
        <v>0</v>
      </c>
      <c r="I49" s="184"/>
      <c r="J49" s="185"/>
      <c r="K49" s="184"/>
      <c r="L49" s="185"/>
      <c r="M49" s="184"/>
      <c r="N49" s="185"/>
      <c r="O49" s="184"/>
      <c r="P49" s="185"/>
      <c r="Q49" s="184"/>
      <c r="R49" s="185"/>
      <c r="S49" s="184"/>
      <c r="T49" s="185"/>
      <c r="U49" s="184"/>
      <c r="V49" s="185"/>
      <c r="W49" s="184"/>
      <c r="X49" s="185"/>
      <c r="Y49" s="184"/>
      <c r="Z49" s="185"/>
      <c r="AA49" s="184"/>
      <c r="AB49" s="185"/>
      <c r="AC49" s="184"/>
      <c r="AD49" s="185"/>
      <c r="AE49" s="184"/>
      <c r="AF49" s="185"/>
      <c r="AG49" s="184"/>
      <c r="AH49" s="185"/>
      <c r="AI49" s="184"/>
      <c r="AJ49" s="185"/>
      <c r="AK49" s="184"/>
      <c r="AL49" s="185"/>
      <c r="AM49" s="184"/>
      <c r="AN49" s="185"/>
      <c r="AO49" s="184"/>
      <c r="AP49" s="185"/>
      <c r="AQ49" s="184"/>
      <c r="AR49" s="185"/>
      <c r="AS49" s="184"/>
      <c r="AT49" s="185"/>
      <c r="AU49" s="184"/>
      <c r="AV49" s="185"/>
      <c r="AW49" s="184"/>
      <c r="AX49" s="185"/>
      <c r="AY49" s="184"/>
      <c r="AZ49" s="185"/>
      <c r="BA49" s="184"/>
      <c r="BB49" s="185"/>
      <c r="BC49" s="184"/>
      <c r="BD49" s="185"/>
      <c r="BE49" s="184"/>
      <c r="BF49" s="185"/>
      <c r="BG49" s="184"/>
      <c r="BH49" s="185"/>
      <c r="BI49" s="184"/>
      <c r="BJ49" s="185"/>
      <c r="BK49" s="184"/>
      <c r="BL49" s="185"/>
      <c r="BM49" s="184"/>
      <c r="BN49" s="185"/>
      <c r="BO49" s="184"/>
      <c r="BP49" s="185"/>
      <c r="BQ49" s="184"/>
      <c r="BR49" s="185"/>
      <c r="BS49" s="184"/>
      <c r="BT49" s="185"/>
      <c r="BU49" s="184"/>
      <c r="BV49" s="185"/>
      <c r="BW49" s="184"/>
      <c r="BX49" s="185"/>
      <c r="BY49" s="184"/>
      <c r="BZ49" s="185"/>
      <c r="CA49" s="184"/>
      <c r="CB49" s="185"/>
      <c r="CC49" s="184"/>
      <c r="CD49" s="185"/>
      <c r="CE49" s="184"/>
      <c r="CF49" s="185"/>
      <c r="CG49" s="184"/>
      <c r="CH49" s="185"/>
      <c r="CI49" s="184"/>
      <c r="CJ49" s="185"/>
      <c r="CK49" s="184"/>
      <c r="CL49" s="185"/>
      <c r="CM49" s="184"/>
      <c r="CN49" s="185"/>
      <c r="CO49" s="184"/>
      <c r="CP49" s="185"/>
      <c r="CQ49" s="184"/>
      <c r="CR49" s="185"/>
      <c r="CS49" s="184"/>
      <c r="CT49" s="185"/>
      <c r="CU49" s="184"/>
      <c r="CV49" s="185"/>
      <c r="CW49" s="184"/>
      <c r="CX49" s="185"/>
      <c r="CY49" s="184"/>
      <c r="CZ49" s="185"/>
      <c r="DA49" s="184"/>
      <c r="DB49" s="185"/>
      <c r="DC49" s="184"/>
      <c r="DD49" s="185"/>
      <c r="DE49" s="184"/>
      <c r="DF49" s="185"/>
      <c r="DG49" s="184"/>
      <c r="DH49" s="185"/>
      <c r="DI49" s="184"/>
      <c r="DJ49" s="185"/>
      <c r="DK49" s="184"/>
      <c r="DL49" s="185"/>
      <c r="DM49" s="184"/>
      <c r="DN49" s="185"/>
      <c r="DO49" s="184"/>
      <c r="DP49" s="185"/>
      <c r="DQ49" s="184"/>
      <c r="DR49" s="185"/>
      <c r="DS49" s="184"/>
      <c r="DT49" s="185"/>
      <c r="DU49" s="184"/>
      <c r="DV49" s="185"/>
    </row>
    <row r="50" spans="1:126" x14ac:dyDescent="0.2">
      <c r="A50" s="183" t="s">
        <v>630</v>
      </c>
      <c r="B50" s="183" t="s">
        <v>646</v>
      </c>
      <c r="C50" s="184">
        <f t="shared" si="342"/>
        <v>8840</v>
      </c>
      <c r="D50" s="185">
        <f t="shared" si="338"/>
        <v>8840</v>
      </c>
      <c r="E50" s="184">
        <f t="shared" si="339"/>
        <v>0</v>
      </c>
      <c r="F50" s="185">
        <f t="shared" si="340"/>
        <v>0</v>
      </c>
      <c r="G50" s="184">
        <f t="shared" si="341"/>
        <v>0</v>
      </c>
      <c r="H50" s="185">
        <f t="shared" si="341"/>
        <v>8840</v>
      </c>
      <c r="I50" s="184"/>
      <c r="J50" s="185"/>
      <c r="K50" s="184"/>
      <c r="L50" s="185"/>
      <c r="M50" s="184"/>
      <c r="N50" s="185"/>
      <c r="O50" s="184"/>
      <c r="P50" s="185"/>
      <c r="Q50" s="184"/>
      <c r="R50" s="185"/>
      <c r="S50" s="184"/>
      <c r="T50" s="185"/>
      <c r="U50" s="184"/>
      <c r="V50" s="185"/>
      <c r="W50" s="184"/>
      <c r="X50" s="185"/>
      <c r="Y50" s="184"/>
      <c r="Z50" s="185"/>
      <c r="AA50" s="184"/>
      <c r="AB50" s="185"/>
      <c r="AC50" s="184"/>
      <c r="AD50" s="185"/>
      <c r="AE50" s="184"/>
      <c r="AF50" s="185"/>
      <c r="AG50" s="184"/>
      <c r="AH50" s="185"/>
      <c r="AI50" s="184"/>
      <c r="AJ50" s="185"/>
      <c r="AK50" s="184"/>
      <c r="AL50" s="185"/>
      <c r="AM50" s="184"/>
      <c r="AN50" s="185"/>
      <c r="AO50" s="184"/>
      <c r="AP50" s="185"/>
      <c r="AQ50" s="184"/>
      <c r="AR50" s="185"/>
      <c r="AS50" s="184"/>
      <c r="AT50" s="185"/>
      <c r="AU50" s="184"/>
      <c r="AV50" s="185"/>
      <c r="AW50" s="184"/>
      <c r="AX50" s="185"/>
      <c r="AY50" s="184"/>
      <c r="AZ50" s="185"/>
      <c r="BA50" s="184"/>
      <c r="BB50" s="185"/>
      <c r="BC50" s="184"/>
      <c r="BD50" s="185"/>
      <c r="BE50" s="184"/>
      <c r="BF50" s="185"/>
      <c r="BG50" s="184"/>
      <c r="BH50" s="185"/>
      <c r="BI50" s="184"/>
      <c r="BJ50" s="185"/>
      <c r="BK50" s="184"/>
      <c r="BL50" s="185"/>
      <c r="BM50" s="184"/>
      <c r="BN50" s="185"/>
      <c r="BO50" s="184"/>
      <c r="BP50" s="185"/>
      <c r="BQ50" s="184"/>
      <c r="BR50" s="185"/>
      <c r="BS50" s="184"/>
      <c r="BT50" s="185"/>
      <c r="BU50" s="184"/>
      <c r="BV50" s="185"/>
      <c r="BW50" s="184"/>
      <c r="BX50" s="185"/>
      <c r="BY50" s="184"/>
      <c r="BZ50" s="185"/>
      <c r="CA50" s="184"/>
      <c r="CB50" s="185"/>
      <c r="CC50" s="184"/>
      <c r="CD50" s="185"/>
      <c r="CE50" s="184"/>
      <c r="CF50" s="185"/>
      <c r="CG50" s="184"/>
      <c r="CH50" s="185"/>
      <c r="CI50" s="184"/>
      <c r="CJ50" s="185"/>
      <c r="CK50" s="184"/>
      <c r="CL50" s="185"/>
      <c r="CM50" s="184"/>
      <c r="CN50" s="185"/>
      <c r="CO50" s="184"/>
      <c r="CP50" s="185"/>
      <c r="CQ50" s="184"/>
      <c r="CR50" s="185"/>
      <c r="CS50" s="184"/>
      <c r="CT50" s="185"/>
      <c r="CU50" s="184"/>
      <c r="CV50" s="185"/>
      <c r="CW50" s="184"/>
      <c r="CX50" s="185"/>
      <c r="CY50" s="184"/>
      <c r="CZ50" s="185"/>
      <c r="DA50" s="184"/>
      <c r="DB50" s="185"/>
      <c r="DC50" s="184"/>
      <c r="DD50" s="185"/>
      <c r="DE50" s="184"/>
      <c r="DF50" s="185">
        <f>6840+2000</f>
        <v>8840</v>
      </c>
      <c r="DG50" s="184"/>
      <c r="DH50" s="185"/>
      <c r="DI50" s="184"/>
      <c r="DJ50" s="185"/>
      <c r="DK50" s="184"/>
      <c r="DL50" s="185"/>
      <c r="DM50" s="184"/>
      <c r="DN50" s="185"/>
      <c r="DO50" s="184"/>
      <c r="DP50" s="185"/>
      <c r="DQ50" s="184"/>
      <c r="DR50" s="185"/>
      <c r="DS50" s="184"/>
      <c r="DT50" s="185"/>
      <c r="DU50" s="184"/>
      <c r="DV50" s="185"/>
    </row>
    <row r="51" spans="1:126" x14ac:dyDescent="0.2">
      <c r="A51" s="183" t="s">
        <v>631</v>
      </c>
      <c r="B51" s="183" t="s">
        <v>647</v>
      </c>
      <c r="C51" s="184">
        <f t="shared" si="342"/>
        <v>0</v>
      </c>
      <c r="D51" s="185">
        <f t="shared" si="338"/>
        <v>0</v>
      </c>
      <c r="E51" s="184">
        <f t="shared" si="339"/>
        <v>0</v>
      </c>
      <c r="F51" s="185">
        <f t="shared" si="340"/>
        <v>0</v>
      </c>
      <c r="G51" s="184">
        <f t="shared" si="341"/>
        <v>0</v>
      </c>
      <c r="H51" s="185">
        <f t="shared" si="341"/>
        <v>0</v>
      </c>
      <c r="I51" s="184"/>
      <c r="J51" s="185"/>
      <c r="K51" s="184"/>
      <c r="L51" s="185"/>
      <c r="M51" s="184"/>
      <c r="N51" s="185"/>
      <c r="O51" s="184"/>
      <c r="P51" s="185"/>
      <c r="Q51" s="184"/>
      <c r="R51" s="185"/>
      <c r="S51" s="184"/>
      <c r="T51" s="185"/>
      <c r="U51" s="184"/>
      <c r="V51" s="185"/>
      <c r="W51" s="184"/>
      <c r="X51" s="185"/>
      <c r="Y51" s="184"/>
      <c r="Z51" s="185"/>
      <c r="AA51" s="184"/>
      <c r="AB51" s="185"/>
      <c r="AC51" s="184"/>
      <c r="AD51" s="185"/>
      <c r="AE51" s="184"/>
      <c r="AF51" s="185"/>
      <c r="AG51" s="184"/>
      <c r="AH51" s="185"/>
      <c r="AI51" s="184"/>
      <c r="AJ51" s="185"/>
      <c r="AK51" s="184"/>
      <c r="AL51" s="185"/>
      <c r="AM51" s="184"/>
      <c r="AN51" s="185"/>
      <c r="AO51" s="184"/>
      <c r="AP51" s="185"/>
      <c r="AQ51" s="184"/>
      <c r="AR51" s="185"/>
      <c r="AS51" s="184"/>
      <c r="AT51" s="185"/>
      <c r="AU51" s="184"/>
      <c r="AV51" s="185"/>
      <c r="AW51" s="184"/>
      <c r="AX51" s="185"/>
      <c r="AY51" s="184"/>
      <c r="AZ51" s="185"/>
      <c r="BA51" s="184"/>
      <c r="BB51" s="185"/>
      <c r="BC51" s="184"/>
      <c r="BD51" s="185"/>
      <c r="BE51" s="184"/>
      <c r="BF51" s="185"/>
      <c r="BG51" s="184"/>
      <c r="BH51" s="185"/>
      <c r="BI51" s="184"/>
      <c r="BJ51" s="185"/>
      <c r="BK51" s="184"/>
      <c r="BL51" s="185"/>
      <c r="BM51" s="184"/>
      <c r="BN51" s="185"/>
      <c r="BO51" s="184"/>
      <c r="BP51" s="185"/>
      <c r="BQ51" s="184"/>
      <c r="BR51" s="185"/>
      <c r="BS51" s="184"/>
      <c r="BT51" s="185"/>
      <c r="BU51" s="184"/>
      <c r="BV51" s="185"/>
      <c r="BW51" s="184"/>
      <c r="BX51" s="185"/>
      <c r="BY51" s="184"/>
      <c r="BZ51" s="185"/>
      <c r="CA51" s="184"/>
      <c r="CB51" s="185"/>
      <c r="CC51" s="184"/>
      <c r="CD51" s="185"/>
      <c r="CE51" s="184"/>
      <c r="CF51" s="185"/>
      <c r="CG51" s="184"/>
      <c r="CH51" s="185"/>
      <c r="CI51" s="184"/>
      <c r="CJ51" s="185"/>
      <c r="CK51" s="184"/>
      <c r="CL51" s="185"/>
      <c r="CM51" s="184"/>
      <c r="CN51" s="185"/>
      <c r="CO51" s="184"/>
      <c r="CP51" s="185"/>
      <c r="CQ51" s="184"/>
      <c r="CR51" s="185"/>
      <c r="CS51" s="184"/>
      <c r="CT51" s="185"/>
      <c r="CU51" s="184"/>
      <c r="CV51" s="185"/>
      <c r="CW51" s="184"/>
      <c r="CX51" s="185"/>
      <c r="CY51" s="184"/>
      <c r="CZ51" s="185"/>
      <c r="DA51" s="184"/>
      <c r="DB51" s="185"/>
      <c r="DC51" s="184"/>
      <c r="DD51" s="185"/>
      <c r="DE51" s="184"/>
      <c r="DF51" s="185"/>
      <c r="DG51" s="184"/>
      <c r="DH51" s="185"/>
      <c r="DI51" s="184"/>
      <c r="DJ51" s="185"/>
      <c r="DK51" s="184"/>
      <c r="DL51" s="185"/>
      <c r="DM51" s="184"/>
      <c r="DN51" s="185"/>
      <c r="DO51" s="184"/>
      <c r="DP51" s="185"/>
      <c r="DQ51" s="184"/>
      <c r="DR51" s="185"/>
      <c r="DS51" s="184"/>
      <c r="DT51" s="185"/>
      <c r="DU51" s="184"/>
      <c r="DV51" s="185"/>
    </row>
    <row r="52" spans="1:126" x14ac:dyDescent="0.2">
      <c r="A52" s="183" t="s">
        <v>632</v>
      </c>
      <c r="B52" s="183" t="s">
        <v>648</v>
      </c>
      <c r="C52" s="184">
        <f t="shared" si="342"/>
        <v>72160</v>
      </c>
      <c r="D52" s="185">
        <f t="shared" si="338"/>
        <v>21160</v>
      </c>
      <c r="E52" s="184">
        <f t="shared" si="339"/>
        <v>24000</v>
      </c>
      <c r="F52" s="185">
        <f t="shared" si="340"/>
        <v>21160</v>
      </c>
      <c r="G52" s="184">
        <f t="shared" si="341"/>
        <v>27000</v>
      </c>
      <c r="H52" s="185">
        <f t="shared" si="341"/>
        <v>0</v>
      </c>
      <c r="I52" s="184"/>
      <c r="J52" s="185"/>
      <c r="K52" s="184"/>
      <c r="L52" s="185"/>
      <c r="M52" s="184"/>
      <c r="N52" s="185"/>
      <c r="O52" s="184"/>
      <c r="P52" s="185"/>
      <c r="Q52" s="184"/>
      <c r="R52" s="185"/>
      <c r="S52" s="184"/>
      <c r="T52" s="185"/>
      <c r="U52" s="184"/>
      <c r="V52" s="185"/>
      <c r="W52" s="184"/>
      <c r="X52" s="185"/>
      <c r="Y52" s="184"/>
      <c r="Z52" s="185"/>
      <c r="AA52" s="184"/>
      <c r="AB52" s="185"/>
      <c r="AC52" s="184"/>
      <c r="AD52" s="185"/>
      <c r="AE52" s="184"/>
      <c r="AF52" s="185"/>
      <c r="AG52" s="184"/>
      <c r="AH52" s="185"/>
      <c r="AI52" s="184">
        <f>23000+1000</f>
        <v>24000</v>
      </c>
      <c r="AJ52" s="185">
        <f>19560+1600</f>
        <v>21160</v>
      </c>
      <c r="AK52" s="184"/>
      <c r="AL52" s="185"/>
      <c r="AM52" s="184"/>
      <c r="AN52" s="185"/>
      <c r="AO52" s="184"/>
      <c r="AP52" s="185"/>
      <c r="AQ52" s="184"/>
      <c r="AR52" s="185"/>
      <c r="AS52" s="184"/>
      <c r="AT52" s="185"/>
      <c r="AU52" s="184"/>
      <c r="AV52" s="185"/>
      <c r="AW52" s="184"/>
      <c r="AX52" s="185"/>
      <c r="AY52" s="184"/>
      <c r="AZ52" s="185"/>
      <c r="BA52" s="184"/>
      <c r="BB52" s="185"/>
      <c r="BC52" s="184"/>
      <c r="BD52" s="185"/>
      <c r="BE52" s="184"/>
      <c r="BF52" s="185"/>
      <c r="BG52" s="184"/>
      <c r="BH52" s="185"/>
      <c r="BI52" s="184"/>
      <c r="BJ52" s="185"/>
      <c r="BK52" s="184"/>
      <c r="BL52" s="185"/>
      <c r="BM52" s="184"/>
      <c r="BN52" s="185"/>
      <c r="BO52" s="184"/>
      <c r="BP52" s="185"/>
      <c r="BQ52" s="184"/>
      <c r="BR52" s="185"/>
      <c r="BS52" s="184"/>
      <c r="BT52" s="185"/>
      <c r="BU52" s="184"/>
      <c r="BV52" s="185"/>
      <c r="BW52" s="184"/>
      <c r="BX52" s="185"/>
      <c r="BY52" s="184"/>
      <c r="BZ52" s="185"/>
      <c r="CA52" s="184"/>
      <c r="CB52" s="185"/>
      <c r="CC52" s="184"/>
      <c r="CD52" s="185"/>
      <c r="CE52" s="184"/>
      <c r="CF52" s="185"/>
      <c r="CG52" s="184"/>
      <c r="CH52" s="185"/>
      <c r="CI52" s="184"/>
      <c r="CJ52" s="185"/>
      <c r="CK52" s="184"/>
      <c r="CL52" s="185"/>
      <c r="CM52" s="184"/>
      <c r="CN52" s="185"/>
      <c r="CO52" s="184"/>
      <c r="CP52" s="185"/>
      <c r="CQ52" s="184"/>
      <c r="CR52" s="185"/>
      <c r="CS52" s="184"/>
      <c r="CT52" s="185"/>
      <c r="CU52" s="184"/>
      <c r="CV52" s="185"/>
      <c r="CW52" s="184"/>
      <c r="CX52" s="185"/>
      <c r="CY52" s="184"/>
      <c r="CZ52" s="185"/>
      <c r="DA52" s="184"/>
      <c r="DB52" s="185"/>
      <c r="DC52" s="184"/>
      <c r="DD52" s="185"/>
      <c r="DE52" s="184">
        <f>9000+4000+12000+2000</f>
        <v>27000</v>
      </c>
      <c r="DF52" s="185"/>
      <c r="DG52" s="184"/>
      <c r="DH52" s="185"/>
      <c r="DI52" s="184"/>
      <c r="DJ52" s="185"/>
      <c r="DK52" s="184"/>
      <c r="DL52" s="185"/>
      <c r="DM52" s="184"/>
      <c r="DN52" s="185"/>
      <c r="DO52" s="184"/>
      <c r="DP52" s="185"/>
      <c r="DQ52" s="184"/>
      <c r="DR52" s="185"/>
      <c r="DS52" s="184"/>
      <c r="DT52" s="185"/>
      <c r="DU52" s="184"/>
      <c r="DV52" s="185"/>
    </row>
    <row r="53" spans="1:126" ht="13.6" x14ac:dyDescent="0.25">
      <c r="A53" s="186" t="s">
        <v>623</v>
      </c>
      <c r="B53" s="186" t="s">
        <v>337</v>
      </c>
      <c r="C53" s="187">
        <f t="shared" ref="C53:I53" si="343">SUM(C45:C52)</f>
        <v>96000</v>
      </c>
      <c r="D53" s="188">
        <f t="shared" si="343"/>
        <v>40000</v>
      </c>
      <c r="E53" s="187">
        <f t="shared" si="343"/>
        <v>24000</v>
      </c>
      <c r="F53" s="188">
        <f t="shared" si="343"/>
        <v>21160</v>
      </c>
      <c r="G53" s="187">
        <f t="shared" si="343"/>
        <v>32000</v>
      </c>
      <c r="H53" s="188">
        <f t="shared" si="343"/>
        <v>18840</v>
      </c>
      <c r="I53" s="187">
        <f t="shared" si="343"/>
        <v>0</v>
      </c>
      <c r="J53" s="188">
        <f t="shared" ref="J53:AO53" si="344">SUM(J45:J52)</f>
        <v>0</v>
      </c>
      <c r="K53" s="187">
        <f t="shared" si="344"/>
        <v>0</v>
      </c>
      <c r="L53" s="188">
        <f t="shared" si="344"/>
        <v>0</v>
      </c>
      <c r="M53" s="187">
        <f t="shared" si="344"/>
        <v>0</v>
      </c>
      <c r="N53" s="188">
        <f t="shared" si="344"/>
        <v>0</v>
      </c>
      <c r="O53" s="187">
        <f t="shared" si="344"/>
        <v>0</v>
      </c>
      <c r="P53" s="188">
        <f t="shared" si="344"/>
        <v>0</v>
      </c>
      <c r="Q53" s="187">
        <f t="shared" si="344"/>
        <v>0</v>
      </c>
      <c r="R53" s="188">
        <f t="shared" si="344"/>
        <v>0</v>
      </c>
      <c r="S53" s="187">
        <f t="shared" si="344"/>
        <v>0</v>
      </c>
      <c r="T53" s="188">
        <f t="shared" ref="T53" si="345">SUM(T45:T52)</f>
        <v>0</v>
      </c>
      <c r="U53" s="187">
        <f t="shared" si="344"/>
        <v>0</v>
      </c>
      <c r="V53" s="188">
        <f t="shared" ref="V53" si="346">SUM(V45:V52)</f>
        <v>0</v>
      </c>
      <c r="W53" s="187">
        <f t="shared" si="344"/>
        <v>0</v>
      </c>
      <c r="X53" s="188">
        <f t="shared" si="344"/>
        <v>0</v>
      </c>
      <c r="Y53" s="187">
        <f t="shared" si="344"/>
        <v>0</v>
      </c>
      <c r="Z53" s="188">
        <f t="shared" si="344"/>
        <v>0</v>
      </c>
      <c r="AA53" s="187">
        <f t="shared" si="344"/>
        <v>0</v>
      </c>
      <c r="AB53" s="188">
        <f t="shared" ref="AB53" si="347">SUM(AB45:AB52)</f>
        <v>0</v>
      </c>
      <c r="AC53" s="187">
        <f t="shared" si="344"/>
        <v>0</v>
      </c>
      <c r="AD53" s="188">
        <f t="shared" ref="AD53" si="348">SUM(AD45:AD52)</f>
        <v>0</v>
      </c>
      <c r="AE53" s="187">
        <f t="shared" si="344"/>
        <v>0</v>
      </c>
      <c r="AF53" s="188">
        <f t="shared" ref="AF53:AH53" si="349">SUM(AF45:AF52)</f>
        <v>0</v>
      </c>
      <c r="AG53" s="187"/>
      <c r="AH53" s="188">
        <f t="shared" si="349"/>
        <v>0</v>
      </c>
      <c r="AI53" s="187">
        <f>SUM(AI45:AI52)</f>
        <v>24000</v>
      </c>
      <c r="AJ53" s="188">
        <f>SUM(AJ45:AJ52)</f>
        <v>21160</v>
      </c>
      <c r="AK53" s="187">
        <f t="shared" si="344"/>
        <v>0</v>
      </c>
      <c r="AL53" s="188">
        <f t="shared" si="344"/>
        <v>0</v>
      </c>
      <c r="AM53" s="187">
        <f t="shared" si="344"/>
        <v>0</v>
      </c>
      <c r="AN53" s="188"/>
      <c r="AO53" s="187">
        <f t="shared" si="344"/>
        <v>0</v>
      </c>
      <c r="AP53" s="188">
        <f t="shared" ref="AP53" si="350">SUM(AP45:AP52)</f>
        <v>0</v>
      </c>
      <c r="AQ53" s="187">
        <f t="shared" ref="AQ53:DS53" si="351">SUM(AQ45:AQ52)</f>
        <v>0</v>
      </c>
      <c r="AR53" s="188">
        <f t="shared" ref="AR53" si="352">SUM(AR45:AR52)</f>
        <v>0</v>
      </c>
      <c r="AS53" s="187">
        <f t="shared" si="351"/>
        <v>0</v>
      </c>
      <c r="AT53" s="188">
        <f t="shared" ref="AT53" si="353">SUM(AT45:AT52)</f>
        <v>0</v>
      </c>
      <c r="AU53" s="187">
        <f t="shared" si="351"/>
        <v>0</v>
      </c>
      <c r="AV53" s="188">
        <f t="shared" ref="AV53" si="354">SUM(AV45:AV52)</f>
        <v>0</v>
      </c>
      <c r="AW53" s="187">
        <f t="shared" si="351"/>
        <v>0</v>
      </c>
      <c r="AX53" s="188">
        <f t="shared" ref="AX53" si="355">SUM(AX45:AX52)</f>
        <v>0</v>
      </c>
      <c r="AY53" s="187">
        <f t="shared" si="351"/>
        <v>0</v>
      </c>
      <c r="AZ53" s="188">
        <f t="shared" ref="AZ53" si="356">SUM(AZ45:AZ52)</f>
        <v>0</v>
      </c>
      <c r="BA53" s="187">
        <f t="shared" si="351"/>
        <v>0</v>
      </c>
      <c r="BB53" s="188">
        <f t="shared" ref="BB53" si="357">SUM(BB45:BB52)</f>
        <v>0</v>
      </c>
      <c r="BC53" s="187">
        <f t="shared" si="351"/>
        <v>0</v>
      </c>
      <c r="BD53" s="188">
        <f t="shared" ref="BD53" si="358">SUM(BD45:BD52)</f>
        <v>0</v>
      </c>
      <c r="BE53" s="187">
        <f t="shared" si="351"/>
        <v>0</v>
      </c>
      <c r="BF53" s="188">
        <f t="shared" ref="BF53" si="359">SUM(BF45:BF52)</f>
        <v>0</v>
      </c>
      <c r="BG53" s="187">
        <f t="shared" si="351"/>
        <v>0</v>
      </c>
      <c r="BH53" s="188">
        <f t="shared" ref="BH53" si="360">SUM(BH45:BH52)</f>
        <v>0</v>
      </c>
      <c r="BI53" s="187">
        <f t="shared" si="351"/>
        <v>0</v>
      </c>
      <c r="BJ53" s="188">
        <f t="shared" ref="BJ53" si="361">SUM(BJ45:BJ52)</f>
        <v>0</v>
      </c>
      <c r="BK53" s="187">
        <f t="shared" si="351"/>
        <v>0</v>
      </c>
      <c r="BL53" s="188">
        <f t="shared" ref="BL53" si="362">SUM(BL45:BL52)</f>
        <v>0</v>
      </c>
      <c r="BM53" s="187">
        <f t="shared" si="351"/>
        <v>0</v>
      </c>
      <c r="BN53" s="188">
        <f t="shared" ref="BN53" si="363">SUM(BN45:BN52)</f>
        <v>0</v>
      </c>
      <c r="BO53" s="187">
        <f t="shared" si="351"/>
        <v>0</v>
      </c>
      <c r="BP53" s="188">
        <f t="shared" ref="BP53" si="364">SUM(BP45:BP52)</f>
        <v>0</v>
      </c>
      <c r="BQ53" s="187">
        <f t="shared" si="351"/>
        <v>0</v>
      </c>
      <c r="BR53" s="188">
        <f t="shared" ref="BR53" si="365">SUM(BR45:BR52)</f>
        <v>0</v>
      </c>
      <c r="BS53" s="187">
        <f t="shared" si="351"/>
        <v>0</v>
      </c>
      <c r="BT53" s="188">
        <f t="shared" ref="BT53" si="366">SUM(BT45:BT52)</f>
        <v>0</v>
      </c>
      <c r="BU53" s="187">
        <f t="shared" si="351"/>
        <v>0</v>
      </c>
      <c r="BV53" s="188">
        <f t="shared" ref="BV53" si="367">SUM(BV45:BV52)</f>
        <v>0</v>
      </c>
      <c r="BW53" s="187">
        <f t="shared" si="351"/>
        <v>0</v>
      </c>
      <c r="BX53" s="188">
        <f t="shared" ref="BX53" si="368">SUM(BX45:BX52)</f>
        <v>0</v>
      </c>
      <c r="BY53" s="187">
        <f t="shared" si="351"/>
        <v>0</v>
      </c>
      <c r="BZ53" s="188">
        <f t="shared" ref="BZ53" si="369">SUM(BZ45:BZ52)</f>
        <v>0</v>
      </c>
      <c r="CA53" s="187">
        <f t="shared" si="351"/>
        <v>0</v>
      </c>
      <c r="CB53" s="188">
        <f t="shared" ref="CB53" si="370">SUM(CB45:CB52)</f>
        <v>0</v>
      </c>
      <c r="CC53" s="187">
        <f t="shared" si="351"/>
        <v>0</v>
      </c>
      <c r="CD53" s="188">
        <f t="shared" ref="CD53" si="371">SUM(CD45:CD52)</f>
        <v>0</v>
      </c>
      <c r="CE53" s="187">
        <f>SUM(CE45:CE52)</f>
        <v>0</v>
      </c>
      <c r="CF53" s="188">
        <f>SUM(CF45:CF52)</f>
        <v>0</v>
      </c>
      <c r="CG53" s="187">
        <f t="shared" si="351"/>
        <v>0</v>
      </c>
      <c r="CH53" s="188">
        <f t="shared" ref="CH53" si="372">SUM(CH45:CH52)</f>
        <v>0</v>
      </c>
      <c r="CI53" s="187">
        <f t="shared" si="351"/>
        <v>0</v>
      </c>
      <c r="CJ53" s="188">
        <f t="shared" ref="CJ53" si="373">SUM(CJ45:CJ52)</f>
        <v>0</v>
      </c>
      <c r="CK53" s="187">
        <f t="shared" si="351"/>
        <v>0</v>
      </c>
      <c r="CL53" s="188">
        <f t="shared" ref="CL53" si="374">SUM(CL45:CL52)</f>
        <v>0</v>
      </c>
      <c r="CM53" s="187">
        <f t="shared" si="351"/>
        <v>0</v>
      </c>
      <c r="CN53" s="188">
        <f t="shared" ref="CN53" si="375">SUM(CN45:CN52)</f>
        <v>0</v>
      </c>
      <c r="CO53" s="187">
        <f t="shared" si="351"/>
        <v>0</v>
      </c>
      <c r="CP53" s="188">
        <f t="shared" ref="CP53" si="376">SUM(CP45:CP52)</f>
        <v>0</v>
      </c>
      <c r="CQ53" s="187">
        <f t="shared" si="351"/>
        <v>0</v>
      </c>
      <c r="CR53" s="188">
        <f t="shared" ref="CR53" si="377">SUM(CR45:CR52)</f>
        <v>0</v>
      </c>
      <c r="CS53" s="187">
        <f t="shared" si="351"/>
        <v>0</v>
      </c>
      <c r="CT53" s="188">
        <f t="shared" ref="CT53" si="378">SUM(CT45:CT52)</f>
        <v>0</v>
      </c>
      <c r="CU53" s="187">
        <f t="shared" si="351"/>
        <v>0</v>
      </c>
      <c r="CV53" s="188">
        <f t="shared" ref="CV53" si="379">SUM(CV45:CV52)</f>
        <v>0</v>
      </c>
      <c r="CW53" s="187">
        <f t="shared" si="351"/>
        <v>0</v>
      </c>
      <c r="CX53" s="188">
        <f t="shared" ref="CX53" si="380">SUM(CX45:CX52)</f>
        <v>0</v>
      </c>
      <c r="CY53" s="187">
        <f t="shared" si="351"/>
        <v>0</v>
      </c>
      <c r="CZ53" s="188"/>
      <c r="DA53" s="187">
        <f t="shared" si="351"/>
        <v>0</v>
      </c>
      <c r="DB53" s="188"/>
      <c r="DC53" s="187">
        <f t="shared" si="351"/>
        <v>0</v>
      </c>
      <c r="DD53" s="188">
        <f t="shared" ref="DD53" si="381">SUM(DD45:DD52)</f>
        <v>0</v>
      </c>
      <c r="DE53" s="187">
        <f t="shared" si="351"/>
        <v>32000</v>
      </c>
      <c r="DF53" s="188">
        <f t="shared" ref="DF53" si="382">SUM(DF45:DF52)</f>
        <v>18840</v>
      </c>
      <c r="DG53" s="187">
        <f t="shared" si="351"/>
        <v>0</v>
      </c>
      <c r="DH53" s="188">
        <f t="shared" ref="DH53" si="383">SUM(DH45:DH52)</f>
        <v>0</v>
      </c>
      <c r="DI53" s="187">
        <f t="shared" si="351"/>
        <v>0</v>
      </c>
      <c r="DJ53" s="188">
        <f t="shared" ref="DJ53" si="384">SUM(DJ45:DJ52)</f>
        <v>0</v>
      </c>
      <c r="DK53" s="187">
        <f t="shared" si="351"/>
        <v>0</v>
      </c>
      <c r="DL53" s="188">
        <f t="shared" ref="DL53" si="385">SUM(DL45:DL52)</f>
        <v>0</v>
      </c>
      <c r="DM53" s="187">
        <f t="shared" si="351"/>
        <v>0</v>
      </c>
      <c r="DN53" s="188">
        <f t="shared" ref="DN53" si="386">SUM(DN45:DN52)</f>
        <v>0</v>
      </c>
      <c r="DO53" s="187">
        <f t="shared" si="351"/>
        <v>0</v>
      </c>
      <c r="DP53" s="188">
        <f t="shared" ref="DP53" si="387">SUM(DP45:DP52)</f>
        <v>0</v>
      </c>
      <c r="DQ53" s="187">
        <f t="shared" si="351"/>
        <v>0</v>
      </c>
      <c r="DR53" s="188"/>
      <c r="DS53" s="187">
        <f t="shared" si="351"/>
        <v>0</v>
      </c>
      <c r="DT53" s="188">
        <f t="shared" ref="DT53" si="388">SUM(DT45:DT52)</f>
        <v>0</v>
      </c>
      <c r="DU53" s="187"/>
      <c r="DV53" s="188"/>
    </row>
    <row r="54" spans="1:126" x14ac:dyDescent="0.2">
      <c r="A54" s="183" t="s">
        <v>901</v>
      </c>
      <c r="B54" s="183" t="s">
        <v>902</v>
      </c>
      <c r="C54" s="184">
        <f t="shared" si="342"/>
        <v>0</v>
      </c>
      <c r="D54" s="185">
        <f t="shared" si="338"/>
        <v>0</v>
      </c>
      <c r="E54" s="184">
        <f t="shared" ref="E54:E65" si="389">K54+M54+O53:O54+Q54+S54+U54+W54+Y54+AA54+AC54+AE54+AI54</f>
        <v>0</v>
      </c>
      <c r="F54" s="185">
        <f t="shared" ref="F54:F65" si="390">L54+N54+P53:P54+R54+T54+V54+X54+Z54+AB54+AD54+AF54+AJ54+AH54</f>
        <v>0</v>
      </c>
      <c r="G54" s="184">
        <f t="shared" ref="G54:H65" si="391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85">
        <f t="shared" si="391"/>
        <v>0</v>
      </c>
      <c r="I54" s="184"/>
      <c r="J54" s="185"/>
      <c r="K54" s="184"/>
      <c r="L54" s="185"/>
      <c r="M54" s="184"/>
      <c r="N54" s="185"/>
      <c r="O54" s="184"/>
      <c r="P54" s="185"/>
      <c r="Q54" s="184"/>
      <c r="R54" s="185"/>
      <c r="S54" s="184"/>
      <c r="T54" s="185"/>
      <c r="U54" s="184"/>
      <c r="V54" s="185"/>
      <c r="W54" s="184"/>
      <c r="X54" s="185"/>
      <c r="Y54" s="184"/>
      <c r="Z54" s="185"/>
      <c r="AA54" s="184"/>
      <c r="AB54" s="185"/>
      <c r="AC54" s="184"/>
      <c r="AD54" s="185"/>
      <c r="AE54" s="184"/>
      <c r="AF54" s="185"/>
      <c r="AG54" s="184"/>
      <c r="AH54" s="185"/>
      <c r="AI54" s="184"/>
      <c r="AJ54" s="185"/>
      <c r="AK54" s="184"/>
      <c r="AL54" s="185"/>
      <c r="AM54" s="184"/>
      <c r="AN54" s="185"/>
      <c r="AO54" s="184"/>
      <c r="AP54" s="185"/>
      <c r="AQ54" s="184"/>
      <c r="AR54" s="185"/>
      <c r="AS54" s="184"/>
      <c r="AT54" s="185"/>
      <c r="AU54" s="184"/>
      <c r="AV54" s="185"/>
      <c r="AW54" s="184"/>
      <c r="AX54" s="185"/>
      <c r="AY54" s="184"/>
      <c r="AZ54" s="185"/>
      <c r="BA54" s="184"/>
      <c r="BB54" s="185"/>
      <c r="BC54" s="184"/>
      <c r="BD54" s="185"/>
      <c r="BE54" s="184"/>
      <c r="BF54" s="185"/>
      <c r="BG54" s="184"/>
      <c r="BH54" s="185"/>
      <c r="BI54" s="184"/>
      <c r="BJ54" s="185"/>
      <c r="BK54" s="184"/>
      <c r="BL54" s="185"/>
      <c r="BM54" s="184"/>
      <c r="BN54" s="185"/>
      <c r="BO54" s="184"/>
      <c r="BP54" s="185"/>
      <c r="BQ54" s="184"/>
      <c r="BR54" s="185"/>
      <c r="BS54" s="184"/>
      <c r="BT54" s="185"/>
      <c r="BU54" s="184"/>
      <c r="BV54" s="185"/>
      <c r="BW54" s="184"/>
      <c r="BX54" s="185"/>
      <c r="BY54" s="184"/>
      <c r="BZ54" s="185"/>
      <c r="CA54" s="184"/>
      <c r="CB54" s="185"/>
      <c r="CC54" s="184"/>
      <c r="CD54" s="185"/>
      <c r="CE54" s="184"/>
      <c r="CF54" s="185"/>
      <c r="CG54" s="184"/>
      <c r="CH54" s="185"/>
      <c r="CI54" s="184"/>
      <c r="CJ54" s="185"/>
      <c r="CK54" s="184"/>
      <c r="CL54" s="185"/>
      <c r="CM54" s="184"/>
      <c r="CN54" s="185"/>
      <c r="CO54" s="184"/>
      <c r="CP54" s="185"/>
      <c r="CQ54" s="184"/>
      <c r="CR54" s="185"/>
      <c r="CS54" s="184"/>
      <c r="CT54" s="185"/>
      <c r="CU54" s="184"/>
      <c r="CV54" s="185"/>
      <c r="CW54" s="184"/>
      <c r="CX54" s="185"/>
      <c r="CY54" s="184"/>
      <c r="CZ54" s="185"/>
      <c r="DA54" s="184"/>
      <c r="DB54" s="185"/>
      <c r="DC54" s="184"/>
      <c r="DD54" s="185"/>
      <c r="DE54" s="184"/>
      <c r="DF54" s="185"/>
      <c r="DG54" s="184"/>
      <c r="DH54" s="185"/>
      <c r="DI54" s="184"/>
      <c r="DJ54" s="185"/>
      <c r="DK54" s="184"/>
      <c r="DL54" s="185"/>
      <c r="DM54" s="184"/>
      <c r="DN54" s="185"/>
      <c r="DO54" s="184"/>
      <c r="DP54" s="185"/>
      <c r="DQ54" s="184"/>
      <c r="DR54" s="185"/>
      <c r="DS54" s="184"/>
      <c r="DT54" s="185"/>
      <c r="DU54" s="184"/>
      <c r="DV54" s="185"/>
    </row>
    <row r="55" spans="1:126" x14ac:dyDescent="0.2">
      <c r="A55" s="183" t="s">
        <v>903</v>
      </c>
      <c r="B55" s="183" t="s">
        <v>904</v>
      </c>
      <c r="C55" s="184">
        <f t="shared" si="342"/>
        <v>22677</v>
      </c>
      <c r="D55" s="185">
        <f t="shared" si="338"/>
        <v>10000</v>
      </c>
      <c r="E55" s="184">
        <f t="shared" si="389"/>
        <v>12677</v>
      </c>
      <c r="F55" s="185">
        <f t="shared" si="390"/>
        <v>10000</v>
      </c>
      <c r="G55" s="184">
        <f t="shared" si="391"/>
        <v>0</v>
      </c>
      <c r="H55" s="185">
        <f t="shared" si="391"/>
        <v>0</v>
      </c>
      <c r="I55" s="184"/>
      <c r="J55" s="185"/>
      <c r="K55" s="184"/>
      <c r="L55" s="185"/>
      <c r="M55" s="184"/>
      <c r="N55" s="185"/>
      <c r="O55" s="184"/>
      <c r="P55" s="185"/>
      <c r="Q55" s="184"/>
      <c r="R55" s="185"/>
      <c r="S55" s="184"/>
      <c r="T55" s="185"/>
      <c r="U55" s="184"/>
      <c r="V55" s="185"/>
      <c r="W55" s="184"/>
      <c r="X55" s="185"/>
      <c r="Y55" s="184"/>
      <c r="Z55" s="185"/>
      <c r="AA55" s="184"/>
      <c r="AB55" s="185"/>
      <c r="AC55" s="184"/>
      <c r="AD55" s="185"/>
      <c r="AE55" s="184">
        <v>12677</v>
      </c>
      <c r="AF55" s="185">
        <v>10000</v>
      </c>
      <c r="AG55" s="184"/>
      <c r="AH55" s="185">
        <v>0</v>
      </c>
      <c r="AI55" s="184"/>
      <c r="AJ55" s="185"/>
      <c r="AK55" s="184"/>
      <c r="AL55" s="185"/>
      <c r="AM55" s="184"/>
      <c r="AN55" s="185"/>
      <c r="AO55" s="184"/>
      <c r="AP55" s="185"/>
      <c r="AQ55" s="184"/>
      <c r="AR55" s="185"/>
      <c r="AS55" s="184"/>
      <c r="AT55" s="185"/>
      <c r="AU55" s="184"/>
      <c r="AV55" s="185"/>
      <c r="AW55" s="184"/>
      <c r="AX55" s="185"/>
      <c r="AY55" s="184"/>
      <c r="AZ55" s="185"/>
      <c r="BA55" s="184"/>
      <c r="BB55" s="185"/>
      <c r="BC55" s="184"/>
      <c r="BD55" s="185"/>
      <c r="BE55" s="184"/>
      <c r="BF55" s="185"/>
      <c r="BG55" s="184"/>
      <c r="BH55" s="185"/>
      <c r="BI55" s="184"/>
      <c r="BJ55" s="185"/>
      <c r="BK55" s="184"/>
      <c r="BL55" s="185"/>
      <c r="BM55" s="184"/>
      <c r="BN55" s="185"/>
      <c r="BO55" s="184"/>
      <c r="BP55" s="185"/>
      <c r="BQ55" s="184"/>
      <c r="BR55" s="185"/>
      <c r="BS55" s="184"/>
      <c r="BT55" s="185"/>
      <c r="BU55" s="184"/>
      <c r="BV55" s="185"/>
      <c r="BW55" s="184"/>
      <c r="BX55" s="185"/>
      <c r="BY55" s="184"/>
      <c r="BZ55" s="185"/>
      <c r="CA55" s="184"/>
      <c r="CB55" s="185"/>
      <c r="CC55" s="184"/>
      <c r="CD55" s="185"/>
      <c r="CE55" s="184"/>
      <c r="CF55" s="185"/>
      <c r="CG55" s="184"/>
      <c r="CH55" s="185"/>
      <c r="CI55" s="184"/>
      <c r="CJ55" s="185"/>
      <c r="CK55" s="184"/>
      <c r="CL55" s="185"/>
      <c r="CM55" s="184"/>
      <c r="CN55" s="185"/>
      <c r="CO55" s="184"/>
      <c r="CP55" s="185"/>
      <c r="CQ55" s="184"/>
      <c r="CR55" s="185"/>
      <c r="CS55" s="184"/>
      <c r="CT55" s="185"/>
      <c r="CU55" s="184"/>
      <c r="CV55" s="185"/>
      <c r="CW55" s="184"/>
      <c r="CX55" s="185"/>
      <c r="CY55" s="184"/>
      <c r="CZ55" s="185"/>
      <c r="DA55" s="184"/>
      <c r="DB55" s="185"/>
      <c r="DC55" s="184"/>
      <c r="DD55" s="185"/>
      <c r="DE55" s="184"/>
      <c r="DF55" s="185"/>
      <c r="DG55" s="184"/>
      <c r="DH55" s="185"/>
      <c r="DI55" s="184"/>
      <c r="DJ55" s="185"/>
      <c r="DK55" s="184"/>
      <c r="DL55" s="185"/>
      <c r="DM55" s="184"/>
      <c r="DN55" s="185"/>
      <c r="DO55" s="184"/>
      <c r="DP55" s="185"/>
      <c r="DQ55" s="184"/>
      <c r="DR55" s="185"/>
      <c r="DS55" s="184"/>
      <c r="DT55" s="185"/>
      <c r="DU55" s="184"/>
      <c r="DV55" s="185"/>
    </row>
    <row r="56" spans="1:126" x14ac:dyDescent="0.2">
      <c r="A56" s="183" t="s">
        <v>905</v>
      </c>
      <c r="B56" s="193" t="s">
        <v>906</v>
      </c>
      <c r="C56" s="184">
        <f t="shared" si="342"/>
        <v>0</v>
      </c>
      <c r="D56" s="185">
        <f t="shared" si="338"/>
        <v>0</v>
      </c>
      <c r="E56" s="184">
        <f t="shared" si="389"/>
        <v>0</v>
      </c>
      <c r="F56" s="185">
        <f t="shared" si="390"/>
        <v>0</v>
      </c>
      <c r="G56" s="184">
        <f t="shared" si="391"/>
        <v>0</v>
      </c>
      <c r="H56" s="185">
        <f t="shared" si="391"/>
        <v>0</v>
      </c>
      <c r="I56" s="184"/>
      <c r="J56" s="185"/>
      <c r="K56" s="184"/>
      <c r="L56" s="185"/>
      <c r="M56" s="184"/>
      <c r="N56" s="185"/>
      <c r="O56" s="184"/>
      <c r="P56" s="185"/>
      <c r="Q56" s="184"/>
      <c r="R56" s="185"/>
      <c r="S56" s="184"/>
      <c r="T56" s="185"/>
      <c r="U56" s="184"/>
      <c r="V56" s="185"/>
      <c r="W56" s="184"/>
      <c r="X56" s="185"/>
      <c r="Y56" s="184"/>
      <c r="Z56" s="185"/>
      <c r="AA56" s="184"/>
      <c r="AB56" s="185"/>
      <c r="AC56" s="184"/>
      <c r="AD56" s="185"/>
      <c r="AE56" s="184"/>
      <c r="AF56" s="185"/>
      <c r="AG56" s="184"/>
      <c r="AH56" s="185"/>
      <c r="AI56" s="184"/>
      <c r="AJ56" s="185"/>
      <c r="AK56" s="184"/>
      <c r="AL56" s="185"/>
      <c r="AM56" s="184"/>
      <c r="AN56" s="185"/>
      <c r="AO56" s="184"/>
      <c r="AP56" s="185"/>
      <c r="AQ56" s="184"/>
      <c r="AR56" s="185"/>
      <c r="AS56" s="184"/>
      <c r="AT56" s="185"/>
      <c r="AU56" s="184"/>
      <c r="AV56" s="185"/>
      <c r="AW56" s="184"/>
      <c r="AX56" s="185"/>
      <c r="AY56" s="184"/>
      <c r="AZ56" s="185"/>
      <c r="BA56" s="184"/>
      <c r="BB56" s="185"/>
      <c r="BC56" s="184"/>
      <c r="BD56" s="185"/>
      <c r="BE56" s="184"/>
      <c r="BF56" s="185"/>
      <c r="BG56" s="184"/>
      <c r="BH56" s="185"/>
      <c r="BI56" s="184"/>
      <c r="BJ56" s="185"/>
      <c r="BK56" s="184"/>
      <c r="BL56" s="185"/>
      <c r="BM56" s="184"/>
      <c r="BN56" s="185"/>
      <c r="BO56" s="184"/>
      <c r="BP56" s="185"/>
      <c r="BQ56" s="184"/>
      <c r="BR56" s="185"/>
      <c r="BS56" s="184"/>
      <c r="BT56" s="185"/>
      <c r="BU56" s="184"/>
      <c r="BV56" s="185"/>
      <c r="BW56" s="184"/>
      <c r="BX56" s="185"/>
      <c r="BY56" s="184"/>
      <c r="BZ56" s="185"/>
      <c r="CA56" s="184"/>
      <c r="CB56" s="185"/>
      <c r="CC56" s="184"/>
      <c r="CD56" s="185"/>
      <c r="CE56" s="184"/>
      <c r="CF56" s="185"/>
      <c r="CG56" s="184"/>
      <c r="CH56" s="185"/>
      <c r="CI56" s="184"/>
      <c r="CJ56" s="185"/>
      <c r="CK56" s="184"/>
      <c r="CL56" s="185"/>
      <c r="CM56" s="184"/>
      <c r="CN56" s="185"/>
      <c r="CO56" s="184"/>
      <c r="CP56" s="185"/>
      <c r="CQ56" s="184"/>
      <c r="CR56" s="185"/>
      <c r="CS56" s="184"/>
      <c r="CT56" s="185"/>
      <c r="CU56" s="184"/>
      <c r="CV56" s="185"/>
      <c r="CW56" s="184"/>
      <c r="CX56" s="185"/>
      <c r="CY56" s="184"/>
      <c r="CZ56" s="185"/>
      <c r="DA56" s="184"/>
      <c r="DB56" s="185"/>
      <c r="DC56" s="184"/>
      <c r="DD56" s="185"/>
      <c r="DE56" s="184"/>
      <c r="DF56" s="185"/>
      <c r="DG56" s="184"/>
      <c r="DH56" s="185"/>
      <c r="DI56" s="184"/>
      <c r="DJ56" s="185"/>
      <c r="DK56" s="184"/>
      <c r="DL56" s="185"/>
      <c r="DM56" s="184"/>
      <c r="DN56" s="185"/>
      <c r="DO56" s="184"/>
      <c r="DP56" s="185"/>
      <c r="DQ56" s="184"/>
      <c r="DR56" s="185"/>
      <c r="DS56" s="184"/>
      <c r="DT56" s="185"/>
      <c r="DU56" s="184"/>
      <c r="DV56" s="185"/>
    </row>
    <row r="57" spans="1:126" x14ac:dyDescent="0.2">
      <c r="A57" s="183" t="s">
        <v>907</v>
      </c>
      <c r="B57" s="193" t="s">
        <v>908</v>
      </c>
      <c r="C57" s="184">
        <f t="shared" si="342"/>
        <v>0</v>
      </c>
      <c r="D57" s="185">
        <f t="shared" si="338"/>
        <v>0</v>
      </c>
      <c r="E57" s="184">
        <f t="shared" si="389"/>
        <v>0</v>
      </c>
      <c r="F57" s="185">
        <f t="shared" si="390"/>
        <v>0</v>
      </c>
      <c r="G57" s="184">
        <f t="shared" si="391"/>
        <v>0</v>
      </c>
      <c r="H57" s="185">
        <f t="shared" si="391"/>
        <v>0</v>
      </c>
      <c r="I57" s="184"/>
      <c r="J57" s="185"/>
      <c r="K57" s="184"/>
      <c r="L57" s="185"/>
      <c r="M57" s="184"/>
      <c r="N57" s="185"/>
      <c r="O57" s="184"/>
      <c r="P57" s="185"/>
      <c r="Q57" s="184"/>
      <c r="R57" s="185"/>
      <c r="S57" s="184"/>
      <c r="T57" s="185"/>
      <c r="U57" s="184"/>
      <c r="V57" s="185"/>
      <c r="W57" s="184"/>
      <c r="X57" s="185"/>
      <c r="Y57" s="184"/>
      <c r="Z57" s="185"/>
      <c r="AA57" s="184"/>
      <c r="AB57" s="185"/>
      <c r="AC57" s="184"/>
      <c r="AD57" s="185"/>
      <c r="AE57" s="184"/>
      <c r="AF57" s="185"/>
      <c r="AG57" s="184"/>
      <c r="AH57" s="185"/>
      <c r="AI57" s="184"/>
      <c r="AJ57" s="185"/>
      <c r="AK57" s="184"/>
      <c r="AL57" s="185"/>
      <c r="AM57" s="184"/>
      <c r="AN57" s="185"/>
      <c r="AO57" s="184"/>
      <c r="AP57" s="185"/>
      <c r="AQ57" s="184"/>
      <c r="AR57" s="185"/>
      <c r="AS57" s="184"/>
      <c r="AT57" s="185"/>
      <c r="AU57" s="184"/>
      <c r="AV57" s="185"/>
      <c r="AW57" s="184"/>
      <c r="AX57" s="185"/>
      <c r="AY57" s="184"/>
      <c r="AZ57" s="185"/>
      <c r="BA57" s="184"/>
      <c r="BB57" s="185"/>
      <c r="BC57" s="184"/>
      <c r="BD57" s="185"/>
      <c r="BE57" s="184"/>
      <c r="BF57" s="185"/>
      <c r="BG57" s="184"/>
      <c r="BH57" s="185"/>
      <c r="BI57" s="184"/>
      <c r="BJ57" s="185"/>
      <c r="BK57" s="184"/>
      <c r="BL57" s="185"/>
      <c r="BM57" s="184"/>
      <c r="BN57" s="185"/>
      <c r="BO57" s="184"/>
      <c r="BP57" s="185"/>
      <c r="BQ57" s="184"/>
      <c r="BR57" s="185"/>
      <c r="BS57" s="184"/>
      <c r="BT57" s="185"/>
      <c r="BU57" s="184"/>
      <c r="BV57" s="185"/>
      <c r="BW57" s="184"/>
      <c r="BX57" s="185"/>
      <c r="BY57" s="184"/>
      <c r="BZ57" s="185"/>
      <c r="CA57" s="184"/>
      <c r="CB57" s="185"/>
      <c r="CC57" s="184"/>
      <c r="CD57" s="185"/>
      <c r="CE57" s="184"/>
      <c r="CF57" s="185"/>
      <c r="CG57" s="184"/>
      <c r="CH57" s="185"/>
      <c r="CI57" s="184"/>
      <c r="CJ57" s="185"/>
      <c r="CK57" s="184"/>
      <c r="CL57" s="185"/>
      <c r="CM57" s="184"/>
      <c r="CN57" s="185"/>
      <c r="CO57" s="184"/>
      <c r="CP57" s="185"/>
      <c r="CQ57" s="184"/>
      <c r="CR57" s="185"/>
      <c r="CS57" s="184"/>
      <c r="CT57" s="185"/>
      <c r="CU57" s="184"/>
      <c r="CV57" s="185"/>
      <c r="CW57" s="184"/>
      <c r="CX57" s="185"/>
      <c r="CY57" s="184"/>
      <c r="CZ57" s="185"/>
      <c r="DA57" s="184"/>
      <c r="DB57" s="185"/>
      <c r="DC57" s="184"/>
      <c r="DD57" s="185"/>
      <c r="DE57" s="184"/>
      <c r="DF57" s="185"/>
      <c r="DG57" s="184"/>
      <c r="DH57" s="185"/>
      <c r="DI57" s="184"/>
      <c r="DJ57" s="185"/>
      <c r="DK57" s="184"/>
      <c r="DL57" s="185"/>
      <c r="DM57" s="184"/>
      <c r="DN57" s="185"/>
      <c r="DO57" s="184"/>
      <c r="DP57" s="185"/>
      <c r="DQ57" s="184"/>
      <c r="DR57" s="185"/>
      <c r="DS57" s="184"/>
      <c r="DT57" s="185"/>
      <c r="DU57" s="184"/>
      <c r="DV57" s="185"/>
    </row>
    <row r="58" spans="1:126" x14ac:dyDescent="0.2">
      <c r="A58" s="183" t="s">
        <v>909</v>
      </c>
      <c r="B58" s="193" t="s">
        <v>910</v>
      </c>
      <c r="C58" s="184">
        <f t="shared" si="342"/>
        <v>0</v>
      </c>
      <c r="D58" s="185">
        <f t="shared" si="338"/>
        <v>0</v>
      </c>
      <c r="E58" s="184">
        <f t="shared" si="389"/>
        <v>0</v>
      </c>
      <c r="F58" s="185">
        <f t="shared" si="390"/>
        <v>0</v>
      </c>
      <c r="G58" s="184">
        <f t="shared" si="391"/>
        <v>0</v>
      </c>
      <c r="H58" s="185">
        <f t="shared" si="391"/>
        <v>0</v>
      </c>
      <c r="I58" s="184"/>
      <c r="J58" s="185"/>
      <c r="K58" s="184"/>
      <c r="L58" s="185"/>
      <c r="M58" s="184"/>
      <c r="N58" s="185"/>
      <c r="O58" s="184"/>
      <c r="P58" s="185"/>
      <c r="Q58" s="184"/>
      <c r="R58" s="185"/>
      <c r="S58" s="184"/>
      <c r="T58" s="185"/>
      <c r="U58" s="184"/>
      <c r="V58" s="185"/>
      <c r="W58" s="184"/>
      <c r="X58" s="185"/>
      <c r="Y58" s="184"/>
      <c r="Z58" s="185"/>
      <c r="AA58" s="184"/>
      <c r="AB58" s="185"/>
      <c r="AC58" s="184"/>
      <c r="AD58" s="185"/>
      <c r="AE58" s="184"/>
      <c r="AF58" s="185"/>
      <c r="AG58" s="184"/>
      <c r="AH58" s="185"/>
      <c r="AI58" s="184"/>
      <c r="AJ58" s="185"/>
      <c r="AK58" s="184"/>
      <c r="AL58" s="185"/>
      <c r="AM58" s="184"/>
      <c r="AN58" s="185"/>
      <c r="AO58" s="184"/>
      <c r="AP58" s="185"/>
      <c r="AQ58" s="184"/>
      <c r="AR58" s="185"/>
      <c r="AS58" s="184"/>
      <c r="AT58" s="185"/>
      <c r="AU58" s="184"/>
      <c r="AV58" s="185"/>
      <c r="AW58" s="184"/>
      <c r="AX58" s="185"/>
      <c r="AY58" s="184"/>
      <c r="AZ58" s="185"/>
      <c r="BA58" s="184"/>
      <c r="BB58" s="185"/>
      <c r="BC58" s="184"/>
      <c r="BD58" s="185"/>
      <c r="BE58" s="184"/>
      <c r="BF58" s="185"/>
      <c r="BG58" s="184"/>
      <c r="BH58" s="185"/>
      <c r="BI58" s="184"/>
      <c r="BJ58" s="185"/>
      <c r="BK58" s="184"/>
      <c r="BL58" s="185"/>
      <c r="BM58" s="184"/>
      <c r="BN58" s="185"/>
      <c r="BO58" s="184"/>
      <c r="BP58" s="185"/>
      <c r="BQ58" s="184"/>
      <c r="BR58" s="185"/>
      <c r="BS58" s="184"/>
      <c r="BT58" s="185"/>
      <c r="BU58" s="184"/>
      <c r="BV58" s="185"/>
      <c r="BW58" s="184"/>
      <c r="BX58" s="185"/>
      <c r="BY58" s="184"/>
      <c r="BZ58" s="185"/>
      <c r="CA58" s="184"/>
      <c r="CB58" s="185"/>
      <c r="CC58" s="184"/>
      <c r="CD58" s="185"/>
      <c r="CE58" s="184"/>
      <c r="CF58" s="185"/>
      <c r="CG58" s="184"/>
      <c r="CH58" s="185"/>
      <c r="CI58" s="184"/>
      <c r="CJ58" s="185"/>
      <c r="CK58" s="184"/>
      <c r="CL58" s="185"/>
      <c r="CM58" s="184"/>
      <c r="CN58" s="185"/>
      <c r="CO58" s="184"/>
      <c r="CP58" s="185"/>
      <c r="CQ58" s="184"/>
      <c r="CR58" s="185"/>
      <c r="CS58" s="184"/>
      <c r="CT58" s="185"/>
      <c r="CU58" s="184"/>
      <c r="CV58" s="185"/>
      <c r="CW58" s="184"/>
      <c r="CX58" s="185"/>
      <c r="CY58" s="184"/>
      <c r="CZ58" s="185"/>
      <c r="DA58" s="184"/>
      <c r="DB58" s="185"/>
      <c r="DC58" s="184"/>
      <c r="DD58" s="185"/>
      <c r="DE58" s="184"/>
      <c r="DF58" s="185"/>
      <c r="DG58" s="184"/>
      <c r="DH58" s="185"/>
      <c r="DI58" s="184"/>
      <c r="DJ58" s="185"/>
      <c r="DK58" s="184"/>
      <c r="DL58" s="185"/>
      <c r="DM58" s="184"/>
      <c r="DN58" s="185"/>
      <c r="DO58" s="184"/>
      <c r="DP58" s="185"/>
      <c r="DQ58" s="184"/>
      <c r="DR58" s="185"/>
      <c r="DS58" s="184"/>
      <c r="DT58" s="185"/>
      <c r="DU58" s="184"/>
      <c r="DV58" s="185"/>
    </row>
    <row r="59" spans="1:126" x14ac:dyDescent="0.2">
      <c r="A59" s="183" t="s">
        <v>911</v>
      </c>
      <c r="B59" s="193" t="s">
        <v>912</v>
      </c>
      <c r="C59" s="184">
        <f>SUM(I59:DU59)</f>
        <v>74810</v>
      </c>
      <c r="D59" s="185">
        <f t="shared" si="338"/>
        <v>35106</v>
      </c>
      <c r="E59" s="184">
        <f t="shared" si="389"/>
        <v>0</v>
      </c>
      <c r="F59" s="185">
        <f t="shared" si="390"/>
        <v>0</v>
      </c>
      <c r="G59" s="184">
        <f t="shared" si="391"/>
        <v>39904</v>
      </c>
      <c r="H59" s="185">
        <f t="shared" si="391"/>
        <v>35106</v>
      </c>
      <c r="I59" s="184"/>
      <c r="J59" s="185"/>
      <c r="K59" s="184"/>
      <c r="L59" s="185"/>
      <c r="M59" s="184"/>
      <c r="N59" s="185"/>
      <c r="O59" s="184"/>
      <c r="P59" s="185"/>
      <c r="Q59" s="184"/>
      <c r="R59" s="185"/>
      <c r="S59" s="184"/>
      <c r="T59" s="185"/>
      <c r="U59" s="184"/>
      <c r="V59" s="185"/>
      <c r="W59" s="184"/>
      <c r="X59" s="185"/>
      <c r="Y59" s="184"/>
      <c r="Z59" s="185"/>
      <c r="AA59" s="184"/>
      <c r="AB59" s="185"/>
      <c r="AC59" s="184"/>
      <c r="AD59" s="185"/>
      <c r="AE59" s="184"/>
      <c r="AF59" s="185"/>
      <c r="AG59" s="184"/>
      <c r="AH59" s="185"/>
      <c r="AI59" s="184"/>
      <c r="AJ59" s="185"/>
      <c r="AK59" s="184"/>
      <c r="AL59" s="185"/>
      <c r="AM59" s="184"/>
      <c r="AN59" s="185"/>
      <c r="AO59" s="184"/>
      <c r="AP59" s="185"/>
      <c r="AQ59" s="184"/>
      <c r="AR59" s="185"/>
      <c r="AS59" s="184">
        <v>1000</v>
      </c>
      <c r="AT59" s="185">
        <v>2000</v>
      </c>
      <c r="AU59" s="184"/>
      <c r="AV59" s="185"/>
      <c r="AW59" s="184"/>
      <c r="AX59" s="185"/>
      <c r="AY59" s="184"/>
      <c r="AZ59" s="185"/>
      <c r="BA59" s="184"/>
      <c r="BB59" s="185"/>
      <c r="BC59" s="184"/>
      <c r="BD59" s="185"/>
      <c r="BE59" s="184"/>
      <c r="BF59" s="185"/>
      <c r="BG59" s="184"/>
      <c r="BH59" s="185"/>
      <c r="BI59" s="184"/>
      <c r="BJ59" s="185"/>
      <c r="BK59" s="184"/>
      <c r="BL59" s="185"/>
      <c r="BM59" s="184"/>
      <c r="BN59" s="185"/>
      <c r="BO59" s="184"/>
      <c r="BP59" s="185"/>
      <c r="BQ59" s="184">
        <v>11818</v>
      </c>
      <c r="BR59" s="185">
        <v>8163</v>
      </c>
      <c r="BS59" s="184">
        <f>2000</f>
        <v>2000</v>
      </c>
      <c r="BT59" s="185">
        <f>2363+260</f>
        <v>2623</v>
      </c>
      <c r="BU59" s="184">
        <f>14120+5000</f>
        <v>19120</v>
      </c>
      <c r="BV59" s="185">
        <f>14120+5000</f>
        <v>19120</v>
      </c>
      <c r="BW59" s="184">
        <v>2000</v>
      </c>
      <c r="BX59" s="185">
        <v>2000</v>
      </c>
      <c r="BY59" s="184">
        <f>2766+1000</f>
        <v>3766</v>
      </c>
      <c r="BZ59" s="185">
        <f>1000</f>
        <v>1000</v>
      </c>
      <c r="CA59" s="184"/>
      <c r="CB59" s="185"/>
      <c r="CC59" s="184"/>
      <c r="CD59" s="185"/>
      <c r="CE59" s="184"/>
      <c r="CF59" s="185"/>
      <c r="CG59" s="184"/>
      <c r="CH59" s="185"/>
      <c r="CI59" s="184"/>
      <c r="CJ59" s="185"/>
      <c r="CK59" s="184"/>
      <c r="CL59" s="185"/>
      <c r="CM59" s="184"/>
      <c r="CN59" s="185"/>
      <c r="CO59" s="184"/>
      <c r="CP59" s="185"/>
      <c r="CQ59" s="184"/>
      <c r="CR59" s="185"/>
      <c r="CS59" s="184"/>
      <c r="CT59" s="185"/>
      <c r="CU59" s="184"/>
      <c r="CV59" s="185"/>
      <c r="CW59" s="184"/>
      <c r="CX59" s="185"/>
      <c r="CY59" s="184"/>
      <c r="CZ59" s="185"/>
      <c r="DA59" s="184"/>
      <c r="DB59" s="185"/>
      <c r="DC59" s="184"/>
      <c r="DD59" s="185"/>
      <c r="DE59" s="184"/>
      <c r="DF59" s="185"/>
      <c r="DG59" s="184"/>
      <c r="DH59" s="185"/>
      <c r="DI59" s="184"/>
      <c r="DJ59" s="185"/>
      <c r="DK59" s="184"/>
      <c r="DL59" s="185"/>
      <c r="DM59" s="184"/>
      <c r="DN59" s="185"/>
      <c r="DO59" s="184"/>
      <c r="DP59" s="185"/>
      <c r="DQ59" s="184"/>
      <c r="DR59" s="185"/>
      <c r="DS59" s="184"/>
      <c r="DT59" s="185"/>
      <c r="DU59" s="184">
        <v>200</v>
      </c>
      <c r="DV59" s="185">
        <v>200</v>
      </c>
    </row>
    <row r="60" spans="1:126" x14ac:dyDescent="0.2">
      <c r="A60" s="183" t="s">
        <v>913</v>
      </c>
      <c r="B60" s="193" t="s">
        <v>914</v>
      </c>
      <c r="C60" s="184">
        <f t="shared" si="342"/>
        <v>0</v>
      </c>
      <c r="D60" s="185">
        <f t="shared" si="338"/>
        <v>0</v>
      </c>
      <c r="E60" s="184">
        <f t="shared" si="389"/>
        <v>0</v>
      </c>
      <c r="F60" s="185">
        <f t="shared" si="390"/>
        <v>0</v>
      </c>
      <c r="G60" s="184">
        <f t="shared" si="391"/>
        <v>0</v>
      </c>
      <c r="H60" s="185">
        <f t="shared" si="391"/>
        <v>0</v>
      </c>
      <c r="I60" s="184"/>
      <c r="J60" s="185"/>
      <c r="K60" s="184"/>
      <c r="L60" s="185"/>
      <c r="M60" s="184"/>
      <c r="N60" s="185"/>
      <c r="O60" s="184"/>
      <c r="P60" s="185"/>
      <c r="Q60" s="184"/>
      <c r="R60" s="185"/>
      <c r="S60" s="184"/>
      <c r="T60" s="185"/>
      <c r="U60" s="184"/>
      <c r="V60" s="185"/>
      <c r="W60" s="184"/>
      <c r="X60" s="185"/>
      <c r="Y60" s="184"/>
      <c r="Z60" s="185"/>
      <c r="AA60" s="184"/>
      <c r="AB60" s="185"/>
      <c r="AC60" s="184"/>
      <c r="AD60" s="185"/>
      <c r="AE60" s="184"/>
      <c r="AF60" s="185"/>
      <c r="AG60" s="184"/>
      <c r="AH60" s="185"/>
      <c r="AI60" s="184"/>
      <c r="AJ60" s="185"/>
      <c r="AK60" s="184"/>
      <c r="AL60" s="185"/>
      <c r="AM60" s="184"/>
      <c r="AN60" s="185"/>
      <c r="AO60" s="184"/>
      <c r="AP60" s="185"/>
      <c r="AQ60" s="184"/>
      <c r="AR60" s="185"/>
      <c r="AS60" s="184"/>
      <c r="AT60" s="185"/>
      <c r="AU60" s="184"/>
      <c r="AV60" s="185"/>
      <c r="AW60" s="184"/>
      <c r="AX60" s="185"/>
      <c r="AY60" s="184"/>
      <c r="AZ60" s="185"/>
      <c r="BA60" s="184"/>
      <c r="BB60" s="185"/>
      <c r="BC60" s="184"/>
      <c r="BD60" s="185"/>
      <c r="BE60" s="184"/>
      <c r="BF60" s="185"/>
      <c r="BG60" s="184"/>
      <c r="BH60" s="185"/>
      <c r="BI60" s="184"/>
      <c r="BJ60" s="185"/>
      <c r="BK60" s="184"/>
      <c r="BL60" s="185"/>
      <c r="BM60" s="184"/>
      <c r="BN60" s="185"/>
      <c r="BO60" s="184"/>
      <c r="BP60" s="185"/>
      <c r="BQ60" s="184"/>
      <c r="BR60" s="185"/>
      <c r="BS60" s="184"/>
      <c r="BT60" s="185"/>
      <c r="BU60" s="184"/>
      <c r="BV60" s="185"/>
      <c r="BW60" s="184"/>
      <c r="BX60" s="185"/>
      <c r="BY60" s="184"/>
      <c r="BZ60" s="185"/>
      <c r="CA60" s="184"/>
      <c r="CB60" s="185"/>
      <c r="CC60" s="184"/>
      <c r="CD60" s="185"/>
      <c r="CE60" s="184"/>
      <c r="CF60" s="185"/>
      <c r="CG60" s="184"/>
      <c r="CH60" s="185"/>
      <c r="CI60" s="184"/>
      <c r="CJ60" s="185"/>
      <c r="CK60" s="184"/>
      <c r="CL60" s="185"/>
      <c r="CM60" s="184"/>
      <c r="CN60" s="185"/>
      <c r="CO60" s="184"/>
      <c r="CP60" s="185"/>
      <c r="CQ60" s="184"/>
      <c r="CR60" s="185"/>
      <c r="CS60" s="184"/>
      <c r="CT60" s="185"/>
      <c r="CU60" s="184"/>
      <c r="CV60" s="185"/>
      <c r="CW60" s="184"/>
      <c r="CX60" s="185"/>
      <c r="CY60" s="184"/>
      <c r="CZ60" s="185"/>
      <c r="DA60" s="184"/>
      <c r="DB60" s="185"/>
      <c r="DC60" s="184"/>
      <c r="DD60" s="185"/>
      <c r="DE60" s="184"/>
      <c r="DF60" s="185"/>
      <c r="DG60" s="184"/>
      <c r="DH60" s="185"/>
      <c r="DI60" s="184"/>
      <c r="DJ60" s="185"/>
      <c r="DK60" s="184"/>
      <c r="DL60" s="185"/>
      <c r="DM60" s="184"/>
      <c r="DN60" s="185"/>
      <c r="DO60" s="184"/>
      <c r="DP60" s="185"/>
      <c r="DQ60" s="184"/>
      <c r="DR60" s="185"/>
      <c r="DS60" s="184"/>
      <c r="DT60" s="185"/>
      <c r="DU60" s="184"/>
      <c r="DV60" s="185"/>
    </row>
    <row r="61" spans="1:126" x14ac:dyDescent="0.2">
      <c r="A61" s="183" t="s">
        <v>915</v>
      </c>
      <c r="B61" s="193" t="s">
        <v>916</v>
      </c>
      <c r="C61" s="184">
        <f t="shared" si="342"/>
        <v>0</v>
      </c>
      <c r="D61" s="185">
        <f t="shared" si="338"/>
        <v>0</v>
      </c>
      <c r="E61" s="184">
        <f t="shared" si="389"/>
        <v>0</v>
      </c>
      <c r="F61" s="185">
        <f t="shared" si="390"/>
        <v>0</v>
      </c>
      <c r="G61" s="184">
        <f t="shared" si="391"/>
        <v>0</v>
      </c>
      <c r="H61" s="185">
        <f t="shared" si="391"/>
        <v>0</v>
      </c>
      <c r="I61" s="184"/>
      <c r="J61" s="18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184"/>
      <c r="Z61" s="185"/>
      <c r="AA61" s="184"/>
      <c r="AB61" s="185"/>
      <c r="AC61" s="184"/>
      <c r="AD61" s="185"/>
      <c r="AE61" s="184"/>
      <c r="AF61" s="185"/>
      <c r="AG61" s="184"/>
      <c r="AH61" s="185"/>
      <c r="AI61" s="184"/>
      <c r="AJ61" s="185"/>
      <c r="AK61" s="184"/>
      <c r="AL61" s="185"/>
      <c r="AM61" s="184"/>
      <c r="AN61" s="185"/>
      <c r="AO61" s="184"/>
      <c r="AP61" s="185"/>
      <c r="AQ61" s="184"/>
      <c r="AR61" s="185"/>
      <c r="AS61" s="184"/>
      <c r="AT61" s="185"/>
      <c r="AU61" s="184"/>
      <c r="AV61" s="185"/>
      <c r="AW61" s="184"/>
      <c r="AX61" s="185"/>
      <c r="AY61" s="184"/>
      <c r="AZ61" s="185"/>
      <c r="BA61" s="184"/>
      <c r="BB61" s="185"/>
      <c r="BC61" s="184"/>
      <c r="BD61" s="185"/>
      <c r="BE61" s="184"/>
      <c r="BF61" s="185"/>
      <c r="BG61" s="184"/>
      <c r="BH61" s="185"/>
      <c r="BI61" s="184"/>
      <c r="BJ61" s="185"/>
      <c r="BK61" s="184"/>
      <c r="BL61" s="185"/>
      <c r="BM61" s="184"/>
      <c r="BN61" s="185"/>
      <c r="BO61" s="184"/>
      <c r="BP61" s="185"/>
      <c r="BQ61" s="184"/>
      <c r="BR61" s="185"/>
      <c r="BS61" s="184"/>
      <c r="BT61" s="185"/>
      <c r="BU61" s="184"/>
      <c r="BV61" s="185"/>
      <c r="BW61" s="184"/>
      <c r="BX61" s="185"/>
      <c r="BY61" s="184"/>
      <c r="BZ61" s="185"/>
      <c r="CA61" s="184"/>
      <c r="CB61" s="185"/>
      <c r="CC61" s="184"/>
      <c r="CD61" s="185"/>
      <c r="CE61" s="184"/>
      <c r="CF61" s="185"/>
      <c r="CG61" s="184"/>
      <c r="CH61" s="185"/>
      <c r="CI61" s="184"/>
      <c r="CJ61" s="185"/>
      <c r="CK61" s="184"/>
      <c r="CL61" s="185"/>
      <c r="CM61" s="184"/>
      <c r="CN61" s="185"/>
      <c r="CO61" s="184"/>
      <c r="CP61" s="185"/>
      <c r="CQ61" s="184"/>
      <c r="CR61" s="185"/>
      <c r="CS61" s="184"/>
      <c r="CT61" s="185"/>
      <c r="CU61" s="184"/>
      <c r="CV61" s="185"/>
      <c r="CW61" s="184"/>
      <c r="CX61" s="185"/>
      <c r="CY61" s="184"/>
      <c r="CZ61" s="185"/>
      <c r="DA61" s="184"/>
      <c r="DB61" s="185"/>
      <c r="DC61" s="184"/>
      <c r="DD61" s="185"/>
      <c r="DE61" s="184"/>
      <c r="DF61" s="185"/>
      <c r="DG61" s="184"/>
      <c r="DH61" s="185"/>
      <c r="DI61" s="184"/>
      <c r="DJ61" s="185"/>
      <c r="DK61" s="184"/>
      <c r="DL61" s="185"/>
      <c r="DM61" s="184"/>
      <c r="DN61" s="185"/>
      <c r="DO61" s="184"/>
      <c r="DP61" s="185"/>
      <c r="DQ61" s="184"/>
      <c r="DR61" s="185"/>
      <c r="DS61" s="184"/>
      <c r="DT61" s="185"/>
      <c r="DU61" s="184"/>
      <c r="DV61" s="185"/>
    </row>
    <row r="62" spans="1:126" x14ac:dyDescent="0.2">
      <c r="A62" s="183" t="s">
        <v>917</v>
      </c>
      <c r="B62" s="183" t="s">
        <v>918</v>
      </c>
      <c r="C62" s="184">
        <f t="shared" si="342"/>
        <v>0</v>
      </c>
      <c r="D62" s="185">
        <f t="shared" si="338"/>
        <v>0</v>
      </c>
      <c r="E62" s="184">
        <f t="shared" si="389"/>
        <v>0</v>
      </c>
      <c r="F62" s="185">
        <f t="shared" si="390"/>
        <v>0</v>
      </c>
      <c r="G62" s="184">
        <f t="shared" si="391"/>
        <v>0</v>
      </c>
      <c r="H62" s="185">
        <f t="shared" si="391"/>
        <v>0</v>
      </c>
      <c r="I62" s="184"/>
      <c r="J62" s="185"/>
      <c r="K62" s="184"/>
      <c r="L62" s="185"/>
      <c r="M62" s="184"/>
      <c r="N62" s="185"/>
      <c r="O62" s="184"/>
      <c r="P62" s="185"/>
      <c r="Q62" s="184"/>
      <c r="R62" s="185"/>
      <c r="S62" s="184"/>
      <c r="T62" s="185"/>
      <c r="U62" s="184"/>
      <c r="V62" s="185"/>
      <c r="W62" s="184"/>
      <c r="X62" s="185"/>
      <c r="Y62" s="184"/>
      <c r="Z62" s="185"/>
      <c r="AA62" s="184"/>
      <c r="AB62" s="185"/>
      <c r="AC62" s="184"/>
      <c r="AD62" s="185"/>
      <c r="AE62" s="184"/>
      <c r="AF62" s="185"/>
      <c r="AG62" s="184"/>
      <c r="AH62" s="185"/>
      <c r="AI62" s="184"/>
      <c r="AJ62" s="185"/>
      <c r="AK62" s="184"/>
      <c r="AL62" s="185"/>
      <c r="AM62" s="184"/>
      <c r="AN62" s="185"/>
      <c r="AO62" s="184"/>
      <c r="AP62" s="185"/>
      <c r="AQ62" s="184"/>
      <c r="AR62" s="185"/>
      <c r="AS62" s="184"/>
      <c r="AT62" s="185"/>
      <c r="AU62" s="184"/>
      <c r="AV62" s="185"/>
      <c r="AW62" s="184"/>
      <c r="AX62" s="185"/>
      <c r="AY62" s="184"/>
      <c r="AZ62" s="185"/>
      <c r="BA62" s="184"/>
      <c r="BB62" s="185"/>
      <c r="BC62" s="184"/>
      <c r="BD62" s="185"/>
      <c r="BE62" s="184"/>
      <c r="BF62" s="185"/>
      <c r="BG62" s="184"/>
      <c r="BH62" s="185"/>
      <c r="BI62" s="184"/>
      <c r="BJ62" s="185"/>
      <c r="BK62" s="184"/>
      <c r="BL62" s="185"/>
      <c r="BM62" s="184"/>
      <c r="BN62" s="185"/>
      <c r="BO62" s="184"/>
      <c r="BP62" s="185"/>
      <c r="BQ62" s="184"/>
      <c r="BR62" s="185"/>
      <c r="BS62" s="184"/>
      <c r="BT62" s="185"/>
      <c r="BU62" s="184"/>
      <c r="BV62" s="185"/>
      <c r="BW62" s="184"/>
      <c r="BX62" s="185"/>
      <c r="BY62" s="184"/>
      <c r="BZ62" s="185"/>
      <c r="CA62" s="184"/>
      <c r="CB62" s="185"/>
      <c r="CC62" s="184"/>
      <c r="CD62" s="185"/>
      <c r="CE62" s="184"/>
      <c r="CF62" s="185"/>
      <c r="CG62" s="184"/>
      <c r="CH62" s="185"/>
      <c r="CI62" s="184"/>
      <c r="CJ62" s="185"/>
      <c r="CK62" s="184"/>
      <c r="CL62" s="185"/>
      <c r="CM62" s="184"/>
      <c r="CN62" s="185"/>
      <c r="CO62" s="184"/>
      <c r="CP62" s="185"/>
      <c r="CQ62" s="184"/>
      <c r="CR62" s="185"/>
      <c r="CS62" s="184"/>
      <c r="CT62" s="185"/>
      <c r="CU62" s="184"/>
      <c r="CV62" s="185"/>
      <c r="CW62" s="184"/>
      <c r="CX62" s="185"/>
      <c r="CY62" s="184"/>
      <c r="CZ62" s="185"/>
      <c r="DA62" s="184"/>
      <c r="DB62" s="185"/>
      <c r="DC62" s="184"/>
      <c r="DD62" s="185"/>
      <c r="DE62" s="184"/>
      <c r="DF62" s="185"/>
      <c r="DG62" s="184"/>
      <c r="DH62" s="185"/>
      <c r="DI62" s="184"/>
      <c r="DJ62" s="185"/>
      <c r="DK62" s="184"/>
      <c r="DL62" s="185"/>
      <c r="DM62" s="184"/>
      <c r="DN62" s="185"/>
      <c r="DO62" s="184"/>
      <c r="DP62" s="185"/>
      <c r="DQ62" s="184"/>
      <c r="DR62" s="185"/>
      <c r="DS62" s="184"/>
      <c r="DT62" s="185"/>
      <c r="DU62" s="184"/>
      <c r="DV62" s="185"/>
    </row>
    <row r="63" spans="1:126" x14ac:dyDescent="0.2">
      <c r="A63" s="183" t="s">
        <v>919</v>
      </c>
      <c r="B63" s="183" t="s">
        <v>920</v>
      </c>
      <c r="C63" s="184">
        <f t="shared" si="342"/>
        <v>0</v>
      </c>
      <c r="D63" s="185">
        <f t="shared" si="338"/>
        <v>0</v>
      </c>
      <c r="E63" s="184">
        <f t="shared" si="389"/>
        <v>0</v>
      </c>
      <c r="F63" s="185">
        <f t="shared" si="390"/>
        <v>0</v>
      </c>
      <c r="G63" s="184">
        <f t="shared" si="391"/>
        <v>0</v>
      </c>
      <c r="H63" s="185">
        <f t="shared" si="391"/>
        <v>0</v>
      </c>
      <c r="I63" s="184"/>
      <c r="J63" s="185"/>
      <c r="K63" s="184"/>
      <c r="L63" s="185"/>
      <c r="M63" s="184"/>
      <c r="N63" s="185"/>
      <c r="O63" s="184"/>
      <c r="P63" s="185"/>
      <c r="Q63" s="184"/>
      <c r="R63" s="185"/>
      <c r="S63" s="184"/>
      <c r="T63" s="185"/>
      <c r="U63" s="184"/>
      <c r="V63" s="185"/>
      <c r="W63" s="184"/>
      <c r="X63" s="185"/>
      <c r="Y63" s="184"/>
      <c r="Z63" s="185"/>
      <c r="AA63" s="184"/>
      <c r="AB63" s="185"/>
      <c r="AC63" s="184"/>
      <c r="AD63" s="185"/>
      <c r="AE63" s="184"/>
      <c r="AF63" s="185"/>
      <c r="AG63" s="184"/>
      <c r="AH63" s="185"/>
      <c r="AI63" s="184"/>
      <c r="AJ63" s="185"/>
      <c r="AK63" s="184"/>
      <c r="AL63" s="185"/>
      <c r="AM63" s="184"/>
      <c r="AN63" s="185"/>
      <c r="AO63" s="184"/>
      <c r="AP63" s="185"/>
      <c r="AQ63" s="184"/>
      <c r="AR63" s="185"/>
      <c r="AS63" s="184"/>
      <c r="AT63" s="185"/>
      <c r="AU63" s="184"/>
      <c r="AV63" s="185"/>
      <c r="AW63" s="184"/>
      <c r="AX63" s="185"/>
      <c r="AY63" s="184"/>
      <c r="AZ63" s="185"/>
      <c r="BA63" s="184"/>
      <c r="BB63" s="185"/>
      <c r="BC63" s="184"/>
      <c r="BD63" s="185"/>
      <c r="BE63" s="184"/>
      <c r="BF63" s="185"/>
      <c r="BG63" s="184"/>
      <c r="BH63" s="185"/>
      <c r="BI63" s="184"/>
      <c r="BJ63" s="185"/>
      <c r="BK63" s="184"/>
      <c r="BL63" s="185"/>
      <c r="BM63" s="184"/>
      <c r="BN63" s="185"/>
      <c r="BO63" s="184"/>
      <c r="BP63" s="185"/>
      <c r="BQ63" s="184"/>
      <c r="BR63" s="185"/>
      <c r="BS63" s="184"/>
      <c r="BT63" s="185"/>
      <c r="BU63" s="184"/>
      <c r="BV63" s="185"/>
      <c r="BW63" s="184"/>
      <c r="BX63" s="185"/>
      <c r="BY63" s="184"/>
      <c r="BZ63" s="185"/>
      <c r="CA63" s="184"/>
      <c r="CB63" s="185"/>
      <c r="CC63" s="184"/>
      <c r="CD63" s="185"/>
      <c r="CE63" s="184"/>
      <c r="CF63" s="185"/>
      <c r="CG63" s="184"/>
      <c r="CH63" s="185"/>
      <c r="CI63" s="184"/>
      <c r="CJ63" s="185"/>
      <c r="CK63" s="184"/>
      <c r="CL63" s="185"/>
      <c r="CM63" s="184"/>
      <c r="CN63" s="185"/>
      <c r="CO63" s="184"/>
      <c r="CP63" s="185"/>
      <c r="CQ63" s="184"/>
      <c r="CR63" s="185"/>
      <c r="CS63" s="184"/>
      <c r="CT63" s="185"/>
      <c r="CU63" s="184"/>
      <c r="CV63" s="185"/>
      <c r="CW63" s="184"/>
      <c r="CX63" s="185"/>
      <c r="CY63" s="184"/>
      <c r="CZ63" s="185"/>
      <c r="DA63" s="184"/>
      <c r="DB63" s="185"/>
      <c r="DC63" s="184"/>
      <c r="DD63" s="185"/>
      <c r="DE63" s="184"/>
      <c r="DF63" s="185"/>
      <c r="DG63" s="184"/>
      <c r="DH63" s="185"/>
      <c r="DI63" s="184"/>
      <c r="DJ63" s="185"/>
      <c r="DK63" s="184"/>
      <c r="DL63" s="185"/>
      <c r="DM63" s="184"/>
      <c r="DN63" s="185"/>
      <c r="DO63" s="184"/>
      <c r="DP63" s="185"/>
      <c r="DQ63" s="184"/>
      <c r="DR63" s="185"/>
      <c r="DS63" s="184"/>
      <c r="DT63" s="185"/>
      <c r="DU63" s="184"/>
      <c r="DV63" s="185"/>
    </row>
    <row r="64" spans="1:126" x14ac:dyDescent="0.2">
      <c r="A64" s="183" t="s">
        <v>921</v>
      </c>
      <c r="B64" s="183" t="s">
        <v>922</v>
      </c>
      <c r="C64" s="184">
        <f t="shared" si="342"/>
        <v>537607</v>
      </c>
      <c r="D64" s="185">
        <f t="shared" si="338"/>
        <v>289756</v>
      </c>
      <c r="E64" s="184">
        <f t="shared" si="389"/>
        <v>0</v>
      </c>
      <c r="F64" s="185">
        <f t="shared" si="390"/>
        <v>0</v>
      </c>
      <c r="G64" s="184">
        <f t="shared" si="391"/>
        <v>247851</v>
      </c>
      <c r="H64" s="185">
        <f t="shared" si="391"/>
        <v>289756</v>
      </c>
      <c r="I64" s="184"/>
      <c r="J64" s="185"/>
      <c r="K64" s="184"/>
      <c r="L64" s="185"/>
      <c r="M64" s="184"/>
      <c r="N64" s="185"/>
      <c r="O64" s="184"/>
      <c r="P64" s="185"/>
      <c r="Q64" s="184"/>
      <c r="R64" s="185"/>
      <c r="S64" s="184"/>
      <c r="T64" s="185"/>
      <c r="U64" s="184"/>
      <c r="V64" s="185"/>
      <c r="W64" s="184"/>
      <c r="X64" s="185"/>
      <c r="Y64" s="184"/>
      <c r="Z64" s="185"/>
      <c r="AA64" s="184"/>
      <c r="AB64" s="185"/>
      <c r="AC64" s="184"/>
      <c r="AD64" s="185"/>
      <c r="AE64" s="184"/>
      <c r="AF64" s="185"/>
      <c r="AG64" s="184"/>
      <c r="AH64" s="185"/>
      <c r="AI64" s="184"/>
      <c r="AJ64" s="185"/>
      <c r="AK64" s="184"/>
      <c r="AL64" s="185"/>
      <c r="AM64" s="184"/>
      <c r="AN64" s="185"/>
      <c r="AO64" s="184"/>
      <c r="AP64" s="185"/>
      <c r="AQ64" s="184"/>
      <c r="AR64" s="185"/>
      <c r="AS64" s="184"/>
      <c r="AT64" s="185"/>
      <c r="AU64" s="184"/>
      <c r="AV64" s="185"/>
      <c r="AW64" s="184"/>
      <c r="AX64" s="185"/>
      <c r="AY64" s="184"/>
      <c r="AZ64" s="185"/>
      <c r="BA64" s="184"/>
      <c r="BB64" s="185"/>
      <c r="BC64" s="184"/>
      <c r="BD64" s="185"/>
      <c r="BE64" s="184"/>
      <c r="BF64" s="185"/>
      <c r="BG64" s="184"/>
      <c r="BH64" s="185"/>
      <c r="BI64" s="184"/>
      <c r="BJ64" s="185"/>
      <c r="BK64" s="184"/>
      <c r="BL64" s="185"/>
      <c r="BM64" s="184"/>
      <c r="BN64" s="185"/>
      <c r="BO64" s="184"/>
      <c r="BP64" s="185"/>
      <c r="BQ64" s="184"/>
      <c r="BR64" s="185"/>
      <c r="BS64" s="184"/>
      <c r="BT64" s="185"/>
      <c r="BU64" s="184"/>
      <c r="BV64" s="185"/>
      <c r="BW64" s="184"/>
      <c r="BX64" s="185"/>
      <c r="BY64" s="184"/>
      <c r="BZ64" s="185"/>
      <c r="CA64" s="184">
        <v>7560</v>
      </c>
      <c r="CB64" s="185">
        <f>6000-1560</f>
        <v>4440</v>
      </c>
      <c r="CC64" s="184">
        <v>5400</v>
      </c>
      <c r="CD64" s="185">
        <v>5400</v>
      </c>
      <c r="CE64" s="184">
        <v>400</v>
      </c>
      <c r="CF64" s="185">
        <v>400</v>
      </c>
      <c r="CG64" s="184"/>
      <c r="CH64" s="185"/>
      <c r="CI64" s="184">
        <v>156331</v>
      </c>
      <c r="CJ64" s="185">
        <f>156331+39084</f>
        <v>195415</v>
      </c>
      <c r="CK64" s="184">
        <v>24888</v>
      </c>
      <c r="CL64" s="185">
        <v>27269</v>
      </c>
      <c r="CM64" s="184">
        <v>3000</v>
      </c>
      <c r="CN64" s="185">
        <v>1500</v>
      </c>
      <c r="CO64" s="184">
        <f>10000-4500+1000</f>
        <v>6500</v>
      </c>
      <c r="CP64" s="185">
        <f>10000-4500+1000</f>
        <v>6500</v>
      </c>
      <c r="CQ64" s="184">
        <v>2572</v>
      </c>
      <c r="CR64" s="185">
        <v>2572</v>
      </c>
      <c r="CS64" s="184"/>
      <c r="CT64" s="185"/>
      <c r="CU64" s="184">
        <f>12000+6000+3000+4500+6000</f>
        <v>31500</v>
      </c>
      <c r="CV64" s="185">
        <f>12000+6000+3000+4500+6000</f>
        <v>31500</v>
      </c>
      <c r="CW64" s="184">
        <v>9500</v>
      </c>
      <c r="CX64" s="185">
        <f>14000+760</f>
        <v>14760</v>
      </c>
      <c r="CY64" s="184"/>
      <c r="CZ64" s="185"/>
      <c r="DA64" s="184"/>
      <c r="DB64" s="185"/>
      <c r="DC64" s="184"/>
      <c r="DD64" s="185"/>
      <c r="DE64" s="184"/>
      <c r="DF64" s="185"/>
      <c r="DG64" s="184">
        <v>200</v>
      </c>
      <c r="DH64" s="185">
        <v>0</v>
      </c>
      <c r="DI64" s="184"/>
      <c r="DJ64" s="185"/>
      <c r="DK64" s="184"/>
      <c r="DL64" s="185"/>
      <c r="DM64" s="184"/>
      <c r="DN64" s="185"/>
      <c r="DO64" s="184"/>
      <c r="DP64" s="185"/>
      <c r="DQ64" s="184"/>
      <c r="DR64" s="185"/>
      <c r="DS64" s="184"/>
      <c r="DT64" s="185"/>
      <c r="DU64" s="184"/>
      <c r="DV64" s="185"/>
    </row>
    <row r="65" spans="1:126" x14ac:dyDescent="0.2">
      <c r="A65" s="183" t="s">
        <v>923</v>
      </c>
      <c r="B65" s="183" t="s">
        <v>924</v>
      </c>
      <c r="C65" s="184" t="e">
        <f t="shared" si="342"/>
        <v>#REF!</v>
      </c>
      <c r="D65" s="185" t="e">
        <f t="shared" si="338"/>
        <v>#REF!</v>
      </c>
      <c r="E65" s="184">
        <f t="shared" si="389"/>
        <v>304858</v>
      </c>
      <c r="F65" s="185" t="e">
        <f t="shared" si="390"/>
        <v>#REF!</v>
      </c>
      <c r="G65" s="184">
        <f t="shared" si="391"/>
        <v>0</v>
      </c>
      <c r="H65" s="185">
        <f t="shared" si="391"/>
        <v>0</v>
      </c>
      <c r="I65" s="184"/>
      <c r="J65" s="185"/>
      <c r="K65" s="184"/>
      <c r="L65" s="185"/>
      <c r="M65" s="184"/>
      <c r="N65" s="185"/>
      <c r="O65" s="184"/>
      <c r="P65" s="185"/>
      <c r="Q65" s="184"/>
      <c r="R65" s="185"/>
      <c r="S65" s="184"/>
      <c r="T65" s="185"/>
      <c r="U65" s="184"/>
      <c r="V65" s="185"/>
      <c r="W65" s="184"/>
      <c r="X65" s="185"/>
      <c r="Y65" s="184"/>
      <c r="Z65" s="185"/>
      <c r="AA65" s="184"/>
      <c r="AB65" s="185"/>
      <c r="AC65" s="184"/>
      <c r="AD65" s="185"/>
      <c r="AE65" s="184">
        <f>'[3]2D Céltartalék'!D24</f>
        <v>304858</v>
      </c>
      <c r="AF65" s="185" t="e">
        <f>'2D Céltartalék'!#REF!</f>
        <v>#REF!</v>
      </c>
      <c r="AG65" s="184"/>
      <c r="AH65" s="185">
        <f>'2D Céltartalék'!D34</f>
        <v>50082</v>
      </c>
      <c r="AI65" s="184"/>
      <c r="AJ65" s="185"/>
      <c r="AK65" s="184"/>
      <c r="AL65" s="185"/>
      <c r="AM65" s="184"/>
      <c r="AN65" s="185"/>
      <c r="AO65" s="184"/>
      <c r="AP65" s="185"/>
      <c r="AQ65" s="184"/>
      <c r="AR65" s="185"/>
      <c r="AS65" s="184"/>
      <c r="AT65" s="185"/>
      <c r="AU65" s="184"/>
      <c r="AV65" s="185"/>
      <c r="AW65" s="184"/>
      <c r="AX65" s="185"/>
      <c r="AY65" s="184"/>
      <c r="AZ65" s="185"/>
      <c r="BA65" s="184"/>
      <c r="BB65" s="185"/>
      <c r="BC65" s="184"/>
      <c r="BD65" s="185"/>
      <c r="BE65" s="184"/>
      <c r="BF65" s="185"/>
      <c r="BG65" s="184"/>
      <c r="BH65" s="185"/>
      <c r="BI65" s="184"/>
      <c r="BJ65" s="185"/>
      <c r="BK65" s="184"/>
      <c r="BL65" s="185"/>
      <c r="BM65" s="184"/>
      <c r="BN65" s="185"/>
      <c r="BO65" s="184"/>
      <c r="BP65" s="185"/>
      <c r="BQ65" s="184"/>
      <c r="BR65" s="185"/>
      <c r="BS65" s="184"/>
      <c r="BT65" s="185"/>
      <c r="BU65" s="184"/>
      <c r="BV65" s="185"/>
      <c r="BW65" s="184"/>
      <c r="BX65" s="185"/>
      <c r="BY65" s="184"/>
      <c r="BZ65" s="185"/>
      <c r="CA65" s="184"/>
      <c r="CB65" s="185"/>
      <c r="CC65" s="184"/>
      <c r="CD65" s="185"/>
      <c r="CE65" s="184"/>
      <c r="CF65" s="185"/>
      <c r="CG65" s="184"/>
      <c r="CH65" s="185"/>
      <c r="CI65" s="184"/>
      <c r="CJ65" s="185"/>
      <c r="CK65" s="184"/>
      <c r="CL65" s="185"/>
      <c r="CM65" s="184"/>
      <c r="CN65" s="185"/>
      <c r="CO65" s="184"/>
      <c r="CP65" s="185"/>
      <c r="CQ65" s="184"/>
      <c r="CR65" s="185"/>
      <c r="CS65" s="184"/>
      <c r="CT65" s="185"/>
      <c r="CU65" s="184"/>
      <c r="CV65" s="185"/>
      <c r="CW65" s="184"/>
      <c r="CX65" s="185"/>
      <c r="CY65" s="184"/>
      <c r="CZ65" s="185"/>
      <c r="DA65" s="184"/>
      <c r="DB65" s="185"/>
      <c r="DC65" s="184"/>
      <c r="DD65" s="185"/>
      <c r="DE65" s="184"/>
      <c r="DF65" s="185"/>
      <c r="DG65" s="184"/>
      <c r="DH65" s="185"/>
      <c r="DI65" s="184"/>
      <c r="DJ65" s="185"/>
      <c r="DK65" s="184"/>
      <c r="DL65" s="185"/>
      <c r="DM65" s="184"/>
      <c r="DN65" s="185"/>
      <c r="DO65" s="184"/>
      <c r="DP65" s="185"/>
      <c r="DQ65" s="184"/>
      <c r="DR65" s="185"/>
      <c r="DS65" s="184"/>
      <c r="DT65" s="185"/>
      <c r="DU65" s="184"/>
      <c r="DV65" s="185"/>
    </row>
    <row r="66" spans="1:126" ht="13.6" x14ac:dyDescent="0.25">
      <c r="A66" s="186" t="s">
        <v>925</v>
      </c>
      <c r="B66" s="186" t="s">
        <v>339</v>
      </c>
      <c r="C66" s="187" t="e">
        <f t="shared" ref="C66:I66" si="392">SUM(C54:C65)</f>
        <v>#REF!</v>
      </c>
      <c r="D66" s="188" t="e">
        <f t="shared" si="392"/>
        <v>#REF!</v>
      </c>
      <c r="E66" s="187">
        <f t="shared" si="392"/>
        <v>317535</v>
      </c>
      <c r="F66" s="188" t="e">
        <f t="shared" si="392"/>
        <v>#REF!</v>
      </c>
      <c r="G66" s="187">
        <f t="shared" si="392"/>
        <v>287755</v>
      </c>
      <c r="H66" s="188">
        <f t="shared" si="392"/>
        <v>324862</v>
      </c>
      <c r="I66" s="187">
        <f t="shared" si="392"/>
        <v>0</v>
      </c>
      <c r="J66" s="188">
        <f t="shared" ref="J66:AO66" si="393">SUM(J54:J65)</f>
        <v>0</v>
      </c>
      <c r="K66" s="187">
        <f t="shared" si="393"/>
        <v>0</v>
      </c>
      <c r="L66" s="188">
        <f t="shared" si="393"/>
        <v>0</v>
      </c>
      <c r="M66" s="187">
        <f t="shared" si="393"/>
        <v>0</v>
      </c>
      <c r="N66" s="188">
        <f t="shared" si="393"/>
        <v>0</v>
      </c>
      <c r="O66" s="187">
        <f t="shared" si="393"/>
        <v>0</v>
      </c>
      <c r="P66" s="188">
        <f t="shared" si="393"/>
        <v>0</v>
      </c>
      <c r="Q66" s="187">
        <f t="shared" si="393"/>
        <v>0</v>
      </c>
      <c r="R66" s="188">
        <f t="shared" si="393"/>
        <v>0</v>
      </c>
      <c r="S66" s="187">
        <f t="shared" si="393"/>
        <v>0</v>
      </c>
      <c r="T66" s="188">
        <f t="shared" ref="T66" si="394">SUM(T54:T65)</f>
        <v>0</v>
      </c>
      <c r="U66" s="187">
        <f t="shared" si="393"/>
        <v>0</v>
      </c>
      <c r="V66" s="188">
        <f t="shared" ref="V66" si="395">SUM(V54:V65)</f>
        <v>0</v>
      </c>
      <c r="W66" s="187">
        <f t="shared" si="393"/>
        <v>0</v>
      </c>
      <c r="X66" s="188">
        <f t="shared" si="393"/>
        <v>0</v>
      </c>
      <c r="Y66" s="187">
        <f t="shared" si="393"/>
        <v>0</v>
      </c>
      <c r="Z66" s="188">
        <f t="shared" si="393"/>
        <v>0</v>
      </c>
      <c r="AA66" s="187">
        <f t="shared" si="393"/>
        <v>0</v>
      </c>
      <c r="AB66" s="188">
        <f t="shared" ref="AB66" si="396">SUM(AB54:AB65)</f>
        <v>0</v>
      </c>
      <c r="AC66" s="187">
        <f t="shared" si="393"/>
        <v>0</v>
      </c>
      <c r="AD66" s="188">
        <f t="shared" ref="AD66" si="397">SUM(AD54:AD65)</f>
        <v>0</v>
      </c>
      <c r="AE66" s="187">
        <f t="shared" si="393"/>
        <v>317535</v>
      </c>
      <c r="AF66" s="188" t="e">
        <f t="shared" ref="AF66:AH66" si="398">SUM(AF54:AF65)</f>
        <v>#REF!</v>
      </c>
      <c r="AG66" s="187"/>
      <c r="AH66" s="188">
        <f t="shared" si="398"/>
        <v>50082</v>
      </c>
      <c r="AI66" s="187">
        <f>SUM(AI54:AI65)</f>
        <v>0</v>
      </c>
      <c r="AJ66" s="188">
        <f>SUM(AJ54:AJ65)</f>
        <v>0</v>
      </c>
      <c r="AK66" s="187">
        <f t="shared" si="393"/>
        <v>0</v>
      </c>
      <c r="AL66" s="188">
        <f t="shared" ref="AL66" si="399">SUM(AL54:AL65)</f>
        <v>0</v>
      </c>
      <c r="AM66" s="187">
        <f t="shared" si="393"/>
        <v>0</v>
      </c>
      <c r="AN66" s="188"/>
      <c r="AO66" s="187">
        <f t="shared" si="393"/>
        <v>0</v>
      </c>
      <c r="AP66" s="188">
        <f t="shared" ref="AP66" si="400">SUM(AP54:AP65)</f>
        <v>0</v>
      </c>
      <c r="AQ66" s="187">
        <f t="shared" ref="AQ66:DU66" si="401">SUM(AQ54:AQ65)</f>
        <v>0</v>
      </c>
      <c r="AR66" s="188">
        <f t="shared" ref="AR66" si="402">SUM(AR54:AR65)</f>
        <v>0</v>
      </c>
      <c r="AS66" s="187">
        <f t="shared" si="401"/>
        <v>1000</v>
      </c>
      <c r="AT66" s="188">
        <f t="shared" ref="AT66" si="403">SUM(AT54:AT65)</f>
        <v>2000</v>
      </c>
      <c r="AU66" s="187">
        <f t="shared" si="401"/>
        <v>0</v>
      </c>
      <c r="AV66" s="188">
        <f t="shared" ref="AV66" si="404">SUM(AV54:AV65)</f>
        <v>0</v>
      </c>
      <c r="AW66" s="187">
        <f t="shared" si="401"/>
        <v>0</v>
      </c>
      <c r="AX66" s="188">
        <f t="shared" ref="AX66" si="405">SUM(AX54:AX65)</f>
        <v>0</v>
      </c>
      <c r="AY66" s="187">
        <f t="shared" si="401"/>
        <v>0</v>
      </c>
      <c r="AZ66" s="188">
        <f t="shared" ref="AZ66" si="406">SUM(AZ54:AZ65)</f>
        <v>0</v>
      </c>
      <c r="BA66" s="187">
        <f t="shared" si="401"/>
        <v>0</v>
      </c>
      <c r="BB66" s="188">
        <f t="shared" ref="BB66" si="407">SUM(BB54:BB65)</f>
        <v>0</v>
      </c>
      <c r="BC66" s="187">
        <f t="shared" si="401"/>
        <v>0</v>
      </c>
      <c r="BD66" s="188">
        <f t="shared" ref="BD66" si="408">SUM(BD54:BD65)</f>
        <v>0</v>
      </c>
      <c r="BE66" s="187">
        <f t="shared" si="401"/>
        <v>0</v>
      </c>
      <c r="BF66" s="188">
        <f t="shared" ref="BF66" si="409">SUM(BF54:BF65)</f>
        <v>0</v>
      </c>
      <c r="BG66" s="187">
        <f t="shared" si="401"/>
        <v>0</v>
      </c>
      <c r="BH66" s="188">
        <f t="shared" ref="BH66" si="410">SUM(BH54:BH65)</f>
        <v>0</v>
      </c>
      <c r="BI66" s="187">
        <f t="shared" si="401"/>
        <v>0</v>
      </c>
      <c r="BJ66" s="188">
        <f t="shared" ref="BJ66" si="411">SUM(BJ54:BJ65)</f>
        <v>0</v>
      </c>
      <c r="BK66" s="187">
        <f t="shared" si="401"/>
        <v>0</v>
      </c>
      <c r="BL66" s="188">
        <f t="shared" ref="BL66" si="412">SUM(BL54:BL65)</f>
        <v>0</v>
      </c>
      <c r="BM66" s="187">
        <f t="shared" si="401"/>
        <v>0</v>
      </c>
      <c r="BN66" s="188">
        <f t="shared" ref="BN66" si="413">SUM(BN54:BN65)</f>
        <v>0</v>
      </c>
      <c r="BO66" s="187">
        <f t="shared" si="401"/>
        <v>0</v>
      </c>
      <c r="BP66" s="188">
        <f t="shared" ref="BP66" si="414">SUM(BP54:BP65)</f>
        <v>0</v>
      </c>
      <c r="BQ66" s="187">
        <f t="shared" si="401"/>
        <v>11818</v>
      </c>
      <c r="BR66" s="188">
        <f t="shared" ref="BR66" si="415">SUM(BR54:BR65)</f>
        <v>8163</v>
      </c>
      <c r="BS66" s="187">
        <f t="shared" si="401"/>
        <v>2000</v>
      </c>
      <c r="BT66" s="188">
        <f t="shared" ref="BT66" si="416">SUM(BT54:BT65)</f>
        <v>2623</v>
      </c>
      <c r="BU66" s="187">
        <f t="shared" si="401"/>
        <v>19120</v>
      </c>
      <c r="BV66" s="188">
        <f t="shared" ref="BV66" si="417">SUM(BV54:BV65)</f>
        <v>19120</v>
      </c>
      <c r="BW66" s="187">
        <f t="shared" si="401"/>
        <v>2000</v>
      </c>
      <c r="BX66" s="188">
        <f t="shared" ref="BX66" si="418">SUM(BX54:BX65)</f>
        <v>2000</v>
      </c>
      <c r="BY66" s="187">
        <f t="shared" si="401"/>
        <v>3766</v>
      </c>
      <c r="BZ66" s="188">
        <f t="shared" ref="BZ66" si="419">SUM(BZ54:BZ65)</f>
        <v>1000</v>
      </c>
      <c r="CA66" s="187">
        <f t="shared" si="401"/>
        <v>7560</v>
      </c>
      <c r="CB66" s="188">
        <f t="shared" ref="CB66" si="420">SUM(CB54:CB65)</f>
        <v>4440</v>
      </c>
      <c r="CC66" s="187">
        <f t="shared" si="401"/>
        <v>5400</v>
      </c>
      <c r="CD66" s="188">
        <f t="shared" ref="CD66" si="421">SUM(CD54:CD65)</f>
        <v>5400</v>
      </c>
      <c r="CE66" s="187">
        <f>SUM(CE54:CE65)</f>
        <v>400</v>
      </c>
      <c r="CF66" s="188">
        <f>SUM(CF54:CF65)</f>
        <v>400</v>
      </c>
      <c r="CG66" s="187">
        <f t="shared" si="401"/>
        <v>0</v>
      </c>
      <c r="CH66" s="188">
        <f t="shared" ref="CH66" si="422">SUM(CH54:CH65)</f>
        <v>0</v>
      </c>
      <c r="CI66" s="187">
        <f t="shared" si="401"/>
        <v>156331</v>
      </c>
      <c r="CJ66" s="188">
        <f t="shared" ref="CJ66" si="423">SUM(CJ54:CJ65)</f>
        <v>195415</v>
      </c>
      <c r="CK66" s="187">
        <f t="shared" si="401"/>
        <v>24888</v>
      </c>
      <c r="CL66" s="188">
        <f t="shared" ref="CL66" si="424">SUM(CL54:CL65)</f>
        <v>27269</v>
      </c>
      <c r="CM66" s="187">
        <f t="shared" si="401"/>
        <v>3000</v>
      </c>
      <c r="CN66" s="188">
        <f t="shared" ref="CN66" si="425">SUM(CN54:CN65)</f>
        <v>1500</v>
      </c>
      <c r="CO66" s="187">
        <f t="shared" si="401"/>
        <v>6500</v>
      </c>
      <c r="CP66" s="188">
        <f t="shared" ref="CP66" si="426">SUM(CP54:CP65)</f>
        <v>6500</v>
      </c>
      <c r="CQ66" s="187">
        <f t="shared" si="401"/>
        <v>2572</v>
      </c>
      <c r="CR66" s="188">
        <f t="shared" ref="CR66" si="427">SUM(CR54:CR65)</f>
        <v>2572</v>
      </c>
      <c r="CS66" s="187">
        <f t="shared" si="401"/>
        <v>0</v>
      </c>
      <c r="CT66" s="188">
        <f t="shared" ref="CT66" si="428">SUM(CT54:CT65)</f>
        <v>0</v>
      </c>
      <c r="CU66" s="187">
        <f t="shared" si="401"/>
        <v>31500</v>
      </c>
      <c r="CV66" s="188">
        <f t="shared" ref="CV66" si="429">SUM(CV54:CV65)</f>
        <v>31500</v>
      </c>
      <c r="CW66" s="187">
        <f t="shared" si="401"/>
        <v>9500</v>
      </c>
      <c r="CX66" s="188">
        <f t="shared" ref="CX66" si="430">SUM(CX54:CX65)</f>
        <v>14760</v>
      </c>
      <c r="CY66" s="187">
        <f t="shared" si="401"/>
        <v>0</v>
      </c>
      <c r="CZ66" s="188"/>
      <c r="DA66" s="187">
        <f t="shared" si="401"/>
        <v>0</v>
      </c>
      <c r="DB66" s="188"/>
      <c r="DC66" s="187">
        <f t="shared" si="401"/>
        <v>0</v>
      </c>
      <c r="DD66" s="188">
        <f t="shared" ref="DD66" si="431">SUM(DD54:DD65)</f>
        <v>0</v>
      </c>
      <c r="DE66" s="187">
        <f t="shared" si="401"/>
        <v>0</v>
      </c>
      <c r="DF66" s="188">
        <f t="shared" ref="DF66" si="432">SUM(DF54:DF65)</f>
        <v>0</v>
      </c>
      <c r="DG66" s="187">
        <f t="shared" si="401"/>
        <v>200</v>
      </c>
      <c r="DH66" s="188">
        <f t="shared" ref="DH66" si="433">SUM(DH54:DH65)</f>
        <v>0</v>
      </c>
      <c r="DI66" s="187">
        <f t="shared" si="401"/>
        <v>0</v>
      </c>
      <c r="DJ66" s="188">
        <f t="shared" ref="DJ66" si="434">SUM(DJ54:DJ65)</f>
        <v>0</v>
      </c>
      <c r="DK66" s="187">
        <f t="shared" si="401"/>
        <v>0</v>
      </c>
      <c r="DL66" s="188">
        <f t="shared" ref="DL66" si="435">SUM(DL54:DL65)</f>
        <v>0</v>
      </c>
      <c r="DM66" s="187">
        <f t="shared" si="401"/>
        <v>0</v>
      </c>
      <c r="DN66" s="188">
        <f t="shared" ref="DN66" si="436">SUM(DN54:DN65)</f>
        <v>0</v>
      </c>
      <c r="DO66" s="187">
        <f t="shared" si="401"/>
        <v>0</v>
      </c>
      <c r="DP66" s="188">
        <f t="shared" ref="DP66" si="437">SUM(DP54:DP65)</f>
        <v>0</v>
      </c>
      <c r="DQ66" s="187">
        <f t="shared" si="401"/>
        <v>0</v>
      </c>
      <c r="DR66" s="188"/>
      <c r="DS66" s="187">
        <f t="shared" si="401"/>
        <v>0</v>
      </c>
      <c r="DT66" s="188">
        <f t="shared" ref="DT66" si="438">SUM(DT54:DT65)</f>
        <v>0</v>
      </c>
      <c r="DU66" s="187">
        <f t="shared" si="401"/>
        <v>200</v>
      </c>
      <c r="DV66" s="188">
        <f t="shared" ref="DV66" si="439">SUM(DV54:DV65)</f>
        <v>200</v>
      </c>
    </row>
    <row r="67" spans="1:126" x14ac:dyDescent="0.2">
      <c r="A67" s="183" t="s">
        <v>195</v>
      </c>
      <c r="B67" s="183" t="s">
        <v>197</v>
      </c>
      <c r="C67" s="184">
        <f t="shared" si="342"/>
        <v>11044</v>
      </c>
      <c r="D67" s="185">
        <f t="shared" si="338"/>
        <v>7874</v>
      </c>
      <c r="E67" s="184">
        <f t="shared" ref="E67:E73" si="440">K67+M67+O66:O67+Q67+S67+U67+W67+Y67+AA67+AC67+AE67+AI67</f>
        <v>3170</v>
      </c>
      <c r="F67" s="185">
        <f t="shared" ref="F67:F72" si="441">L67+N67+P66:P67+R67+T67+V67+X67+Z67+AB67+AD67+AF67+AJ67+AH67</f>
        <v>7874</v>
      </c>
      <c r="G67" s="184">
        <f t="shared" ref="G67:H105" si="442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85">
        <f t="shared" si="442"/>
        <v>0</v>
      </c>
      <c r="I67" s="184"/>
      <c r="J67" s="185"/>
      <c r="K67" s="184">
        <v>2820</v>
      </c>
      <c r="L67" s="185">
        <f>4724+3150</f>
        <v>7874</v>
      </c>
      <c r="M67" s="184"/>
      <c r="N67" s="185"/>
      <c r="O67" s="184"/>
      <c r="P67" s="185"/>
      <c r="Q67" s="184"/>
      <c r="R67" s="185"/>
      <c r="S67" s="184"/>
      <c r="T67" s="185"/>
      <c r="U67" s="184"/>
      <c r="V67" s="185"/>
      <c r="W67" s="184"/>
      <c r="X67" s="185"/>
      <c r="Y67" s="184"/>
      <c r="Z67" s="185"/>
      <c r="AA67" s="184"/>
      <c r="AB67" s="185"/>
      <c r="AC67" s="184"/>
      <c r="AD67" s="185"/>
      <c r="AE67" s="184">
        <f>'[3]7. beruházás'!J18</f>
        <v>350</v>
      </c>
      <c r="AF67" s="185">
        <v>0</v>
      </c>
      <c r="AG67" s="184"/>
      <c r="AH67" s="185">
        <v>0</v>
      </c>
      <c r="AI67" s="184"/>
      <c r="AJ67" s="185"/>
      <c r="AK67" s="184"/>
      <c r="AL67" s="185"/>
      <c r="AM67" s="184"/>
      <c r="AN67" s="185"/>
      <c r="AO67" s="184"/>
      <c r="AP67" s="185"/>
      <c r="AQ67" s="184"/>
      <c r="AR67" s="185"/>
      <c r="AS67" s="184"/>
      <c r="AT67" s="185"/>
      <c r="AU67" s="184"/>
      <c r="AV67" s="185"/>
      <c r="AW67" s="184"/>
      <c r="AX67" s="185"/>
      <c r="AY67" s="184"/>
      <c r="AZ67" s="185"/>
      <c r="BA67" s="184"/>
      <c r="BB67" s="185"/>
      <c r="BC67" s="184"/>
      <c r="BD67" s="185"/>
      <c r="BE67" s="184"/>
      <c r="BF67" s="185"/>
      <c r="BG67" s="184"/>
      <c r="BH67" s="185"/>
      <c r="BI67" s="184"/>
      <c r="BJ67" s="185"/>
      <c r="BK67" s="184"/>
      <c r="BL67" s="185"/>
      <c r="BM67" s="184"/>
      <c r="BN67" s="185"/>
      <c r="BO67" s="184"/>
      <c r="BP67" s="185"/>
      <c r="BQ67" s="184"/>
      <c r="BR67" s="185"/>
      <c r="BS67" s="184"/>
      <c r="BT67" s="185"/>
      <c r="BU67" s="184"/>
      <c r="BV67" s="185"/>
      <c r="BW67" s="184"/>
      <c r="BX67" s="185"/>
      <c r="BY67" s="184"/>
      <c r="BZ67" s="185"/>
      <c r="CA67" s="184"/>
      <c r="CB67" s="185"/>
      <c r="CC67" s="184"/>
      <c r="CD67" s="185"/>
      <c r="CE67" s="184"/>
      <c r="CF67" s="185"/>
      <c r="CG67" s="184"/>
      <c r="CH67" s="185"/>
      <c r="CI67" s="184"/>
      <c r="CJ67" s="185"/>
      <c r="CK67" s="184"/>
      <c r="CL67" s="185"/>
      <c r="CM67" s="184"/>
      <c r="CN67" s="185"/>
      <c r="CO67" s="184"/>
      <c r="CP67" s="185"/>
      <c r="CQ67" s="184"/>
      <c r="CR67" s="185"/>
      <c r="CS67" s="184"/>
      <c r="CT67" s="185"/>
      <c r="CU67" s="184"/>
      <c r="CV67" s="185"/>
      <c r="CW67" s="184"/>
      <c r="CX67" s="185"/>
      <c r="CY67" s="184"/>
      <c r="CZ67" s="185"/>
      <c r="DA67" s="184"/>
      <c r="DB67" s="185"/>
      <c r="DC67" s="184"/>
      <c r="DD67" s="185"/>
      <c r="DE67" s="184"/>
      <c r="DF67" s="185"/>
      <c r="DG67" s="184"/>
      <c r="DH67" s="185"/>
      <c r="DI67" s="184"/>
      <c r="DJ67" s="185"/>
      <c r="DK67" s="184"/>
      <c r="DL67" s="185"/>
      <c r="DM67" s="184"/>
      <c r="DN67" s="185"/>
      <c r="DO67" s="184"/>
      <c r="DP67" s="185"/>
      <c r="DQ67" s="184"/>
      <c r="DR67" s="185"/>
      <c r="DS67" s="184"/>
      <c r="DT67" s="185"/>
      <c r="DU67" s="184"/>
      <c r="DV67" s="185"/>
    </row>
    <row r="68" spans="1:126" x14ac:dyDescent="0.2">
      <c r="A68" s="183" t="s">
        <v>198</v>
      </c>
      <c r="B68" s="183" t="s">
        <v>200</v>
      </c>
      <c r="C68" s="184" t="e">
        <f t="shared" si="342"/>
        <v>#REF!</v>
      </c>
      <c r="D68" s="185" t="e">
        <f>F68+H68+J68</f>
        <v>#REF!</v>
      </c>
      <c r="E68" s="184">
        <f t="shared" si="440"/>
        <v>106320</v>
      </c>
      <c r="F68" s="185">
        <f>L68+N68+P67:P68+R68+T68+V68+X68+Z68+AB68+AD68+AF68+AJ68+AH68</f>
        <v>2995</v>
      </c>
      <c r="G68" s="184">
        <f t="shared" si="442"/>
        <v>199644</v>
      </c>
      <c r="H68" s="185" t="e">
        <f t="shared" si="442"/>
        <v>#REF!</v>
      </c>
      <c r="I68" s="184"/>
      <c r="J68" s="185"/>
      <c r="K68" s="184">
        <v>3937</v>
      </c>
      <c r="L68" s="185"/>
      <c r="M68" s="184"/>
      <c r="N68" s="185">
        <v>1181</v>
      </c>
      <c r="O68" s="184"/>
      <c r="P68" s="185"/>
      <c r="Q68" s="184"/>
      <c r="R68" s="185"/>
      <c r="S68" s="184"/>
      <c r="T68" s="185"/>
      <c r="U68" s="184"/>
      <c r="V68" s="185"/>
      <c r="W68" s="184"/>
      <c r="X68" s="185"/>
      <c r="Y68" s="184"/>
      <c r="Z68" s="185">
        <f>414</f>
        <v>414</v>
      </c>
      <c r="AA68" s="184"/>
      <c r="AB68" s="185">
        <v>1400</v>
      </c>
      <c r="AC68" s="184"/>
      <c r="AD68" s="185"/>
      <c r="AE68" s="184">
        <f>'[3]7. beruházás'!J8+'[3]7. beruházás'!J12+'[3]7. beruházás'!J13+'[3]7. beruházás'!J17+'[3]7. beruházás'!J19+'[3]7. beruházás'!J24+'[3]7. beruházás'!J26</f>
        <v>102383</v>
      </c>
      <c r="AF68" s="185">
        <v>0</v>
      </c>
      <c r="AG68" s="184"/>
      <c r="AH68" s="185">
        <v>0</v>
      </c>
      <c r="AI68" s="184"/>
      <c r="AJ68" s="185"/>
      <c r="AK68" s="184"/>
      <c r="AL68" s="185"/>
      <c r="AM68" s="184"/>
      <c r="AN68" s="185"/>
      <c r="AO68" s="184"/>
      <c r="AP68" s="185"/>
      <c r="AQ68" s="184"/>
      <c r="AR68" s="185"/>
      <c r="AS68" s="184"/>
      <c r="AT68" s="185"/>
      <c r="AU68" s="184"/>
      <c r="AV68" s="185"/>
      <c r="AW68" s="184"/>
      <c r="AX68" s="185"/>
      <c r="AY68" s="184"/>
      <c r="AZ68" s="185"/>
      <c r="BA68" s="184"/>
      <c r="BB68" s="185"/>
      <c r="BC68" s="184"/>
      <c r="BD68" s="185"/>
      <c r="BE68" s="184"/>
      <c r="BF68" s="185"/>
      <c r="BG68" s="184"/>
      <c r="BH68" s="185"/>
      <c r="BI68" s="184"/>
      <c r="BJ68" s="185"/>
      <c r="BK68" s="184"/>
      <c r="BL68" s="185"/>
      <c r="BM68" s="184"/>
      <c r="BN68" s="185"/>
      <c r="BO68" s="184"/>
      <c r="BP68" s="185"/>
      <c r="BQ68" s="184"/>
      <c r="BR68" s="185"/>
      <c r="BS68" s="184"/>
      <c r="BT68" s="185"/>
      <c r="BU68" s="184"/>
      <c r="BV68" s="185"/>
      <c r="BW68" s="184"/>
      <c r="BX68" s="185"/>
      <c r="BY68" s="184"/>
      <c r="BZ68" s="185"/>
      <c r="CA68" s="184"/>
      <c r="CB68" s="185"/>
      <c r="CC68" s="184"/>
      <c r="CD68" s="185"/>
      <c r="CE68" s="184"/>
      <c r="CF68" s="185"/>
      <c r="CG68" s="184"/>
      <c r="CH68" s="185"/>
      <c r="CI68" s="184"/>
      <c r="CJ68" s="185"/>
      <c r="CK68" s="184"/>
      <c r="CL68" s="185"/>
      <c r="CM68" s="184"/>
      <c r="CN68" s="185"/>
      <c r="CO68" s="184"/>
      <c r="CP68" s="185"/>
      <c r="CQ68" s="184"/>
      <c r="CR68" s="185"/>
      <c r="CS68" s="184"/>
      <c r="CT68" s="185"/>
      <c r="CU68" s="184"/>
      <c r="CV68" s="185"/>
      <c r="CW68" s="184"/>
      <c r="CX68" s="185"/>
      <c r="CY68" s="184"/>
      <c r="CZ68" s="185"/>
      <c r="DA68" s="184"/>
      <c r="DB68" s="185"/>
      <c r="DC68" s="184"/>
      <c r="DD68" s="185"/>
      <c r="DE68" s="184"/>
      <c r="DF68" s="185"/>
      <c r="DG68" s="184"/>
      <c r="DH68" s="185"/>
      <c r="DI68" s="184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85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84"/>
      <c r="DL68" s="185"/>
      <c r="DM68" s="184"/>
      <c r="DN68" s="185"/>
      <c r="DO68" s="184"/>
      <c r="DP68" s="185"/>
      <c r="DQ68" s="184"/>
      <c r="DR68" s="185"/>
      <c r="DS68" s="184"/>
      <c r="DT68" s="185"/>
      <c r="DU68" s="184"/>
      <c r="DV68" s="185"/>
    </row>
    <row r="69" spans="1:126" x14ac:dyDescent="0.2">
      <c r="A69" s="183" t="s">
        <v>201</v>
      </c>
      <c r="B69" s="183" t="s">
        <v>203</v>
      </c>
      <c r="C69" s="184">
        <f t="shared" si="342"/>
        <v>3937</v>
      </c>
      <c r="D69" s="185">
        <f t="shared" si="338"/>
        <v>0</v>
      </c>
      <c r="E69" s="184">
        <f t="shared" si="440"/>
        <v>0</v>
      </c>
      <c r="F69" s="185">
        <f t="shared" si="441"/>
        <v>0</v>
      </c>
      <c r="G69" s="184">
        <f t="shared" si="442"/>
        <v>3937</v>
      </c>
      <c r="H69" s="185">
        <f t="shared" si="442"/>
        <v>0</v>
      </c>
      <c r="I69" s="184"/>
      <c r="J69" s="185"/>
      <c r="K69" s="184"/>
      <c r="L69" s="185"/>
      <c r="M69" s="184"/>
      <c r="N69" s="185"/>
      <c r="O69" s="184"/>
      <c r="P69" s="185"/>
      <c r="Q69" s="184"/>
      <c r="R69" s="185"/>
      <c r="S69" s="184"/>
      <c r="T69" s="185"/>
      <c r="U69" s="184"/>
      <c r="V69" s="185"/>
      <c r="W69" s="184"/>
      <c r="X69" s="185"/>
      <c r="Y69" s="184"/>
      <c r="Z69" s="185"/>
      <c r="AA69" s="184"/>
      <c r="AB69" s="185"/>
      <c r="AC69" s="184"/>
      <c r="AD69" s="185"/>
      <c r="AE69" s="184"/>
      <c r="AF69" s="185"/>
      <c r="AG69" s="184"/>
      <c r="AH69" s="185"/>
      <c r="AI69" s="184"/>
      <c r="AJ69" s="185"/>
      <c r="AK69" s="184"/>
      <c r="AL69" s="185"/>
      <c r="AM69" s="184"/>
      <c r="AN69" s="185"/>
      <c r="AO69" s="184"/>
      <c r="AP69" s="185"/>
      <c r="AQ69" s="184"/>
      <c r="AR69" s="185"/>
      <c r="AS69" s="184"/>
      <c r="AT69" s="185"/>
      <c r="AU69" s="184"/>
      <c r="AV69" s="185"/>
      <c r="AW69" s="184"/>
      <c r="AX69" s="185"/>
      <c r="AY69" s="184"/>
      <c r="AZ69" s="185"/>
      <c r="BA69" s="184"/>
      <c r="BB69" s="185"/>
      <c r="BC69" s="184"/>
      <c r="BD69" s="185"/>
      <c r="BE69" s="184"/>
      <c r="BF69" s="185"/>
      <c r="BG69" s="184"/>
      <c r="BH69" s="185"/>
      <c r="BI69" s="184"/>
      <c r="BJ69" s="185"/>
      <c r="BK69" s="184"/>
      <c r="BL69" s="185"/>
      <c r="BM69" s="184"/>
      <c r="BN69" s="185"/>
      <c r="BO69" s="184"/>
      <c r="BP69" s="185"/>
      <c r="BQ69" s="184"/>
      <c r="BR69" s="185"/>
      <c r="BS69" s="184"/>
      <c r="BT69" s="185"/>
      <c r="BU69" s="184"/>
      <c r="BV69" s="185"/>
      <c r="BW69" s="184"/>
      <c r="BX69" s="185"/>
      <c r="BY69" s="184"/>
      <c r="BZ69" s="185"/>
      <c r="CA69" s="184"/>
      <c r="CB69" s="185"/>
      <c r="CC69" s="184"/>
      <c r="CD69" s="185"/>
      <c r="CE69" s="184"/>
      <c r="CF69" s="185"/>
      <c r="CG69" s="184"/>
      <c r="CH69" s="185"/>
      <c r="CI69" s="184"/>
      <c r="CJ69" s="185"/>
      <c r="CK69" s="184"/>
      <c r="CL69" s="185"/>
      <c r="CM69" s="184"/>
      <c r="CN69" s="185"/>
      <c r="CO69" s="184"/>
      <c r="CP69" s="185"/>
      <c r="CQ69" s="184"/>
      <c r="CR69" s="185"/>
      <c r="CS69" s="184"/>
      <c r="CT69" s="185"/>
      <c r="CU69" s="184"/>
      <c r="CV69" s="185"/>
      <c r="CW69" s="184"/>
      <c r="CX69" s="185"/>
      <c r="CY69" s="184"/>
      <c r="CZ69" s="185"/>
      <c r="DA69" s="184"/>
      <c r="DB69" s="185"/>
      <c r="DC69" s="184"/>
      <c r="DD69" s="185"/>
      <c r="DE69" s="184"/>
      <c r="DF69" s="185"/>
      <c r="DG69" s="184"/>
      <c r="DH69" s="185"/>
      <c r="DI69" s="184">
        <f>'[3]7. beruházás'!J28</f>
        <v>3937</v>
      </c>
      <c r="DJ69" s="185"/>
      <c r="DK69" s="184"/>
      <c r="DL69" s="185"/>
      <c r="DM69" s="184"/>
      <c r="DN69" s="185"/>
      <c r="DO69" s="184"/>
      <c r="DP69" s="185"/>
      <c r="DQ69" s="184"/>
      <c r="DR69" s="185"/>
      <c r="DS69" s="184"/>
      <c r="DT69" s="185"/>
      <c r="DU69" s="184"/>
      <c r="DV69" s="185"/>
    </row>
    <row r="70" spans="1:126" x14ac:dyDescent="0.2">
      <c r="A70" s="183" t="s">
        <v>204</v>
      </c>
      <c r="B70" s="183" t="s">
        <v>926</v>
      </c>
      <c r="C70" s="184">
        <f t="shared" si="342"/>
        <v>204456</v>
      </c>
      <c r="D70" s="185">
        <f t="shared" si="338"/>
        <v>200219</v>
      </c>
      <c r="E70" s="184">
        <f t="shared" si="440"/>
        <v>300</v>
      </c>
      <c r="F70" s="185">
        <f t="shared" si="441"/>
        <v>200219</v>
      </c>
      <c r="G70" s="184">
        <f t="shared" si="442"/>
        <v>3937</v>
      </c>
      <c r="H70" s="185">
        <f t="shared" si="442"/>
        <v>0</v>
      </c>
      <c r="I70" s="184"/>
      <c r="J70" s="185"/>
      <c r="K70" s="184"/>
      <c r="L70" s="185"/>
      <c r="M70" s="184"/>
      <c r="N70" s="185"/>
      <c r="O70" s="184"/>
      <c r="P70" s="185"/>
      <c r="Q70" s="184"/>
      <c r="R70" s="185"/>
      <c r="S70" s="184"/>
      <c r="T70" s="185"/>
      <c r="U70" s="184"/>
      <c r="V70" s="185"/>
      <c r="W70" s="184"/>
      <c r="X70" s="185"/>
      <c r="Y70" s="184"/>
      <c r="Z70" s="185">
        <v>3937</v>
      </c>
      <c r="AA70" s="184"/>
      <c r="AB70" s="185"/>
      <c r="AC70" s="184"/>
      <c r="AD70" s="185"/>
      <c r="AE70" s="184">
        <f>'[3]7. beruházás'!J23</f>
        <v>300</v>
      </c>
      <c r="AF70" s="185">
        <f>381+195901</f>
        <v>196282</v>
      </c>
      <c r="AG70" s="184"/>
      <c r="AH70" s="185"/>
      <c r="AI70" s="184"/>
      <c r="AJ70" s="185"/>
      <c r="AK70" s="184"/>
      <c r="AL70" s="185"/>
      <c r="AM70" s="184"/>
      <c r="AN70" s="185"/>
      <c r="AO70" s="184"/>
      <c r="AP70" s="185"/>
      <c r="AQ70" s="184"/>
      <c r="AR70" s="185"/>
      <c r="AS70" s="184"/>
      <c r="AT70" s="185"/>
      <c r="AU70" s="184"/>
      <c r="AV70" s="185"/>
      <c r="AW70" s="184"/>
      <c r="AX70" s="185"/>
      <c r="AY70" s="184"/>
      <c r="AZ70" s="185"/>
      <c r="BA70" s="184"/>
      <c r="BB70" s="185"/>
      <c r="BC70" s="184"/>
      <c r="BD70" s="185"/>
      <c r="BE70" s="184"/>
      <c r="BF70" s="185"/>
      <c r="BG70" s="184"/>
      <c r="BH70" s="185"/>
      <c r="BI70" s="184"/>
      <c r="BJ70" s="185"/>
      <c r="BK70" s="184"/>
      <c r="BL70" s="185"/>
      <c r="BM70" s="184"/>
      <c r="BN70" s="185"/>
      <c r="BO70" s="184"/>
      <c r="BP70" s="185"/>
      <c r="BQ70" s="184"/>
      <c r="BR70" s="185"/>
      <c r="BS70" s="184"/>
      <c r="BT70" s="185"/>
      <c r="BU70" s="184"/>
      <c r="BV70" s="185"/>
      <c r="BW70" s="184"/>
      <c r="BX70" s="185"/>
      <c r="BY70" s="184"/>
      <c r="BZ70" s="185"/>
      <c r="CA70" s="184"/>
      <c r="CB70" s="185"/>
      <c r="CC70" s="184"/>
      <c r="CD70" s="185"/>
      <c r="CE70" s="184"/>
      <c r="CF70" s="185"/>
      <c r="CG70" s="184"/>
      <c r="CH70" s="185"/>
      <c r="CI70" s="184"/>
      <c r="CJ70" s="185"/>
      <c r="CK70" s="184"/>
      <c r="CL70" s="185"/>
      <c r="CM70" s="184"/>
      <c r="CN70" s="185"/>
      <c r="CO70" s="184"/>
      <c r="CP70" s="185"/>
      <c r="CQ70" s="184"/>
      <c r="CR70" s="185"/>
      <c r="CS70" s="184"/>
      <c r="CT70" s="185"/>
      <c r="CU70" s="184"/>
      <c r="CV70" s="185"/>
      <c r="CW70" s="184"/>
      <c r="CX70" s="185"/>
      <c r="CY70" s="184"/>
      <c r="CZ70" s="185"/>
      <c r="DA70" s="184"/>
      <c r="DB70" s="185"/>
      <c r="DC70" s="184"/>
      <c r="DD70" s="185"/>
      <c r="DE70" s="184"/>
      <c r="DF70" s="185"/>
      <c r="DG70" s="184"/>
      <c r="DH70" s="185"/>
      <c r="DI70" s="184">
        <f>'[3]7. beruházás'!J27</f>
        <v>3937</v>
      </c>
      <c r="DJ70" s="185"/>
      <c r="DK70" s="184"/>
      <c r="DL70" s="185"/>
      <c r="DM70" s="184"/>
      <c r="DN70" s="185"/>
      <c r="DO70" s="184"/>
      <c r="DP70" s="185"/>
      <c r="DQ70" s="184"/>
      <c r="DR70" s="185"/>
      <c r="DS70" s="184"/>
      <c r="DT70" s="185"/>
      <c r="DU70" s="184"/>
      <c r="DV70" s="185"/>
    </row>
    <row r="71" spans="1:126" x14ac:dyDescent="0.2">
      <c r="A71" s="183" t="s">
        <v>209</v>
      </c>
      <c r="B71" s="183" t="s">
        <v>211</v>
      </c>
      <c r="C71" s="184">
        <f t="shared" si="342"/>
        <v>0</v>
      </c>
      <c r="D71" s="185">
        <f t="shared" si="338"/>
        <v>0</v>
      </c>
      <c r="E71" s="184">
        <f t="shared" si="440"/>
        <v>0</v>
      </c>
      <c r="F71" s="185">
        <f t="shared" si="441"/>
        <v>0</v>
      </c>
      <c r="G71" s="184">
        <f t="shared" si="442"/>
        <v>0</v>
      </c>
      <c r="H71" s="185">
        <f t="shared" si="442"/>
        <v>0</v>
      </c>
      <c r="I71" s="184"/>
      <c r="J71" s="185"/>
      <c r="K71" s="184"/>
      <c r="L71" s="185"/>
      <c r="M71" s="184"/>
      <c r="N71" s="185"/>
      <c r="O71" s="184"/>
      <c r="P71" s="185"/>
      <c r="Q71" s="184"/>
      <c r="R71" s="185"/>
      <c r="S71" s="184"/>
      <c r="T71" s="185"/>
      <c r="U71" s="184"/>
      <c r="V71" s="185"/>
      <c r="W71" s="184"/>
      <c r="X71" s="185"/>
      <c r="Y71" s="184"/>
      <c r="Z71" s="185"/>
      <c r="AA71" s="184"/>
      <c r="AB71" s="185"/>
      <c r="AC71" s="184"/>
      <c r="AD71" s="185"/>
      <c r="AE71" s="184"/>
      <c r="AF71" s="185"/>
      <c r="AG71" s="184"/>
      <c r="AH71" s="185"/>
      <c r="AI71" s="184"/>
      <c r="AJ71" s="185"/>
      <c r="AK71" s="184"/>
      <c r="AL71" s="185"/>
      <c r="AM71" s="184"/>
      <c r="AN71" s="185"/>
      <c r="AO71" s="184"/>
      <c r="AP71" s="185"/>
      <c r="AQ71" s="184"/>
      <c r="AR71" s="185"/>
      <c r="AS71" s="184"/>
      <c r="AT71" s="185"/>
      <c r="AU71" s="184"/>
      <c r="AV71" s="185"/>
      <c r="AW71" s="184"/>
      <c r="AX71" s="185"/>
      <c r="AY71" s="184"/>
      <c r="AZ71" s="185"/>
      <c r="BA71" s="184"/>
      <c r="BB71" s="185"/>
      <c r="BC71" s="184"/>
      <c r="BD71" s="185"/>
      <c r="BE71" s="184"/>
      <c r="BF71" s="185"/>
      <c r="BG71" s="184"/>
      <c r="BH71" s="185"/>
      <c r="BI71" s="184"/>
      <c r="BJ71" s="185"/>
      <c r="BK71" s="184"/>
      <c r="BL71" s="185"/>
      <c r="BM71" s="184"/>
      <c r="BN71" s="185"/>
      <c r="BO71" s="184"/>
      <c r="BP71" s="185"/>
      <c r="BQ71" s="184"/>
      <c r="BR71" s="185"/>
      <c r="BS71" s="184"/>
      <c r="BT71" s="185"/>
      <c r="BU71" s="184"/>
      <c r="BV71" s="185"/>
      <c r="BW71" s="184"/>
      <c r="BX71" s="185"/>
      <c r="BY71" s="184"/>
      <c r="BZ71" s="185"/>
      <c r="CA71" s="184"/>
      <c r="CB71" s="185"/>
      <c r="CC71" s="184"/>
      <c r="CD71" s="185"/>
      <c r="CE71" s="184"/>
      <c r="CF71" s="185"/>
      <c r="CG71" s="184"/>
      <c r="CH71" s="185"/>
      <c r="CI71" s="184"/>
      <c r="CJ71" s="185"/>
      <c r="CK71" s="184"/>
      <c r="CL71" s="185"/>
      <c r="CM71" s="184"/>
      <c r="CN71" s="185"/>
      <c r="CO71" s="184"/>
      <c r="CP71" s="185"/>
      <c r="CQ71" s="184"/>
      <c r="CR71" s="185"/>
      <c r="CS71" s="184"/>
      <c r="CT71" s="185"/>
      <c r="CU71" s="184"/>
      <c r="CV71" s="185"/>
      <c r="CW71" s="184"/>
      <c r="CX71" s="185"/>
      <c r="CY71" s="184"/>
      <c r="CZ71" s="185"/>
      <c r="DA71" s="184"/>
      <c r="DB71" s="185"/>
      <c r="DC71" s="184"/>
      <c r="DD71" s="185"/>
      <c r="DE71" s="184"/>
      <c r="DF71" s="185"/>
      <c r="DG71" s="184"/>
      <c r="DH71" s="185"/>
      <c r="DI71" s="184"/>
      <c r="DJ71" s="185"/>
      <c r="DK71" s="184"/>
      <c r="DL71" s="185"/>
      <c r="DM71" s="184"/>
      <c r="DN71" s="185"/>
      <c r="DO71" s="184"/>
      <c r="DP71" s="185"/>
      <c r="DQ71" s="184"/>
      <c r="DR71" s="185"/>
      <c r="DS71" s="184"/>
      <c r="DT71" s="185"/>
      <c r="DU71" s="184"/>
      <c r="DV71" s="185"/>
    </row>
    <row r="72" spans="1:126" x14ac:dyDescent="0.2">
      <c r="A72" s="183" t="s">
        <v>212</v>
      </c>
      <c r="B72" s="183" t="s">
        <v>927</v>
      </c>
      <c r="C72" s="184">
        <f t="shared" si="342"/>
        <v>0</v>
      </c>
      <c r="D72" s="185">
        <f t="shared" si="338"/>
        <v>0</v>
      </c>
      <c r="E72" s="184">
        <f t="shared" si="440"/>
        <v>0</v>
      </c>
      <c r="F72" s="185">
        <f t="shared" si="441"/>
        <v>0</v>
      </c>
      <c r="G72" s="184">
        <f t="shared" si="442"/>
        <v>0</v>
      </c>
      <c r="H72" s="185">
        <f t="shared" si="442"/>
        <v>0</v>
      </c>
      <c r="I72" s="184"/>
      <c r="J72" s="185"/>
      <c r="K72" s="184"/>
      <c r="L72" s="185"/>
      <c r="M72" s="184"/>
      <c r="N72" s="185"/>
      <c r="O72" s="184"/>
      <c r="P72" s="185"/>
      <c r="Q72" s="184"/>
      <c r="R72" s="185"/>
      <c r="S72" s="184"/>
      <c r="T72" s="185"/>
      <c r="U72" s="184"/>
      <c r="V72" s="185"/>
      <c r="W72" s="184"/>
      <c r="X72" s="185"/>
      <c r="Y72" s="184"/>
      <c r="Z72" s="185"/>
      <c r="AA72" s="184"/>
      <c r="AB72" s="185"/>
      <c r="AC72" s="184"/>
      <c r="AD72" s="185"/>
      <c r="AE72" s="184"/>
      <c r="AF72" s="185"/>
      <c r="AG72" s="184"/>
      <c r="AH72" s="185"/>
      <c r="AI72" s="184"/>
      <c r="AJ72" s="185"/>
      <c r="AK72" s="184"/>
      <c r="AL72" s="185"/>
      <c r="AM72" s="184"/>
      <c r="AN72" s="185"/>
      <c r="AO72" s="184"/>
      <c r="AP72" s="185"/>
      <c r="AQ72" s="184"/>
      <c r="AR72" s="185"/>
      <c r="AS72" s="184"/>
      <c r="AT72" s="185"/>
      <c r="AU72" s="184"/>
      <c r="AV72" s="185"/>
      <c r="AW72" s="184"/>
      <c r="AX72" s="185"/>
      <c r="AY72" s="184"/>
      <c r="AZ72" s="185"/>
      <c r="BA72" s="184"/>
      <c r="BB72" s="185"/>
      <c r="BC72" s="184"/>
      <c r="BD72" s="185"/>
      <c r="BE72" s="184"/>
      <c r="BF72" s="185"/>
      <c r="BG72" s="184"/>
      <c r="BH72" s="185"/>
      <c r="BI72" s="184"/>
      <c r="BJ72" s="185"/>
      <c r="BK72" s="184"/>
      <c r="BL72" s="185"/>
      <c r="BM72" s="184"/>
      <c r="BN72" s="185"/>
      <c r="BO72" s="184"/>
      <c r="BP72" s="185"/>
      <c r="BQ72" s="184"/>
      <c r="BR72" s="185"/>
      <c r="BS72" s="184"/>
      <c r="BT72" s="185"/>
      <c r="BU72" s="184"/>
      <c r="BV72" s="185"/>
      <c r="BW72" s="184"/>
      <c r="BX72" s="185"/>
      <c r="BY72" s="184"/>
      <c r="BZ72" s="185"/>
      <c r="CA72" s="184"/>
      <c r="CB72" s="185"/>
      <c r="CC72" s="184"/>
      <c r="CD72" s="185"/>
      <c r="CE72" s="184"/>
      <c r="CF72" s="185"/>
      <c r="CG72" s="184"/>
      <c r="CH72" s="185"/>
      <c r="CI72" s="184"/>
      <c r="CJ72" s="185"/>
      <c r="CK72" s="184"/>
      <c r="CL72" s="185"/>
      <c r="CM72" s="184"/>
      <c r="CN72" s="185"/>
      <c r="CO72" s="184"/>
      <c r="CP72" s="185"/>
      <c r="CQ72" s="184"/>
      <c r="CR72" s="185"/>
      <c r="CS72" s="184"/>
      <c r="CT72" s="185"/>
      <c r="CU72" s="184"/>
      <c r="CV72" s="185"/>
      <c r="CW72" s="184"/>
      <c r="CX72" s="185"/>
      <c r="CY72" s="184"/>
      <c r="CZ72" s="185"/>
      <c r="DA72" s="184"/>
      <c r="DB72" s="185"/>
      <c r="DC72" s="184"/>
      <c r="DD72" s="185"/>
      <c r="DE72" s="184"/>
      <c r="DF72" s="185"/>
      <c r="DG72" s="184"/>
      <c r="DH72" s="185"/>
      <c r="DI72" s="184"/>
      <c r="DJ72" s="185"/>
      <c r="DK72" s="184"/>
      <c r="DL72" s="185"/>
      <c r="DM72" s="184"/>
      <c r="DN72" s="185"/>
      <c r="DO72" s="184"/>
      <c r="DP72" s="185"/>
      <c r="DQ72" s="184"/>
      <c r="DR72" s="185"/>
      <c r="DS72" s="184"/>
      <c r="DT72" s="185"/>
      <c r="DU72" s="184"/>
      <c r="DV72" s="185"/>
    </row>
    <row r="73" spans="1:126" x14ac:dyDescent="0.2">
      <c r="A73" s="183" t="s">
        <v>215</v>
      </c>
      <c r="B73" s="183" t="s">
        <v>928</v>
      </c>
      <c r="C73" s="184">
        <f t="shared" si="342"/>
        <v>89670</v>
      </c>
      <c r="D73" s="185">
        <f t="shared" si="338"/>
        <v>3998</v>
      </c>
      <c r="E73" s="184">
        <f t="shared" si="440"/>
        <v>29643</v>
      </c>
      <c r="F73" s="185">
        <f>L73+N73+P72:P73+R73+T73+V73+X73+Z73+AB73+AD73+AF73+AJ73+AH73</f>
        <v>3998</v>
      </c>
      <c r="G73" s="184">
        <f t="shared" si="442"/>
        <v>56029</v>
      </c>
      <c r="H73" s="185">
        <f t="shared" si="442"/>
        <v>0</v>
      </c>
      <c r="I73" s="184"/>
      <c r="J73" s="185"/>
      <c r="K73" s="184">
        <f>ROUND((K67+K68+K69+K70)*0.27,0)</f>
        <v>1824</v>
      </c>
      <c r="L73" s="185">
        <f>ROUND((L67+L68+L69+L70)*0.27,0)</f>
        <v>2126</v>
      </c>
      <c r="M73" s="184"/>
      <c r="N73" s="185">
        <f>ROUND((N67+N68+N69+N70)*0.27,0)</f>
        <v>319</v>
      </c>
      <c r="O73" s="184"/>
      <c r="P73" s="185"/>
      <c r="Q73" s="184"/>
      <c r="R73" s="185"/>
      <c r="S73" s="184"/>
      <c r="T73" s="185"/>
      <c r="U73" s="184"/>
      <c r="V73" s="185">
        <f>ROUND((V67+V68+V69+V70)*0.27,0)</f>
        <v>0</v>
      </c>
      <c r="W73" s="184"/>
      <c r="X73" s="185"/>
      <c r="Y73" s="184"/>
      <c r="Z73" s="185">
        <f>ROUND((Z67+Z68+Z69+Z70)*0.27,0)</f>
        <v>1175</v>
      </c>
      <c r="AA73" s="184"/>
      <c r="AB73" s="185">
        <f>ROUND((AB67+AB68+AB69+AB70)*0.27,0)</f>
        <v>378</v>
      </c>
      <c r="AC73" s="184"/>
      <c r="AD73" s="185"/>
      <c r="AE73" s="184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85"/>
      <c r="AG73" s="184"/>
      <c r="AH73" s="185">
        <f>ROUND((AH67+AH68+AH69+AH70)*0.27,0)</f>
        <v>0</v>
      </c>
      <c r="AI73" s="184"/>
      <c r="AJ73" s="185"/>
      <c r="AK73" s="184"/>
      <c r="AL73" s="185"/>
      <c r="AM73" s="184"/>
      <c r="AN73" s="185"/>
      <c r="AO73" s="184"/>
      <c r="AP73" s="185"/>
      <c r="AQ73" s="184"/>
      <c r="AR73" s="185"/>
      <c r="AS73" s="184"/>
      <c r="AT73" s="185"/>
      <c r="AU73" s="184"/>
      <c r="AV73" s="185"/>
      <c r="AW73" s="184"/>
      <c r="AX73" s="185"/>
      <c r="AY73" s="184"/>
      <c r="AZ73" s="185"/>
      <c r="BA73" s="184"/>
      <c r="BB73" s="185"/>
      <c r="BC73" s="184"/>
      <c r="BD73" s="185"/>
      <c r="BE73" s="184"/>
      <c r="BF73" s="185"/>
      <c r="BG73" s="184"/>
      <c r="BH73" s="185"/>
      <c r="BI73" s="184"/>
      <c r="BJ73" s="185"/>
      <c r="BK73" s="184"/>
      <c r="BL73" s="185"/>
      <c r="BM73" s="184"/>
      <c r="BN73" s="185"/>
      <c r="BO73" s="184"/>
      <c r="BP73" s="185"/>
      <c r="BQ73" s="184"/>
      <c r="BR73" s="185"/>
      <c r="BS73" s="184"/>
      <c r="BT73" s="185"/>
      <c r="BU73" s="184"/>
      <c r="BV73" s="185"/>
      <c r="BW73" s="184"/>
      <c r="BX73" s="185"/>
      <c r="BY73" s="184"/>
      <c r="BZ73" s="185"/>
      <c r="CA73" s="184"/>
      <c r="CB73" s="185"/>
      <c r="CC73" s="184"/>
      <c r="CD73" s="185"/>
      <c r="CE73" s="184"/>
      <c r="CF73" s="185"/>
      <c r="CG73" s="184"/>
      <c r="CH73" s="185"/>
      <c r="CI73" s="184"/>
      <c r="CJ73" s="185"/>
      <c r="CK73" s="184"/>
      <c r="CL73" s="185"/>
      <c r="CM73" s="184"/>
      <c r="CN73" s="185"/>
      <c r="CO73" s="184"/>
      <c r="CP73" s="185"/>
      <c r="CQ73" s="184"/>
      <c r="CR73" s="185"/>
      <c r="CS73" s="184"/>
      <c r="CT73" s="185"/>
      <c r="CU73" s="184"/>
      <c r="CV73" s="185"/>
      <c r="CW73" s="184"/>
      <c r="CX73" s="185"/>
      <c r="CY73" s="184"/>
      <c r="CZ73" s="185"/>
      <c r="DA73" s="184"/>
      <c r="DB73" s="185"/>
      <c r="DC73" s="184"/>
      <c r="DD73" s="185"/>
      <c r="DE73" s="184"/>
      <c r="DF73" s="185"/>
      <c r="DG73" s="184"/>
      <c r="DH73" s="185"/>
      <c r="DI73" s="184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85"/>
      <c r="DK73" s="184"/>
      <c r="DL73" s="185"/>
      <c r="DM73" s="184"/>
      <c r="DN73" s="185"/>
      <c r="DO73" s="184"/>
      <c r="DP73" s="185"/>
      <c r="DQ73" s="184"/>
      <c r="DR73" s="185"/>
      <c r="DS73" s="184"/>
      <c r="DT73" s="185"/>
      <c r="DU73" s="184"/>
      <c r="DV73" s="185"/>
    </row>
    <row r="74" spans="1:126" ht="13.6" x14ac:dyDescent="0.25">
      <c r="A74" s="186" t="s">
        <v>218</v>
      </c>
      <c r="B74" s="186" t="s">
        <v>351</v>
      </c>
      <c r="C74" s="187" t="e">
        <f t="shared" ref="C74:I74" si="443">SUM(C67:C73)</f>
        <v>#REF!</v>
      </c>
      <c r="D74" s="188" t="e">
        <f t="shared" si="443"/>
        <v>#REF!</v>
      </c>
      <c r="E74" s="187">
        <f t="shared" si="443"/>
        <v>139433</v>
      </c>
      <c r="F74" s="188">
        <f t="shared" si="443"/>
        <v>215086</v>
      </c>
      <c r="G74" s="187">
        <f t="shared" si="443"/>
        <v>263547</v>
      </c>
      <c r="H74" s="188" t="e">
        <f t="shared" si="443"/>
        <v>#REF!</v>
      </c>
      <c r="I74" s="187">
        <f t="shared" si="443"/>
        <v>0</v>
      </c>
      <c r="J74" s="188">
        <f t="shared" ref="J74:AO74" si="444">SUM(J67:J73)</f>
        <v>0</v>
      </c>
      <c r="K74" s="187">
        <f t="shared" si="444"/>
        <v>8581</v>
      </c>
      <c r="L74" s="188">
        <f t="shared" si="444"/>
        <v>10000</v>
      </c>
      <c r="M74" s="187">
        <f t="shared" si="444"/>
        <v>0</v>
      </c>
      <c r="N74" s="188">
        <f t="shared" si="444"/>
        <v>1500</v>
      </c>
      <c r="O74" s="187">
        <f t="shared" si="444"/>
        <v>0</v>
      </c>
      <c r="P74" s="188">
        <f t="shared" si="444"/>
        <v>0</v>
      </c>
      <c r="Q74" s="187">
        <f t="shared" si="444"/>
        <v>0</v>
      </c>
      <c r="R74" s="188">
        <f t="shared" si="444"/>
        <v>0</v>
      </c>
      <c r="S74" s="187">
        <f t="shared" si="444"/>
        <v>0</v>
      </c>
      <c r="T74" s="188">
        <f t="shared" ref="T74" si="445">SUM(T67:T73)</f>
        <v>0</v>
      </c>
      <c r="U74" s="187">
        <f t="shared" si="444"/>
        <v>0</v>
      </c>
      <c r="V74" s="188">
        <f t="shared" ref="V74" si="446">SUM(V67:V73)</f>
        <v>0</v>
      </c>
      <c r="W74" s="187">
        <f t="shared" si="444"/>
        <v>0</v>
      </c>
      <c r="X74" s="188">
        <f t="shared" si="444"/>
        <v>0</v>
      </c>
      <c r="Y74" s="187">
        <f t="shared" si="444"/>
        <v>0</v>
      </c>
      <c r="Z74" s="188">
        <f t="shared" si="444"/>
        <v>5526</v>
      </c>
      <c r="AA74" s="187">
        <f t="shared" si="444"/>
        <v>0</v>
      </c>
      <c r="AB74" s="188">
        <f t="shared" ref="AB74" si="447">SUM(AB67:AB73)</f>
        <v>1778</v>
      </c>
      <c r="AC74" s="187">
        <f t="shared" si="444"/>
        <v>0</v>
      </c>
      <c r="AD74" s="188">
        <f t="shared" ref="AD74" si="448">SUM(AD67:AD73)</f>
        <v>0</v>
      </c>
      <c r="AE74" s="187">
        <f t="shared" si="444"/>
        <v>130852</v>
      </c>
      <c r="AF74" s="188">
        <f t="shared" ref="AF74:AH74" si="449">SUM(AF67:AF73)</f>
        <v>196282</v>
      </c>
      <c r="AG74" s="187"/>
      <c r="AH74" s="188">
        <f t="shared" si="449"/>
        <v>0</v>
      </c>
      <c r="AI74" s="187">
        <f>SUM(AI67:AI73)</f>
        <v>0</v>
      </c>
      <c r="AJ74" s="188">
        <f>SUM(AJ67:AJ73)</f>
        <v>0</v>
      </c>
      <c r="AK74" s="187">
        <f t="shared" si="444"/>
        <v>0</v>
      </c>
      <c r="AL74" s="188">
        <f t="shared" ref="AL74" si="450">SUM(AL67:AL73)</f>
        <v>0</v>
      </c>
      <c r="AM74" s="187">
        <f t="shared" si="444"/>
        <v>0</v>
      </c>
      <c r="AN74" s="188"/>
      <c r="AO74" s="187">
        <f t="shared" si="444"/>
        <v>0</v>
      </c>
      <c r="AP74" s="188">
        <f t="shared" ref="AP74" si="451">SUM(AP67:AP73)</f>
        <v>0</v>
      </c>
      <c r="AQ74" s="187">
        <f t="shared" ref="AQ74:DS74" si="452">SUM(AQ67:AQ73)</f>
        <v>0</v>
      </c>
      <c r="AR74" s="188">
        <f t="shared" ref="AR74" si="453">SUM(AR67:AR73)</f>
        <v>0</v>
      </c>
      <c r="AS74" s="187">
        <f t="shared" si="452"/>
        <v>0</v>
      </c>
      <c r="AT74" s="188">
        <f t="shared" ref="AT74" si="454">SUM(AT67:AT73)</f>
        <v>0</v>
      </c>
      <c r="AU74" s="187">
        <f t="shared" si="452"/>
        <v>0</v>
      </c>
      <c r="AV74" s="188">
        <f t="shared" ref="AV74" si="455">SUM(AV67:AV73)</f>
        <v>0</v>
      </c>
      <c r="AW74" s="187">
        <f t="shared" si="452"/>
        <v>0</v>
      </c>
      <c r="AX74" s="188">
        <f t="shared" ref="AX74" si="456">SUM(AX67:AX73)</f>
        <v>0</v>
      </c>
      <c r="AY74" s="187">
        <f t="shared" si="452"/>
        <v>0</v>
      </c>
      <c r="AZ74" s="188">
        <f t="shared" ref="AZ74" si="457">SUM(AZ67:AZ73)</f>
        <v>0</v>
      </c>
      <c r="BA74" s="187">
        <f t="shared" si="452"/>
        <v>0</v>
      </c>
      <c r="BB74" s="188">
        <f t="shared" ref="BB74" si="458">SUM(BB67:BB73)</f>
        <v>0</v>
      </c>
      <c r="BC74" s="187">
        <f t="shared" si="452"/>
        <v>0</v>
      </c>
      <c r="BD74" s="188">
        <f t="shared" ref="BD74" si="459">SUM(BD67:BD73)</f>
        <v>0</v>
      </c>
      <c r="BE74" s="187">
        <f t="shared" si="452"/>
        <v>0</v>
      </c>
      <c r="BF74" s="188">
        <f t="shared" ref="BF74" si="460">SUM(BF67:BF73)</f>
        <v>0</v>
      </c>
      <c r="BG74" s="187">
        <f t="shared" si="452"/>
        <v>0</v>
      </c>
      <c r="BH74" s="188">
        <f t="shared" ref="BH74" si="461">SUM(BH67:BH73)</f>
        <v>0</v>
      </c>
      <c r="BI74" s="187">
        <f t="shared" si="452"/>
        <v>0</v>
      </c>
      <c r="BJ74" s="188">
        <f t="shared" ref="BJ74" si="462">SUM(BJ67:BJ73)</f>
        <v>0</v>
      </c>
      <c r="BK74" s="187">
        <f t="shared" si="452"/>
        <v>0</v>
      </c>
      <c r="BL74" s="188">
        <f t="shared" ref="BL74" si="463">SUM(BL67:BL73)</f>
        <v>0</v>
      </c>
      <c r="BM74" s="187">
        <f t="shared" si="452"/>
        <v>0</v>
      </c>
      <c r="BN74" s="188">
        <f t="shared" ref="BN74" si="464">SUM(BN67:BN73)</f>
        <v>0</v>
      </c>
      <c r="BO74" s="187">
        <f t="shared" si="452"/>
        <v>0</v>
      </c>
      <c r="BP74" s="188">
        <f t="shared" ref="BP74" si="465">SUM(BP67:BP73)</f>
        <v>0</v>
      </c>
      <c r="BQ74" s="187">
        <f t="shared" si="452"/>
        <v>0</v>
      </c>
      <c r="BR74" s="188">
        <f t="shared" ref="BR74" si="466">SUM(BR67:BR73)</f>
        <v>0</v>
      </c>
      <c r="BS74" s="187">
        <f t="shared" si="452"/>
        <v>0</v>
      </c>
      <c r="BT74" s="188">
        <f t="shared" ref="BT74" si="467">SUM(BT67:BT73)</f>
        <v>0</v>
      </c>
      <c r="BU74" s="187">
        <f t="shared" si="452"/>
        <v>0</v>
      </c>
      <c r="BV74" s="188">
        <f t="shared" ref="BV74" si="468">SUM(BV67:BV73)</f>
        <v>0</v>
      </c>
      <c r="BW74" s="187">
        <f t="shared" si="452"/>
        <v>0</v>
      </c>
      <c r="BX74" s="188">
        <f t="shared" ref="BX74" si="469">SUM(BX67:BX73)</f>
        <v>0</v>
      </c>
      <c r="BY74" s="187">
        <f t="shared" si="452"/>
        <v>0</v>
      </c>
      <c r="BZ74" s="188">
        <f t="shared" ref="BZ74" si="470">SUM(BZ67:BZ73)</f>
        <v>0</v>
      </c>
      <c r="CA74" s="187">
        <f t="shared" si="452"/>
        <v>0</v>
      </c>
      <c r="CB74" s="188">
        <f t="shared" ref="CB74" si="471">SUM(CB67:CB73)</f>
        <v>0</v>
      </c>
      <c r="CC74" s="187">
        <f t="shared" si="452"/>
        <v>0</v>
      </c>
      <c r="CD74" s="188">
        <f t="shared" ref="CD74" si="472">SUM(CD67:CD73)</f>
        <v>0</v>
      </c>
      <c r="CE74" s="187">
        <f>SUM(CE67:CE73)</f>
        <v>0</v>
      </c>
      <c r="CF74" s="188">
        <f>SUM(CF67:CF73)</f>
        <v>0</v>
      </c>
      <c r="CG74" s="187">
        <f t="shared" si="452"/>
        <v>0</v>
      </c>
      <c r="CH74" s="188">
        <f t="shared" ref="CH74" si="473">SUM(CH67:CH73)</f>
        <v>0</v>
      </c>
      <c r="CI74" s="187">
        <f t="shared" si="452"/>
        <v>0</v>
      </c>
      <c r="CJ74" s="188">
        <f t="shared" ref="CJ74" si="474">SUM(CJ67:CJ73)</f>
        <v>0</v>
      </c>
      <c r="CK74" s="187">
        <f t="shared" si="452"/>
        <v>0</v>
      </c>
      <c r="CL74" s="188">
        <f t="shared" ref="CL74" si="475">SUM(CL67:CL73)</f>
        <v>0</v>
      </c>
      <c r="CM74" s="187">
        <f t="shared" si="452"/>
        <v>0</v>
      </c>
      <c r="CN74" s="188">
        <f t="shared" ref="CN74" si="476">SUM(CN67:CN73)</f>
        <v>0</v>
      </c>
      <c r="CO74" s="187">
        <f t="shared" si="452"/>
        <v>0</v>
      </c>
      <c r="CP74" s="188">
        <f t="shared" ref="CP74" si="477">SUM(CP67:CP73)</f>
        <v>0</v>
      </c>
      <c r="CQ74" s="187">
        <f t="shared" si="452"/>
        <v>0</v>
      </c>
      <c r="CR74" s="188">
        <f t="shared" ref="CR74" si="478">SUM(CR67:CR73)</f>
        <v>0</v>
      </c>
      <c r="CS74" s="187">
        <f t="shared" si="452"/>
        <v>0</v>
      </c>
      <c r="CT74" s="188">
        <f t="shared" ref="CT74" si="479">SUM(CT67:CT73)</f>
        <v>0</v>
      </c>
      <c r="CU74" s="187">
        <f t="shared" si="452"/>
        <v>0</v>
      </c>
      <c r="CV74" s="188">
        <f t="shared" ref="CV74" si="480">SUM(CV67:CV73)</f>
        <v>0</v>
      </c>
      <c r="CW74" s="187">
        <f t="shared" si="452"/>
        <v>0</v>
      </c>
      <c r="CX74" s="188">
        <f t="shared" ref="CX74" si="481">SUM(CX67:CX73)</f>
        <v>0</v>
      </c>
      <c r="CY74" s="187">
        <f t="shared" si="452"/>
        <v>0</v>
      </c>
      <c r="CZ74" s="188"/>
      <c r="DA74" s="187">
        <f t="shared" si="452"/>
        <v>0</v>
      </c>
      <c r="DB74" s="188"/>
      <c r="DC74" s="187">
        <f t="shared" si="452"/>
        <v>0</v>
      </c>
      <c r="DD74" s="188">
        <f t="shared" ref="DD74" si="482">SUM(DD67:DD73)</f>
        <v>0</v>
      </c>
      <c r="DE74" s="187">
        <f t="shared" si="452"/>
        <v>0</v>
      </c>
      <c r="DF74" s="188">
        <f t="shared" ref="DF74" si="483">SUM(DF67:DF73)</f>
        <v>0</v>
      </c>
      <c r="DG74" s="187">
        <f t="shared" si="452"/>
        <v>0</v>
      </c>
      <c r="DH74" s="188">
        <f t="shared" ref="DH74" si="484">SUM(DH67:DH73)</f>
        <v>0</v>
      </c>
      <c r="DI74" s="187">
        <f t="shared" si="452"/>
        <v>263547</v>
      </c>
      <c r="DJ74" s="188" t="e">
        <f t="shared" ref="DJ74" si="485">SUM(DJ67:DJ73)</f>
        <v>#REF!</v>
      </c>
      <c r="DK74" s="187">
        <f t="shared" si="452"/>
        <v>0</v>
      </c>
      <c r="DL74" s="188">
        <f t="shared" ref="DL74" si="486">SUM(DL67:DL73)</f>
        <v>0</v>
      </c>
      <c r="DM74" s="187">
        <f t="shared" si="452"/>
        <v>0</v>
      </c>
      <c r="DN74" s="188">
        <f t="shared" ref="DN74" si="487">SUM(DN67:DN73)</f>
        <v>0</v>
      </c>
      <c r="DO74" s="187">
        <f t="shared" si="452"/>
        <v>0</v>
      </c>
      <c r="DP74" s="188">
        <f t="shared" ref="DP74" si="488">SUM(DP67:DP73)</f>
        <v>0</v>
      </c>
      <c r="DQ74" s="187">
        <f t="shared" si="452"/>
        <v>0</v>
      </c>
      <c r="DR74" s="188"/>
      <c r="DS74" s="187">
        <f t="shared" si="452"/>
        <v>0</v>
      </c>
      <c r="DT74" s="188">
        <f t="shared" ref="DT74" si="489">SUM(DT67:DT73)</f>
        <v>0</v>
      </c>
      <c r="DU74" s="187"/>
      <c r="DV74" s="188"/>
    </row>
    <row r="75" spans="1:126" x14ac:dyDescent="0.2">
      <c r="A75" s="183" t="s">
        <v>221</v>
      </c>
      <c r="B75" s="183" t="s">
        <v>223</v>
      </c>
      <c r="C75" s="184">
        <f t="shared" si="342"/>
        <v>327097</v>
      </c>
      <c r="D75" s="185">
        <f t="shared" si="338"/>
        <v>213922</v>
      </c>
      <c r="E75" s="184">
        <f>K75+M75+O74:O75+Q75+S75+U75+W75+Y75+AA75+AC75+AE75+AI75</f>
        <v>90308</v>
      </c>
      <c r="F75" s="185">
        <f t="shared" ref="F75:F78" si="490">L75+N75+P74:P75+R75+T75+V75+X75+Z75+AB75+AD75+AF75+AJ75+AH75</f>
        <v>196922</v>
      </c>
      <c r="G75" s="184">
        <f t="shared" si="442"/>
        <v>22867</v>
      </c>
      <c r="H75" s="185">
        <f t="shared" si="442"/>
        <v>17000</v>
      </c>
      <c r="I75" s="184"/>
      <c r="J75" s="185"/>
      <c r="K75" s="184"/>
      <c r="L75" s="185"/>
      <c r="M75" s="184"/>
      <c r="N75" s="185"/>
      <c r="O75" s="184"/>
      <c r="P75" s="185"/>
      <c r="Q75" s="184"/>
      <c r="R75" s="185"/>
      <c r="S75" s="184"/>
      <c r="T75" s="185"/>
      <c r="U75" s="184"/>
      <c r="V75" s="185"/>
      <c r="W75" s="184"/>
      <c r="X75" s="185"/>
      <c r="Y75" s="184"/>
      <c r="Z75" s="185"/>
      <c r="AA75" s="184"/>
      <c r="AB75" s="185"/>
      <c r="AC75" s="184"/>
      <c r="AD75" s="185"/>
      <c r="AE75" s="184">
        <f>'[3]8. felújítás'!J6+'[3]8. felújítás'!J12+'[3]8. felújítás'!J13+'[3]8. felújítás'!J14+'[3]8. felújítás'!J8</f>
        <v>90308</v>
      </c>
      <c r="AF75" s="185">
        <v>196922</v>
      </c>
      <c r="AG75" s="184"/>
      <c r="AH75" s="185">
        <v>0</v>
      </c>
      <c r="AI75" s="184"/>
      <c r="AJ75" s="185"/>
      <c r="AK75" s="184"/>
      <c r="AL75" s="185"/>
      <c r="AM75" s="184"/>
      <c r="AN75" s="185"/>
      <c r="AO75" s="184"/>
      <c r="AP75" s="185"/>
      <c r="AQ75" s="184"/>
      <c r="AR75" s="185"/>
      <c r="AS75" s="184"/>
      <c r="AT75" s="185"/>
      <c r="AU75" s="184"/>
      <c r="AV75" s="185"/>
      <c r="AW75" s="184"/>
      <c r="AX75" s="185"/>
      <c r="AY75" s="184"/>
      <c r="AZ75" s="185"/>
      <c r="BA75" s="184"/>
      <c r="BB75" s="185"/>
      <c r="BC75" s="184"/>
      <c r="BD75" s="185"/>
      <c r="BE75" s="184"/>
      <c r="BF75" s="185"/>
      <c r="BG75" s="184"/>
      <c r="BH75" s="185"/>
      <c r="BI75" s="184"/>
      <c r="BJ75" s="185"/>
      <c r="BK75" s="184"/>
      <c r="BL75" s="185"/>
      <c r="BM75" s="184"/>
      <c r="BN75" s="185"/>
      <c r="BO75" s="184"/>
      <c r="BP75" s="185"/>
      <c r="BQ75" s="184"/>
      <c r="BR75" s="185"/>
      <c r="BS75" s="184"/>
      <c r="BT75" s="185"/>
      <c r="BU75" s="184"/>
      <c r="BV75" s="185"/>
      <c r="BW75" s="184"/>
      <c r="BX75" s="185"/>
      <c r="BY75" s="184"/>
      <c r="BZ75" s="185"/>
      <c r="CA75" s="184"/>
      <c r="CB75" s="185"/>
      <c r="CC75" s="184"/>
      <c r="CD75" s="185"/>
      <c r="CE75" s="184"/>
      <c r="CF75" s="185"/>
      <c r="CG75" s="184"/>
      <c r="CH75" s="185"/>
      <c r="CI75" s="184"/>
      <c r="CJ75" s="185"/>
      <c r="CK75" s="184"/>
      <c r="CL75" s="185"/>
      <c r="CM75" s="184"/>
      <c r="CN75" s="185"/>
      <c r="CO75" s="184"/>
      <c r="CP75" s="185"/>
      <c r="CQ75" s="184"/>
      <c r="CR75" s="185"/>
      <c r="CS75" s="184"/>
      <c r="CT75" s="185"/>
      <c r="CU75" s="184"/>
      <c r="CV75" s="185"/>
      <c r="CW75" s="184"/>
      <c r="CX75" s="185"/>
      <c r="CY75" s="184"/>
      <c r="CZ75" s="185"/>
      <c r="DA75" s="184"/>
      <c r="DB75" s="185"/>
      <c r="DC75" s="184"/>
      <c r="DD75" s="185"/>
      <c r="DE75" s="184"/>
      <c r="DF75" s="185"/>
      <c r="DG75" s="184"/>
      <c r="DH75" s="185"/>
      <c r="DI75" s="184"/>
      <c r="DJ75" s="185"/>
      <c r="DK75" s="184">
        <f>'[3]8. felújítás'!J7+'[3]8. felújítás'!J15+'[3]8. felújítás'!J16+'[3]8. felújítás'!J17</f>
        <v>22867</v>
      </c>
      <c r="DL75" s="185">
        <v>17000</v>
      </c>
      <c r="DM75" s="184"/>
      <c r="DN75" s="185"/>
      <c r="DO75" s="184"/>
      <c r="DP75" s="185"/>
      <c r="DQ75" s="184"/>
      <c r="DR75" s="185"/>
      <c r="DS75" s="184"/>
      <c r="DT75" s="185"/>
      <c r="DU75" s="184"/>
      <c r="DV75" s="185"/>
    </row>
    <row r="76" spans="1:126" x14ac:dyDescent="0.2">
      <c r="A76" s="183" t="s">
        <v>224</v>
      </c>
      <c r="B76" s="183" t="s">
        <v>929</v>
      </c>
      <c r="C76" s="184">
        <f t="shared" si="342"/>
        <v>0</v>
      </c>
      <c r="D76" s="185">
        <f t="shared" si="338"/>
        <v>0</v>
      </c>
      <c r="E76" s="184">
        <f>K76+M76+O75:O76+Q76+S76+U76+W76+Y76+AA76+AC76+AE76+AI76</f>
        <v>0</v>
      </c>
      <c r="F76" s="185">
        <f t="shared" si="490"/>
        <v>0</v>
      </c>
      <c r="G76" s="184">
        <f t="shared" si="442"/>
        <v>0</v>
      </c>
      <c r="H76" s="185">
        <f t="shared" si="442"/>
        <v>0</v>
      </c>
      <c r="I76" s="184"/>
      <c r="J76" s="185"/>
      <c r="K76" s="184"/>
      <c r="L76" s="185"/>
      <c r="M76" s="184"/>
      <c r="N76" s="185"/>
      <c r="O76" s="184"/>
      <c r="P76" s="185"/>
      <c r="Q76" s="184"/>
      <c r="R76" s="185"/>
      <c r="S76" s="184"/>
      <c r="T76" s="185"/>
      <c r="U76" s="184"/>
      <c r="V76" s="185"/>
      <c r="W76" s="184"/>
      <c r="X76" s="185"/>
      <c r="Y76" s="184"/>
      <c r="Z76" s="185"/>
      <c r="AA76" s="184"/>
      <c r="AB76" s="185"/>
      <c r="AC76" s="184"/>
      <c r="AD76" s="185"/>
      <c r="AE76" s="184"/>
      <c r="AF76" s="185"/>
      <c r="AG76" s="184"/>
      <c r="AH76" s="185"/>
      <c r="AI76" s="184"/>
      <c r="AJ76" s="185"/>
      <c r="AK76" s="184"/>
      <c r="AL76" s="185"/>
      <c r="AM76" s="184"/>
      <c r="AN76" s="185"/>
      <c r="AO76" s="184"/>
      <c r="AP76" s="185"/>
      <c r="AQ76" s="184"/>
      <c r="AR76" s="185"/>
      <c r="AS76" s="184"/>
      <c r="AT76" s="185"/>
      <c r="AU76" s="184"/>
      <c r="AV76" s="185"/>
      <c r="AW76" s="184"/>
      <c r="AX76" s="185"/>
      <c r="AY76" s="184"/>
      <c r="AZ76" s="185"/>
      <c r="BA76" s="184"/>
      <c r="BB76" s="185"/>
      <c r="BC76" s="184"/>
      <c r="BD76" s="185"/>
      <c r="BE76" s="184"/>
      <c r="BF76" s="185"/>
      <c r="BG76" s="184"/>
      <c r="BH76" s="185"/>
      <c r="BI76" s="184"/>
      <c r="BJ76" s="185"/>
      <c r="BK76" s="184"/>
      <c r="BL76" s="185"/>
      <c r="BM76" s="184"/>
      <c r="BN76" s="185"/>
      <c r="BO76" s="184"/>
      <c r="BP76" s="185"/>
      <c r="BQ76" s="184"/>
      <c r="BR76" s="185"/>
      <c r="BS76" s="184"/>
      <c r="BT76" s="185"/>
      <c r="BU76" s="184"/>
      <c r="BV76" s="185"/>
      <c r="BW76" s="184"/>
      <c r="BX76" s="185"/>
      <c r="BY76" s="184"/>
      <c r="BZ76" s="185"/>
      <c r="CA76" s="184"/>
      <c r="CB76" s="185"/>
      <c r="CC76" s="184"/>
      <c r="CD76" s="185"/>
      <c r="CE76" s="184"/>
      <c r="CF76" s="185"/>
      <c r="CG76" s="184"/>
      <c r="CH76" s="185"/>
      <c r="CI76" s="184"/>
      <c r="CJ76" s="185"/>
      <c r="CK76" s="184"/>
      <c r="CL76" s="185"/>
      <c r="CM76" s="184"/>
      <c r="CN76" s="185"/>
      <c r="CO76" s="184"/>
      <c r="CP76" s="185"/>
      <c r="CQ76" s="184"/>
      <c r="CR76" s="185"/>
      <c r="CS76" s="184"/>
      <c r="CT76" s="185"/>
      <c r="CU76" s="184"/>
      <c r="CV76" s="185"/>
      <c r="CW76" s="184"/>
      <c r="CX76" s="185"/>
      <c r="CY76" s="184"/>
      <c r="CZ76" s="185"/>
      <c r="DA76" s="184"/>
      <c r="DB76" s="185"/>
      <c r="DC76" s="184"/>
      <c r="DD76" s="185"/>
      <c r="DE76" s="184"/>
      <c r="DF76" s="185"/>
      <c r="DG76" s="184"/>
      <c r="DH76" s="185"/>
      <c r="DI76" s="184"/>
      <c r="DJ76" s="185"/>
      <c r="DK76" s="184"/>
      <c r="DL76" s="185"/>
      <c r="DM76" s="184"/>
      <c r="DN76" s="185"/>
      <c r="DO76" s="184"/>
      <c r="DP76" s="185"/>
      <c r="DQ76" s="184"/>
      <c r="DR76" s="185"/>
      <c r="DS76" s="184"/>
      <c r="DT76" s="185"/>
      <c r="DU76" s="184"/>
      <c r="DV76" s="185"/>
    </row>
    <row r="77" spans="1:126" x14ac:dyDescent="0.2">
      <c r="A77" s="183" t="s">
        <v>227</v>
      </c>
      <c r="B77" s="183" t="s">
        <v>930</v>
      </c>
      <c r="C77" s="184">
        <f t="shared" si="342"/>
        <v>0</v>
      </c>
      <c r="D77" s="185">
        <f t="shared" si="338"/>
        <v>0</v>
      </c>
      <c r="E77" s="184">
        <f>K77+M77+O76:O77+Q77+S77+U77+W77+Y77+AA77+AC77+AE77+AI77</f>
        <v>0</v>
      </c>
      <c r="F77" s="185">
        <f t="shared" si="490"/>
        <v>0</v>
      </c>
      <c r="G77" s="184">
        <f t="shared" si="442"/>
        <v>0</v>
      </c>
      <c r="H77" s="185">
        <f t="shared" si="442"/>
        <v>0</v>
      </c>
      <c r="I77" s="184"/>
      <c r="J77" s="185"/>
      <c r="K77" s="184"/>
      <c r="L77" s="185"/>
      <c r="M77" s="184"/>
      <c r="N77" s="185"/>
      <c r="O77" s="184"/>
      <c r="P77" s="185"/>
      <c r="Q77" s="184"/>
      <c r="R77" s="185"/>
      <c r="S77" s="184"/>
      <c r="T77" s="185"/>
      <c r="U77" s="184"/>
      <c r="V77" s="185"/>
      <c r="W77" s="184"/>
      <c r="X77" s="185"/>
      <c r="Y77" s="184"/>
      <c r="Z77" s="185"/>
      <c r="AA77" s="184"/>
      <c r="AB77" s="185"/>
      <c r="AC77" s="184"/>
      <c r="AD77" s="185"/>
      <c r="AE77" s="184"/>
      <c r="AF77" s="185"/>
      <c r="AG77" s="184"/>
      <c r="AH77" s="185"/>
      <c r="AI77" s="184"/>
      <c r="AJ77" s="185"/>
      <c r="AK77" s="184"/>
      <c r="AL77" s="185"/>
      <c r="AM77" s="184"/>
      <c r="AN77" s="185"/>
      <c r="AO77" s="184"/>
      <c r="AP77" s="185"/>
      <c r="AQ77" s="184"/>
      <c r="AR77" s="185"/>
      <c r="AS77" s="184"/>
      <c r="AT77" s="185"/>
      <c r="AU77" s="184"/>
      <c r="AV77" s="185"/>
      <c r="AW77" s="184"/>
      <c r="AX77" s="185"/>
      <c r="AY77" s="184"/>
      <c r="AZ77" s="185"/>
      <c r="BA77" s="184"/>
      <c r="BB77" s="185"/>
      <c r="BC77" s="184"/>
      <c r="BD77" s="185"/>
      <c r="BE77" s="184"/>
      <c r="BF77" s="185"/>
      <c r="BG77" s="184"/>
      <c r="BH77" s="185"/>
      <c r="BI77" s="184"/>
      <c r="BJ77" s="185"/>
      <c r="BK77" s="184"/>
      <c r="BL77" s="185"/>
      <c r="BM77" s="184"/>
      <c r="BN77" s="185"/>
      <c r="BO77" s="184"/>
      <c r="BP77" s="185"/>
      <c r="BQ77" s="184"/>
      <c r="BR77" s="185"/>
      <c r="BS77" s="184"/>
      <c r="BT77" s="185"/>
      <c r="BU77" s="184"/>
      <c r="BV77" s="185"/>
      <c r="BW77" s="184"/>
      <c r="BX77" s="185"/>
      <c r="BY77" s="184"/>
      <c r="BZ77" s="185"/>
      <c r="CA77" s="184"/>
      <c r="CB77" s="185"/>
      <c r="CC77" s="184"/>
      <c r="CD77" s="185"/>
      <c r="CE77" s="184"/>
      <c r="CF77" s="185"/>
      <c r="CG77" s="184"/>
      <c r="CH77" s="185"/>
      <c r="CI77" s="184"/>
      <c r="CJ77" s="185"/>
      <c r="CK77" s="184"/>
      <c r="CL77" s="185"/>
      <c r="CM77" s="184"/>
      <c r="CN77" s="185"/>
      <c r="CO77" s="184"/>
      <c r="CP77" s="185"/>
      <c r="CQ77" s="184"/>
      <c r="CR77" s="185"/>
      <c r="CS77" s="184"/>
      <c r="CT77" s="185"/>
      <c r="CU77" s="184"/>
      <c r="CV77" s="185"/>
      <c r="CW77" s="184"/>
      <c r="CX77" s="185"/>
      <c r="CY77" s="184"/>
      <c r="CZ77" s="185"/>
      <c r="DA77" s="184"/>
      <c r="DB77" s="185"/>
      <c r="DC77" s="184"/>
      <c r="DD77" s="185"/>
      <c r="DE77" s="184"/>
      <c r="DF77" s="185"/>
      <c r="DG77" s="184"/>
      <c r="DH77" s="185"/>
      <c r="DI77" s="184"/>
      <c r="DJ77" s="185"/>
      <c r="DK77" s="184"/>
      <c r="DL77" s="185"/>
      <c r="DM77" s="184"/>
      <c r="DN77" s="185"/>
      <c r="DO77" s="184"/>
      <c r="DP77" s="185"/>
      <c r="DQ77" s="184"/>
      <c r="DR77" s="185"/>
      <c r="DS77" s="184"/>
      <c r="DT77" s="185"/>
      <c r="DU77" s="184"/>
      <c r="DV77" s="185"/>
    </row>
    <row r="78" spans="1:126" x14ac:dyDescent="0.2">
      <c r="A78" s="183" t="s">
        <v>232</v>
      </c>
      <c r="B78" s="183" t="s">
        <v>931</v>
      </c>
      <c r="C78" s="184">
        <f t="shared" si="342"/>
        <v>30557</v>
      </c>
      <c r="D78" s="185">
        <f t="shared" si="338"/>
        <v>0</v>
      </c>
      <c r="E78" s="184">
        <f>K78+M78+O77:O78+Q78+S78+U78+W78+Y78+AA78+AC78+AE78+AI78</f>
        <v>24384</v>
      </c>
      <c r="F78" s="185">
        <f t="shared" si="490"/>
        <v>0</v>
      </c>
      <c r="G78" s="184">
        <f t="shared" si="442"/>
        <v>6173</v>
      </c>
      <c r="H78" s="185">
        <f t="shared" si="442"/>
        <v>0</v>
      </c>
      <c r="I78" s="184"/>
      <c r="J78" s="185"/>
      <c r="K78" s="184"/>
      <c r="L78" s="185"/>
      <c r="M78" s="184"/>
      <c r="N78" s="185"/>
      <c r="O78" s="184"/>
      <c r="P78" s="185"/>
      <c r="Q78" s="184"/>
      <c r="R78" s="185"/>
      <c r="S78" s="184"/>
      <c r="T78" s="185"/>
      <c r="U78" s="184"/>
      <c r="V78" s="185"/>
      <c r="W78" s="184"/>
      <c r="X78" s="185"/>
      <c r="Y78" s="184"/>
      <c r="Z78" s="185"/>
      <c r="AA78" s="184"/>
      <c r="AB78" s="185"/>
      <c r="AC78" s="184"/>
      <c r="AD78" s="185"/>
      <c r="AE78" s="184">
        <f>'[3]8. felújítás'!K6+'[3]8. felújítás'!K12+'[3]8. felújítás'!K13+'[3]8. felújítás'!K14+'[3]8. felújítás'!K8</f>
        <v>24384</v>
      </c>
      <c r="AF78" s="185">
        <v>0</v>
      </c>
      <c r="AG78" s="184"/>
      <c r="AH78" s="185">
        <v>0</v>
      </c>
      <c r="AI78" s="184"/>
      <c r="AJ78" s="185"/>
      <c r="AK78" s="184"/>
      <c r="AL78" s="185"/>
      <c r="AM78" s="184"/>
      <c r="AN78" s="185"/>
      <c r="AO78" s="184"/>
      <c r="AP78" s="185"/>
      <c r="AQ78" s="184"/>
      <c r="AR78" s="185"/>
      <c r="AS78" s="184"/>
      <c r="AT78" s="185"/>
      <c r="AU78" s="184"/>
      <c r="AV78" s="185"/>
      <c r="AW78" s="184"/>
      <c r="AX78" s="185"/>
      <c r="AY78" s="184"/>
      <c r="AZ78" s="185"/>
      <c r="BA78" s="184"/>
      <c r="BB78" s="185"/>
      <c r="BC78" s="184"/>
      <c r="BD78" s="185"/>
      <c r="BE78" s="184"/>
      <c r="BF78" s="185"/>
      <c r="BG78" s="184"/>
      <c r="BH78" s="185"/>
      <c r="BI78" s="184"/>
      <c r="BJ78" s="185"/>
      <c r="BK78" s="184"/>
      <c r="BL78" s="185"/>
      <c r="BM78" s="184"/>
      <c r="BN78" s="185"/>
      <c r="BO78" s="184"/>
      <c r="BP78" s="185"/>
      <c r="BQ78" s="184"/>
      <c r="BR78" s="185"/>
      <c r="BS78" s="184"/>
      <c r="BT78" s="185"/>
      <c r="BU78" s="184"/>
      <c r="BV78" s="185"/>
      <c r="BW78" s="184"/>
      <c r="BX78" s="185"/>
      <c r="BY78" s="184"/>
      <c r="BZ78" s="185"/>
      <c r="CA78" s="184"/>
      <c r="CB78" s="185"/>
      <c r="CC78" s="184"/>
      <c r="CD78" s="185"/>
      <c r="CE78" s="184"/>
      <c r="CF78" s="185"/>
      <c r="CG78" s="184"/>
      <c r="CH78" s="185"/>
      <c r="CI78" s="184"/>
      <c r="CJ78" s="185"/>
      <c r="CK78" s="184"/>
      <c r="CL78" s="185"/>
      <c r="CM78" s="184"/>
      <c r="CN78" s="185"/>
      <c r="CO78" s="184"/>
      <c r="CP78" s="185"/>
      <c r="CQ78" s="184"/>
      <c r="CR78" s="185"/>
      <c r="CS78" s="184"/>
      <c r="CT78" s="185"/>
      <c r="CU78" s="184"/>
      <c r="CV78" s="185"/>
      <c r="CW78" s="184"/>
      <c r="CX78" s="185"/>
      <c r="CY78" s="184"/>
      <c r="CZ78" s="185"/>
      <c r="DA78" s="184"/>
      <c r="DB78" s="185"/>
      <c r="DC78" s="184"/>
      <c r="DD78" s="185"/>
      <c r="DE78" s="184"/>
      <c r="DF78" s="185"/>
      <c r="DG78" s="184"/>
      <c r="DH78" s="185"/>
      <c r="DI78" s="184"/>
      <c r="DJ78" s="185"/>
      <c r="DK78" s="184">
        <f>'[3]8. felújítás'!K7+'[3]8. felújítás'!K15+'[3]8. felújítás'!K16+'[3]8. felújítás'!K17</f>
        <v>6173</v>
      </c>
      <c r="DL78" s="185"/>
      <c r="DM78" s="184"/>
      <c r="DN78" s="185"/>
      <c r="DO78" s="184"/>
      <c r="DP78" s="185"/>
      <c r="DQ78" s="184"/>
      <c r="DR78" s="185"/>
      <c r="DS78" s="184"/>
      <c r="DT78" s="185"/>
      <c r="DU78" s="184"/>
      <c r="DV78" s="185"/>
    </row>
    <row r="79" spans="1:126" ht="13.6" x14ac:dyDescent="0.25">
      <c r="A79" s="186" t="s">
        <v>235</v>
      </c>
      <c r="B79" s="186" t="s">
        <v>342</v>
      </c>
      <c r="C79" s="187">
        <f t="shared" ref="C79:I79" si="491">SUM(C75:C78)</f>
        <v>357654</v>
      </c>
      <c r="D79" s="188">
        <f t="shared" si="491"/>
        <v>213922</v>
      </c>
      <c r="E79" s="187">
        <f t="shared" si="491"/>
        <v>114692</v>
      </c>
      <c r="F79" s="188">
        <f t="shared" si="491"/>
        <v>196922</v>
      </c>
      <c r="G79" s="187">
        <f t="shared" si="491"/>
        <v>29040</v>
      </c>
      <c r="H79" s="188">
        <f t="shared" si="491"/>
        <v>17000</v>
      </c>
      <c r="I79" s="187">
        <f t="shared" si="491"/>
        <v>0</v>
      </c>
      <c r="J79" s="188">
        <f t="shared" ref="J79:AO79" si="492">SUM(J75:J78)</f>
        <v>0</v>
      </c>
      <c r="K79" s="187">
        <f t="shared" si="492"/>
        <v>0</v>
      </c>
      <c r="L79" s="188">
        <f t="shared" si="492"/>
        <v>0</v>
      </c>
      <c r="M79" s="187">
        <f t="shared" si="492"/>
        <v>0</v>
      </c>
      <c r="N79" s="188">
        <f t="shared" si="492"/>
        <v>0</v>
      </c>
      <c r="O79" s="187">
        <f t="shared" si="492"/>
        <v>0</v>
      </c>
      <c r="P79" s="188">
        <f t="shared" si="492"/>
        <v>0</v>
      </c>
      <c r="Q79" s="187">
        <f t="shared" si="492"/>
        <v>0</v>
      </c>
      <c r="R79" s="188">
        <f t="shared" si="492"/>
        <v>0</v>
      </c>
      <c r="S79" s="187">
        <f t="shared" si="492"/>
        <v>0</v>
      </c>
      <c r="T79" s="188">
        <f t="shared" ref="T79" si="493">SUM(T75:T78)</f>
        <v>0</v>
      </c>
      <c r="U79" s="187">
        <f t="shared" si="492"/>
        <v>0</v>
      </c>
      <c r="V79" s="188">
        <f t="shared" ref="V79" si="494">SUM(V75:V78)</f>
        <v>0</v>
      </c>
      <c r="W79" s="187">
        <f t="shared" si="492"/>
        <v>0</v>
      </c>
      <c r="X79" s="188">
        <f t="shared" si="492"/>
        <v>0</v>
      </c>
      <c r="Y79" s="187">
        <f t="shared" si="492"/>
        <v>0</v>
      </c>
      <c r="Z79" s="188">
        <f t="shared" si="492"/>
        <v>0</v>
      </c>
      <c r="AA79" s="187">
        <f t="shared" si="492"/>
        <v>0</v>
      </c>
      <c r="AB79" s="188">
        <f t="shared" ref="AB79" si="495">SUM(AB75:AB78)</f>
        <v>0</v>
      </c>
      <c r="AC79" s="187">
        <f t="shared" si="492"/>
        <v>0</v>
      </c>
      <c r="AD79" s="188">
        <f t="shared" ref="AD79" si="496">SUM(AD75:AD78)</f>
        <v>0</v>
      </c>
      <c r="AE79" s="187">
        <f t="shared" si="492"/>
        <v>114692</v>
      </c>
      <c r="AF79" s="188">
        <f t="shared" ref="AF79:AH79" si="497">SUM(AF75:AF78)</f>
        <v>196922</v>
      </c>
      <c r="AG79" s="187"/>
      <c r="AH79" s="188">
        <f t="shared" si="497"/>
        <v>0</v>
      </c>
      <c r="AI79" s="187">
        <f>SUM(AI75:AI78)</f>
        <v>0</v>
      </c>
      <c r="AJ79" s="188">
        <f>SUM(AJ75:AJ78)</f>
        <v>0</v>
      </c>
      <c r="AK79" s="187">
        <f t="shared" si="492"/>
        <v>0</v>
      </c>
      <c r="AL79" s="188">
        <f t="shared" ref="AL79" si="498">SUM(AL75:AL78)</f>
        <v>0</v>
      </c>
      <c r="AM79" s="187">
        <f t="shared" si="492"/>
        <v>0</v>
      </c>
      <c r="AN79" s="188"/>
      <c r="AO79" s="187">
        <f t="shared" si="492"/>
        <v>0</v>
      </c>
      <c r="AP79" s="188">
        <f t="shared" ref="AP79" si="499">SUM(AP75:AP78)</f>
        <v>0</v>
      </c>
      <c r="AQ79" s="187">
        <f t="shared" ref="AQ79:DS79" si="500">SUM(AQ75:AQ78)</f>
        <v>0</v>
      </c>
      <c r="AR79" s="188">
        <f t="shared" ref="AR79" si="501">SUM(AR75:AR78)</f>
        <v>0</v>
      </c>
      <c r="AS79" s="187">
        <f t="shared" si="500"/>
        <v>0</v>
      </c>
      <c r="AT79" s="188">
        <f t="shared" ref="AT79" si="502">SUM(AT75:AT78)</f>
        <v>0</v>
      </c>
      <c r="AU79" s="187">
        <f t="shared" si="500"/>
        <v>0</v>
      </c>
      <c r="AV79" s="188">
        <f t="shared" ref="AV79" si="503">SUM(AV75:AV78)</f>
        <v>0</v>
      </c>
      <c r="AW79" s="187">
        <f t="shared" si="500"/>
        <v>0</v>
      </c>
      <c r="AX79" s="188">
        <f t="shared" ref="AX79" si="504">SUM(AX75:AX78)</f>
        <v>0</v>
      </c>
      <c r="AY79" s="187">
        <f t="shared" si="500"/>
        <v>0</v>
      </c>
      <c r="AZ79" s="188">
        <f t="shared" ref="AZ79" si="505">SUM(AZ75:AZ78)</f>
        <v>0</v>
      </c>
      <c r="BA79" s="187">
        <f t="shared" si="500"/>
        <v>0</v>
      </c>
      <c r="BB79" s="188">
        <f t="shared" ref="BB79" si="506">SUM(BB75:BB78)</f>
        <v>0</v>
      </c>
      <c r="BC79" s="187">
        <f t="shared" si="500"/>
        <v>0</v>
      </c>
      <c r="BD79" s="188">
        <f t="shared" ref="BD79" si="507">SUM(BD75:BD78)</f>
        <v>0</v>
      </c>
      <c r="BE79" s="187">
        <f t="shared" si="500"/>
        <v>0</v>
      </c>
      <c r="BF79" s="188">
        <f t="shared" ref="BF79" si="508">SUM(BF75:BF78)</f>
        <v>0</v>
      </c>
      <c r="BG79" s="187">
        <f t="shared" si="500"/>
        <v>0</v>
      </c>
      <c r="BH79" s="188">
        <f t="shared" ref="BH79" si="509">SUM(BH75:BH78)</f>
        <v>0</v>
      </c>
      <c r="BI79" s="187">
        <f t="shared" si="500"/>
        <v>0</v>
      </c>
      <c r="BJ79" s="188">
        <f t="shared" ref="BJ79" si="510">SUM(BJ75:BJ78)</f>
        <v>0</v>
      </c>
      <c r="BK79" s="187">
        <f t="shared" si="500"/>
        <v>0</v>
      </c>
      <c r="BL79" s="188">
        <f t="shared" ref="BL79" si="511">SUM(BL75:BL78)</f>
        <v>0</v>
      </c>
      <c r="BM79" s="187">
        <f t="shared" si="500"/>
        <v>0</v>
      </c>
      <c r="BN79" s="188">
        <f t="shared" ref="BN79" si="512">SUM(BN75:BN78)</f>
        <v>0</v>
      </c>
      <c r="BO79" s="187">
        <f t="shared" si="500"/>
        <v>0</v>
      </c>
      <c r="BP79" s="188">
        <f t="shared" ref="BP79" si="513">SUM(BP75:BP78)</f>
        <v>0</v>
      </c>
      <c r="BQ79" s="187">
        <f t="shared" si="500"/>
        <v>0</v>
      </c>
      <c r="BR79" s="188">
        <f t="shared" ref="BR79" si="514">SUM(BR75:BR78)</f>
        <v>0</v>
      </c>
      <c r="BS79" s="187">
        <f t="shared" si="500"/>
        <v>0</v>
      </c>
      <c r="BT79" s="188">
        <f t="shared" ref="BT79" si="515">SUM(BT75:BT78)</f>
        <v>0</v>
      </c>
      <c r="BU79" s="187">
        <f t="shared" si="500"/>
        <v>0</v>
      </c>
      <c r="BV79" s="188">
        <f t="shared" ref="BV79" si="516">SUM(BV75:BV78)</f>
        <v>0</v>
      </c>
      <c r="BW79" s="187">
        <f t="shared" si="500"/>
        <v>0</v>
      </c>
      <c r="BX79" s="188">
        <f t="shared" ref="BX79" si="517">SUM(BX75:BX78)</f>
        <v>0</v>
      </c>
      <c r="BY79" s="187">
        <f t="shared" si="500"/>
        <v>0</v>
      </c>
      <c r="BZ79" s="188">
        <f t="shared" ref="BZ79" si="518">SUM(BZ75:BZ78)</f>
        <v>0</v>
      </c>
      <c r="CA79" s="187">
        <f t="shared" si="500"/>
        <v>0</v>
      </c>
      <c r="CB79" s="188">
        <f t="shared" ref="CB79" si="519">SUM(CB75:CB78)</f>
        <v>0</v>
      </c>
      <c r="CC79" s="187">
        <f t="shared" si="500"/>
        <v>0</v>
      </c>
      <c r="CD79" s="188">
        <f t="shared" ref="CD79" si="520">SUM(CD75:CD78)</f>
        <v>0</v>
      </c>
      <c r="CE79" s="187">
        <f>SUM(CE75:CE78)</f>
        <v>0</v>
      </c>
      <c r="CF79" s="188">
        <f>SUM(CF75:CF78)</f>
        <v>0</v>
      </c>
      <c r="CG79" s="187">
        <f t="shared" si="500"/>
        <v>0</v>
      </c>
      <c r="CH79" s="188">
        <f t="shared" ref="CH79" si="521">SUM(CH75:CH78)</f>
        <v>0</v>
      </c>
      <c r="CI79" s="187">
        <f t="shared" si="500"/>
        <v>0</v>
      </c>
      <c r="CJ79" s="188">
        <f t="shared" ref="CJ79" si="522">SUM(CJ75:CJ78)</f>
        <v>0</v>
      </c>
      <c r="CK79" s="187">
        <f t="shared" si="500"/>
        <v>0</v>
      </c>
      <c r="CL79" s="188">
        <f t="shared" ref="CL79" si="523">SUM(CL75:CL78)</f>
        <v>0</v>
      </c>
      <c r="CM79" s="187">
        <f t="shared" si="500"/>
        <v>0</v>
      </c>
      <c r="CN79" s="188">
        <f t="shared" ref="CN79" si="524">SUM(CN75:CN78)</f>
        <v>0</v>
      </c>
      <c r="CO79" s="187">
        <f t="shared" si="500"/>
        <v>0</v>
      </c>
      <c r="CP79" s="188">
        <f t="shared" ref="CP79" si="525">SUM(CP75:CP78)</f>
        <v>0</v>
      </c>
      <c r="CQ79" s="187">
        <f t="shared" si="500"/>
        <v>0</v>
      </c>
      <c r="CR79" s="188">
        <f t="shared" ref="CR79" si="526">SUM(CR75:CR78)</f>
        <v>0</v>
      </c>
      <c r="CS79" s="187">
        <f t="shared" si="500"/>
        <v>0</v>
      </c>
      <c r="CT79" s="188">
        <f t="shared" ref="CT79" si="527">SUM(CT75:CT78)</f>
        <v>0</v>
      </c>
      <c r="CU79" s="187">
        <f t="shared" si="500"/>
        <v>0</v>
      </c>
      <c r="CV79" s="188">
        <f t="shared" ref="CV79" si="528">SUM(CV75:CV78)</f>
        <v>0</v>
      </c>
      <c r="CW79" s="187">
        <f t="shared" si="500"/>
        <v>0</v>
      </c>
      <c r="CX79" s="188">
        <f t="shared" ref="CX79" si="529">SUM(CX75:CX78)</f>
        <v>0</v>
      </c>
      <c r="CY79" s="187">
        <f t="shared" si="500"/>
        <v>0</v>
      </c>
      <c r="CZ79" s="188"/>
      <c r="DA79" s="187">
        <f t="shared" si="500"/>
        <v>0</v>
      </c>
      <c r="DB79" s="188"/>
      <c r="DC79" s="187">
        <f t="shared" si="500"/>
        <v>0</v>
      </c>
      <c r="DD79" s="188">
        <f t="shared" ref="DD79" si="530">SUM(DD75:DD78)</f>
        <v>0</v>
      </c>
      <c r="DE79" s="187">
        <f t="shared" si="500"/>
        <v>0</v>
      </c>
      <c r="DF79" s="188">
        <f t="shared" ref="DF79" si="531">SUM(DF75:DF78)</f>
        <v>0</v>
      </c>
      <c r="DG79" s="187">
        <f t="shared" si="500"/>
        <v>0</v>
      </c>
      <c r="DH79" s="188">
        <f t="shared" ref="DH79" si="532">SUM(DH75:DH78)</f>
        <v>0</v>
      </c>
      <c r="DI79" s="187">
        <f t="shared" si="500"/>
        <v>0</v>
      </c>
      <c r="DJ79" s="188">
        <f t="shared" ref="DJ79" si="533">SUM(DJ75:DJ78)</f>
        <v>0</v>
      </c>
      <c r="DK79" s="187">
        <f t="shared" si="500"/>
        <v>29040</v>
      </c>
      <c r="DL79" s="188">
        <f t="shared" ref="DL79" si="534">SUM(DL75:DL78)</f>
        <v>17000</v>
      </c>
      <c r="DM79" s="187">
        <f t="shared" si="500"/>
        <v>0</v>
      </c>
      <c r="DN79" s="188">
        <f t="shared" ref="DN79" si="535">SUM(DN75:DN78)</f>
        <v>0</v>
      </c>
      <c r="DO79" s="187">
        <f t="shared" si="500"/>
        <v>0</v>
      </c>
      <c r="DP79" s="188">
        <f t="shared" ref="DP79" si="536">SUM(DP75:DP78)</f>
        <v>0</v>
      </c>
      <c r="DQ79" s="187">
        <f t="shared" si="500"/>
        <v>0</v>
      </c>
      <c r="DR79" s="188"/>
      <c r="DS79" s="187">
        <f t="shared" si="500"/>
        <v>0</v>
      </c>
      <c r="DT79" s="188">
        <f t="shared" ref="DT79" si="537">SUM(DT75:DT78)</f>
        <v>0</v>
      </c>
      <c r="DU79" s="187"/>
      <c r="DV79" s="188"/>
    </row>
    <row r="80" spans="1:126" x14ac:dyDescent="0.2">
      <c r="A80" s="183" t="s">
        <v>932</v>
      </c>
      <c r="B80" s="193" t="s">
        <v>933</v>
      </c>
      <c r="C80" s="184">
        <f t="shared" si="342"/>
        <v>0</v>
      </c>
      <c r="D80" s="185">
        <f t="shared" si="338"/>
        <v>0</v>
      </c>
      <c r="E80" s="184">
        <f t="shared" ref="E80:E87" si="538">K80+M80+O79:O80+Q80+S80+U80+W80+Y80+AA80+AC80+AE80+AI80</f>
        <v>0</v>
      </c>
      <c r="F80" s="185">
        <f t="shared" ref="F80:F87" si="539">L80+N80+P79:P80+R80+T80+V80+X80+Z80+AB80+AD80+AF80+AJ80+AH80</f>
        <v>0</v>
      </c>
      <c r="G80" s="184">
        <f t="shared" si="442"/>
        <v>0</v>
      </c>
      <c r="H80" s="185">
        <f t="shared" si="442"/>
        <v>0</v>
      </c>
      <c r="I80" s="184"/>
      <c r="J80" s="185"/>
      <c r="K80" s="184"/>
      <c r="L80" s="185"/>
      <c r="M80" s="184"/>
      <c r="N80" s="185"/>
      <c r="O80" s="184"/>
      <c r="P80" s="185"/>
      <c r="Q80" s="184"/>
      <c r="R80" s="185"/>
      <c r="S80" s="184"/>
      <c r="T80" s="185"/>
      <c r="U80" s="184"/>
      <c r="V80" s="185"/>
      <c r="W80" s="184"/>
      <c r="X80" s="185"/>
      <c r="Y80" s="184"/>
      <c r="Z80" s="185"/>
      <c r="AA80" s="184"/>
      <c r="AB80" s="185"/>
      <c r="AC80" s="184"/>
      <c r="AD80" s="185"/>
      <c r="AE80" s="184"/>
      <c r="AF80" s="185"/>
      <c r="AG80" s="184"/>
      <c r="AH80" s="185"/>
      <c r="AI80" s="184"/>
      <c r="AJ80" s="185"/>
      <c r="AK80" s="184"/>
      <c r="AL80" s="185"/>
      <c r="AM80" s="184"/>
      <c r="AN80" s="185"/>
      <c r="AO80" s="184"/>
      <c r="AP80" s="185"/>
      <c r="AQ80" s="184"/>
      <c r="AR80" s="185"/>
      <c r="AS80" s="184"/>
      <c r="AT80" s="185"/>
      <c r="AU80" s="184"/>
      <c r="AV80" s="185"/>
      <c r="AW80" s="184"/>
      <c r="AX80" s="185"/>
      <c r="AY80" s="184"/>
      <c r="AZ80" s="185"/>
      <c r="BA80" s="184"/>
      <c r="BB80" s="185"/>
      <c r="BC80" s="184"/>
      <c r="BD80" s="185"/>
      <c r="BE80" s="184"/>
      <c r="BF80" s="185"/>
      <c r="BG80" s="184"/>
      <c r="BH80" s="185"/>
      <c r="BI80" s="184"/>
      <c r="BJ80" s="185"/>
      <c r="BK80" s="184"/>
      <c r="BL80" s="185"/>
      <c r="BM80" s="184"/>
      <c r="BN80" s="185"/>
      <c r="BO80" s="184"/>
      <c r="BP80" s="185"/>
      <c r="BQ80" s="184"/>
      <c r="BR80" s="185"/>
      <c r="BS80" s="184"/>
      <c r="BT80" s="185"/>
      <c r="BU80" s="184"/>
      <c r="BV80" s="185"/>
      <c r="BW80" s="184"/>
      <c r="BX80" s="185"/>
      <c r="BY80" s="184"/>
      <c r="BZ80" s="185"/>
      <c r="CA80" s="184"/>
      <c r="CB80" s="185"/>
      <c r="CC80" s="184"/>
      <c r="CD80" s="185"/>
      <c r="CE80" s="184"/>
      <c r="CF80" s="185"/>
      <c r="CG80" s="184"/>
      <c r="CH80" s="185"/>
      <c r="CI80" s="184"/>
      <c r="CJ80" s="185"/>
      <c r="CK80" s="184"/>
      <c r="CL80" s="185"/>
      <c r="CM80" s="184"/>
      <c r="CN80" s="185"/>
      <c r="CO80" s="184"/>
      <c r="CP80" s="185"/>
      <c r="CQ80" s="184"/>
      <c r="CR80" s="185"/>
      <c r="CS80" s="184"/>
      <c r="CT80" s="185"/>
      <c r="CU80" s="184"/>
      <c r="CV80" s="185"/>
      <c r="CW80" s="184"/>
      <c r="CX80" s="185"/>
      <c r="CY80" s="184"/>
      <c r="CZ80" s="185"/>
      <c r="DA80" s="184"/>
      <c r="DB80" s="185"/>
      <c r="DC80" s="184"/>
      <c r="DD80" s="185"/>
      <c r="DE80" s="184"/>
      <c r="DF80" s="185"/>
      <c r="DG80" s="184"/>
      <c r="DH80" s="185"/>
      <c r="DI80" s="184"/>
      <c r="DJ80" s="185"/>
      <c r="DK80" s="184"/>
      <c r="DL80" s="185"/>
      <c r="DM80" s="184"/>
      <c r="DN80" s="185"/>
      <c r="DO80" s="184"/>
      <c r="DP80" s="185"/>
      <c r="DQ80" s="184"/>
      <c r="DR80" s="185"/>
      <c r="DS80" s="184"/>
      <c r="DT80" s="185"/>
      <c r="DU80" s="184"/>
      <c r="DV80" s="185"/>
    </row>
    <row r="81" spans="1:126" x14ac:dyDescent="0.2">
      <c r="A81" s="183" t="s">
        <v>934</v>
      </c>
      <c r="B81" s="193" t="s">
        <v>935</v>
      </c>
      <c r="C81" s="184">
        <f t="shared" si="342"/>
        <v>0</v>
      </c>
      <c r="D81" s="185">
        <f t="shared" si="338"/>
        <v>0</v>
      </c>
      <c r="E81" s="184">
        <f t="shared" si="538"/>
        <v>0</v>
      </c>
      <c r="F81" s="185">
        <f t="shared" si="539"/>
        <v>0</v>
      </c>
      <c r="G81" s="184">
        <f t="shared" si="442"/>
        <v>0</v>
      </c>
      <c r="H81" s="185">
        <f t="shared" si="442"/>
        <v>0</v>
      </c>
      <c r="I81" s="184"/>
      <c r="J81" s="185"/>
      <c r="K81" s="184"/>
      <c r="L81" s="185"/>
      <c r="M81" s="184"/>
      <c r="N81" s="185"/>
      <c r="O81" s="184"/>
      <c r="P81" s="185"/>
      <c r="Q81" s="184"/>
      <c r="R81" s="185"/>
      <c r="S81" s="184"/>
      <c r="T81" s="185"/>
      <c r="U81" s="184"/>
      <c r="V81" s="185"/>
      <c r="W81" s="184"/>
      <c r="X81" s="185"/>
      <c r="Y81" s="184"/>
      <c r="Z81" s="185"/>
      <c r="AA81" s="184"/>
      <c r="AB81" s="185"/>
      <c r="AC81" s="184"/>
      <c r="AD81" s="185"/>
      <c r="AE81" s="184"/>
      <c r="AF81" s="185"/>
      <c r="AG81" s="184"/>
      <c r="AH81" s="185"/>
      <c r="AI81" s="184"/>
      <c r="AJ81" s="185"/>
      <c r="AK81" s="184"/>
      <c r="AL81" s="185"/>
      <c r="AM81" s="184"/>
      <c r="AN81" s="185"/>
      <c r="AO81" s="184"/>
      <c r="AP81" s="185"/>
      <c r="AQ81" s="184"/>
      <c r="AR81" s="185"/>
      <c r="AS81" s="184"/>
      <c r="AT81" s="185"/>
      <c r="AU81" s="184"/>
      <c r="AV81" s="185"/>
      <c r="AW81" s="184"/>
      <c r="AX81" s="185"/>
      <c r="AY81" s="184"/>
      <c r="AZ81" s="185"/>
      <c r="BA81" s="184"/>
      <c r="BB81" s="185"/>
      <c r="BC81" s="184"/>
      <c r="BD81" s="185"/>
      <c r="BE81" s="184"/>
      <c r="BF81" s="185"/>
      <c r="BG81" s="184"/>
      <c r="BH81" s="185"/>
      <c r="BI81" s="184"/>
      <c r="BJ81" s="185"/>
      <c r="BK81" s="184"/>
      <c r="BL81" s="185"/>
      <c r="BM81" s="184"/>
      <c r="BN81" s="185"/>
      <c r="BO81" s="184"/>
      <c r="BP81" s="185"/>
      <c r="BQ81" s="184"/>
      <c r="BR81" s="185"/>
      <c r="BS81" s="184"/>
      <c r="BT81" s="185"/>
      <c r="BU81" s="184"/>
      <c r="BV81" s="185"/>
      <c r="BW81" s="184"/>
      <c r="BX81" s="185"/>
      <c r="BY81" s="184"/>
      <c r="BZ81" s="185"/>
      <c r="CA81" s="184"/>
      <c r="CB81" s="185"/>
      <c r="CC81" s="184"/>
      <c r="CD81" s="185"/>
      <c r="CE81" s="184"/>
      <c r="CF81" s="185"/>
      <c r="CG81" s="184"/>
      <c r="CH81" s="185"/>
      <c r="CI81" s="184"/>
      <c r="CJ81" s="185"/>
      <c r="CK81" s="184"/>
      <c r="CL81" s="185"/>
      <c r="CM81" s="184"/>
      <c r="CN81" s="185"/>
      <c r="CO81" s="184"/>
      <c r="CP81" s="185"/>
      <c r="CQ81" s="184"/>
      <c r="CR81" s="185"/>
      <c r="CS81" s="184"/>
      <c r="CT81" s="185"/>
      <c r="CU81" s="184"/>
      <c r="CV81" s="185"/>
      <c r="CW81" s="184"/>
      <c r="CX81" s="185"/>
      <c r="CY81" s="184"/>
      <c r="CZ81" s="185"/>
      <c r="DA81" s="184"/>
      <c r="DB81" s="185"/>
      <c r="DC81" s="184"/>
      <c r="DD81" s="185"/>
      <c r="DE81" s="184"/>
      <c r="DF81" s="185"/>
      <c r="DG81" s="184"/>
      <c r="DH81" s="185"/>
      <c r="DI81" s="184"/>
      <c r="DJ81" s="185"/>
      <c r="DK81" s="184"/>
      <c r="DL81" s="185"/>
      <c r="DM81" s="184"/>
      <c r="DN81" s="185"/>
      <c r="DO81" s="184"/>
      <c r="DP81" s="185"/>
      <c r="DQ81" s="184"/>
      <c r="DR81" s="185"/>
      <c r="DS81" s="184"/>
      <c r="DT81" s="185"/>
      <c r="DU81" s="184"/>
      <c r="DV81" s="185"/>
    </row>
    <row r="82" spans="1:126" x14ac:dyDescent="0.2">
      <c r="A82" s="183" t="s">
        <v>936</v>
      </c>
      <c r="B82" s="193" t="s">
        <v>937</v>
      </c>
      <c r="C82" s="184">
        <f t="shared" si="342"/>
        <v>0</v>
      </c>
      <c r="D82" s="185">
        <f t="shared" si="338"/>
        <v>0</v>
      </c>
      <c r="E82" s="184">
        <f t="shared" si="538"/>
        <v>0</v>
      </c>
      <c r="F82" s="185">
        <f t="shared" si="539"/>
        <v>0</v>
      </c>
      <c r="G82" s="184">
        <f t="shared" si="442"/>
        <v>0</v>
      </c>
      <c r="H82" s="185">
        <f t="shared" si="442"/>
        <v>0</v>
      </c>
      <c r="I82" s="184"/>
      <c r="J82" s="185"/>
      <c r="K82" s="184"/>
      <c r="L82" s="185"/>
      <c r="M82" s="184"/>
      <c r="N82" s="185"/>
      <c r="O82" s="184"/>
      <c r="P82" s="185"/>
      <c r="Q82" s="184"/>
      <c r="R82" s="185"/>
      <c r="S82" s="184"/>
      <c r="T82" s="185"/>
      <c r="U82" s="184"/>
      <c r="V82" s="185"/>
      <c r="W82" s="184"/>
      <c r="X82" s="185"/>
      <c r="Y82" s="184"/>
      <c r="Z82" s="185"/>
      <c r="AA82" s="184"/>
      <c r="AB82" s="185"/>
      <c r="AC82" s="184"/>
      <c r="AD82" s="185"/>
      <c r="AE82" s="184"/>
      <c r="AF82" s="185"/>
      <c r="AG82" s="184"/>
      <c r="AH82" s="185"/>
      <c r="AI82" s="184"/>
      <c r="AJ82" s="185"/>
      <c r="AK82" s="184"/>
      <c r="AL82" s="185"/>
      <c r="AM82" s="184"/>
      <c r="AN82" s="185"/>
      <c r="AO82" s="184"/>
      <c r="AP82" s="185"/>
      <c r="AQ82" s="184"/>
      <c r="AR82" s="185"/>
      <c r="AS82" s="184"/>
      <c r="AT82" s="185"/>
      <c r="AU82" s="184"/>
      <c r="AV82" s="185"/>
      <c r="AW82" s="184"/>
      <c r="AX82" s="185"/>
      <c r="AY82" s="184"/>
      <c r="AZ82" s="185"/>
      <c r="BA82" s="184"/>
      <c r="BB82" s="185"/>
      <c r="BC82" s="184"/>
      <c r="BD82" s="185"/>
      <c r="BE82" s="184"/>
      <c r="BF82" s="185"/>
      <c r="BG82" s="184"/>
      <c r="BH82" s="185"/>
      <c r="BI82" s="184"/>
      <c r="BJ82" s="185"/>
      <c r="BK82" s="184"/>
      <c r="BL82" s="185"/>
      <c r="BM82" s="184"/>
      <c r="BN82" s="185"/>
      <c r="BO82" s="184"/>
      <c r="BP82" s="185"/>
      <c r="BQ82" s="184"/>
      <c r="BR82" s="185"/>
      <c r="BS82" s="184"/>
      <c r="BT82" s="185"/>
      <c r="BU82" s="184"/>
      <c r="BV82" s="185"/>
      <c r="BW82" s="184"/>
      <c r="BX82" s="185"/>
      <c r="BY82" s="184"/>
      <c r="BZ82" s="185"/>
      <c r="CA82" s="184"/>
      <c r="CB82" s="185"/>
      <c r="CC82" s="184"/>
      <c r="CD82" s="185"/>
      <c r="CE82" s="184"/>
      <c r="CF82" s="185"/>
      <c r="CG82" s="184"/>
      <c r="CH82" s="185"/>
      <c r="CI82" s="184"/>
      <c r="CJ82" s="185"/>
      <c r="CK82" s="184"/>
      <c r="CL82" s="185"/>
      <c r="CM82" s="184"/>
      <c r="CN82" s="185"/>
      <c r="CO82" s="184"/>
      <c r="CP82" s="185"/>
      <c r="CQ82" s="184"/>
      <c r="CR82" s="185"/>
      <c r="CS82" s="184"/>
      <c r="CT82" s="185"/>
      <c r="CU82" s="184"/>
      <c r="CV82" s="185"/>
      <c r="CW82" s="184"/>
      <c r="CX82" s="185"/>
      <c r="CY82" s="184"/>
      <c r="CZ82" s="185"/>
      <c r="DA82" s="184"/>
      <c r="DB82" s="185"/>
      <c r="DC82" s="184"/>
      <c r="DD82" s="185"/>
      <c r="DE82" s="184"/>
      <c r="DF82" s="185"/>
      <c r="DG82" s="184"/>
      <c r="DH82" s="185"/>
      <c r="DI82" s="184"/>
      <c r="DJ82" s="185"/>
      <c r="DK82" s="184"/>
      <c r="DL82" s="185"/>
      <c r="DM82" s="184"/>
      <c r="DN82" s="185"/>
      <c r="DO82" s="184"/>
      <c r="DP82" s="185"/>
      <c r="DQ82" s="184"/>
      <c r="DR82" s="185"/>
      <c r="DS82" s="184"/>
      <c r="DT82" s="185"/>
      <c r="DU82" s="184"/>
      <c r="DV82" s="185"/>
    </row>
    <row r="83" spans="1:126" x14ac:dyDescent="0.2">
      <c r="A83" s="183" t="s">
        <v>938</v>
      </c>
      <c r="B83" s="193" t="s">
        <v>939</v>
      </c>
      <c r="C83" s="184">
        <f t="shared" si="342"/>
        <v>0</v>
      </c>
      <c r="D83" s="185">
        <f t="shared" si="338"/>
        <v>0</v>
      </c>
      <c r="E83" s="184">
        <f t="shared" si="538"/>
        <v>0</v>
      </c>
      <c r="F83" s="185">
        <f t="shared" si="539"/>
        <v>0</v>
      </c>
      <c r="G83" s="184">
        <f t="shared" si="442"/>
        <v>0</v>
      </c>
      <c r="H83" s="185">
        <f t="shared" si="442"/>
        <v>0</v>
      </c>
      <c r="I83" s="184"/>
      <c r="J83" s="185"/>
      <c r="K83" s="184"/>
      <c r="L83" s="185"/>
      <c r="M83" s="184"/>
      <c r="N83" s="185"/>
      <c r="O83" s="184"/>
      <c r="P83" s="185"/>
      <c r="Q83" s="184"/>
      <c r="R83" s="185"/>
      <c r="S83" s="184"/>
      <c r="T83" s="185"/>
      <c r="U83" s="184"/>
      <c r="V83" s="185"/>
      <c r="W83" s="184"/>
      <c r="X83" s="185"/>
      <c r="Y83" s="184"/>
      <c r="Z83" s="185"/>
      <c r="AA83" s="184"/>
      <c r="AB83" s="185"/>
      <c r="AC83" s="184"/>
      <c r="AD83" s="185"/>
      <c r="AE83" s="184"/>
      <c r="AF83" s="185"/>
      <c r="AG83" s="184"/>
      <c r="AH83" s="185"/>
      <c r="AI83" s="184"/>
      <c r="AJ83" s="185"/>
      <c r="AK83" s="184"/>
      <c r="AL83" s="185"/>
      <c r="AM83" s="184"/>
      <c r="AN83" s="185"/>
      <c r="AO83" s="184"/>
      <c r="AP83" s="185"/>
      <c r="AQ83" s="184"/>
      <c r="AR83" s="185"/>
      <c r="AS83" s="184"/>
      <c r="AT83" s="185"/>
      <c r="AU83" s="184"/>
      <c r="AV83" s="185"/>
      <c r="AW83" s="184"/>
      <c r="AX83" s="185"/>
      <c r="AY83" s="184"/>
      <c r="AZ83" s="185"/>
      <c r="BA83" s="184"/>
      <c r="BB83" s="185"/>
      <c r="BC83" s="184"/>
      <c r="BD83" s="185"/>
      <c r="BE83" s="184"/>
      <c r="BF83" s="185"/>
      <c r="BG83" s="184"/>
      <c r="BH83" s="185"/>
      <c r="BI83" s="184"/>
      <c r="BJ83" s="185"/>
      <c r="BK83" s="184"/>
      <c r="BL83" s="185"/>
      <c r="BM83" s="184"/>
      <c r="BN83" s="185"/>
      <c r="BO83" s="184"/>
      <c r="BP83" s="185"/>
      <c r="BQ83" s="184"/>
      <c r="BR83" s="185"/>
      <c r="BS83" s="184"/>
      <c r="BT83" s="185"/>
      <c r="BU83" s="184"/>
      <c r="BV83" s="185"/>
      <c r="BW83" s="184"/>
      <c r="BX83" s="185"/>
      <c r="BY83" s="184"/>
      <c r="BZ83" s="185"/>
      <c r="CA83" s="184"/>
      <c r="CB83" s="185"/>
      <c r="CC83" s="184"/>
      <c r="CD83" s="185"/>
      <c r="CE83" s="184"/>
      <c r="CF83" s="185"/>
      <c r="CG83" s="184"/>
      <c r="CH83" s="185"/>
      <c r="CI83" s="184"/>
      <c r="CJ83" s="185"/>
      <c r="CK83" s="184"/>
      <c r="CL83" s="185"/>
      <c r="CM83" s="184"/>
      <c r="CN83" s="185"/>
      <c r="CO83" s="184"/>
      <c r="CP83" s="185"/>
      <c r="CQ83" s="184"/>
      <c r="CR83" s="185"/>
      <c r="CS83" s="184"/>
      <c r="CT83" s="185"/>
      <c r="CU83" s="184"/>
      <c r="CV83" s="185"/>
      <c r="CW83" s="184"/>
      <c r="CX83" s="185"/>
      <c r="CY83" s="184"/>
      <c r="CZ83" s="185"/>
      <c r="DA83" s="184"/>
      <c r="DB83" s="185"/>
      <c r="DC83" s="184"/>
      <c r="DD83" s="185"/>
      <c r="DE83" s="184"/>
      <c r="DF83" s="185"/>
      <c r="DG83" s="184"/>
      <c r="DH83" s="185"/>
      <c r="DI83" s="184"/>
      <c r="DJ83" s="185"/>
      <c r="DK83" s="184"/>
      <c r="DL83" s="185"/>
      <c r="DM83" s="184"/>
      <c r="DN83" s="185"/>
      <c r="DO83" s="184"/>
      <c r="DP83" s="185"/>
      <c r="DQ83" s="184"/>
      <c r="DR83" s="185"/>
      <c r="DS83" s="184"/>
      <c r="DT83" s="185"/>
      <c r="DU83" s="184"/>
      <c r="DV83" s="185"/>
    </row>
    <row r="84" spans="1:126" x14ac:dyDescent="0.2">
      <c r="A84" s="183" t="s">
        <v>940</v>
      </c>
      <c r="B84" s="193" t="s">
        <v>941</v>
      </c>
      <c r="C84" s="184">
        <f t="shared" si="342"/>
        <v>0</v>
      </c>
      <c r="D84" s="185">
        <f t="shared" si="338"/>
        <v>0</v>
      </c>
      <c r="E84" s="184">
        <f t="shared" si="538"/>
        <v>0</v>
      </c>
      <c r="F84" s="185">
        <f t="shared" si="539"/>
        <v>0</v>
      </c>
      <c r="G84" s="184">
        <f t="shared" si="442"/>
        <v>0</v>
      </c>
      <c r="H84" s="185">
        <f t="shared" si="442"/>
        <v>0</v>
      </c>
      <c r="I84" s="184"/>
      <c r="J84" s="185"/>
      <c r="K84" s="184"/>
      <c r="L84" s="185"/>
      <c r="M84" s="184"/>
      <c r="N84" s="185"/>
      <c r="O84" s="184"/>
      <c r="P84" s="185"/>
      <c r="Q84" s="184"/>
      <c r="R84" s="185"/>
      <c r="S84" s="184"/>
      <c r="T84" s="185"/>
      <c r="U84" s="184"/>
      <c r="V84" s="185"/>
      <c r="W84" s="184"/>
      <c r="X84" s="185"/>
      <c r="Y84" s="184"/>
      <c r="Z84" s="185"/>
      <c r="AA84" s="184"/>
      <c r="AB84" s="185"/>
      <c r="AC84" s="184"/>
      <c r="AD84" s="185"/>
      <c r="AE84" s="184"/>
      <c r="AF84" s="185"/>
      <c r="AG84" s="184"/>
      <c r="AH84" s="185"/>
      <c r="AI84" s="184"/>
      <c r="AJ84" s="185"/>
      <c r="AK84" s="184"/>
      <c r="AL84" s="185"/>
      <c r="AM84" s="184"/>
      <c r="AN84" s="185"/>
      <c r="AO84" s="184"/>
      <c r="AP84" s="185"/>
      <c r="AQ84" s="184"/>
      <c r="AR84" s="185"/>
      <c r="AS84" s="184"/>
      <c r="AT84" s="185"/>
      <c r="AU84" s="184"/>
      <c r="AV84" s="185"/>
      <c r="AW84" s="184"/>
      <c r="AX84" s="185"/>
      <c r="AY84" s="184"/>
      <c r="AZ84" s="185"/>
      <c r="BA84" s="184"/>
      <c r="BB84" s="185"/>
      <c r="BC84" s="184"/>
      <c r="BD84" s="185"/>
      <c r="BE84" s="184"/>
      <c r="BF84" s="185"/>
      <c r="BG84" s="184"/>
      <c r="BH84" s="185"/>
      <c r="BI84" s="184"/>
      <c r="BJ84" s="185"/>
      <c r="BK84" s="184"/>
      <c r="BL84" s="185"/>
      <c r="BM84" s="184"/>
      <c r="BN84" s="185"/>
      <c r="BO84" s="184"/>
      <c r="BP84" s="185"/>
      <c r="BQ84" s="184"/>
      <c r="BR84" s="185"/>
      <c r="BS84" s="184"/>
      <c r="BT84" s="185"/>
      <c r="BU84" s="184"/>
      <c r="BV84" s="185"/>
      <c r="BW84" s="184"/>
      <c r="BX84" s="185"/>
      <c r="BY84" s="184"/>
      <c r="BZ84" s="185"/>
      <c r="CA84" s="184"/>
      <c r="CB84" s="185"/>
      <c r="CC84" s="184"/>
      <c r="CD84" s="185"/>
      <c r="CE84" s="184"/>
      <c r="CF84" s="185"/>
      <c r="CG84" s="184"/>
      <c r="CH84" s="185"/>
      <c r="CI84" s="184"/>
      <c r="CJ84" s="185"/>
      <c r="CK84" s="184"/>
      <c r="CL84" s="185"/>
      <c r="CM84" s="184"/>
      <c r="CN84" s="185"/>
      <c r="CO84" s="184"/>
      <c r="CP84" s="185"/>
      <c r="CQ84" s="184"/>
      <c r="CR84" s="185"/>
      <c r="CS84" s="184"/>
      <c r="CT84" s="185"/>
      <c r="CU84" s="184"/>
      <c r="CV84" s="185"/>
      <c r="CW84" s="184"/>
      <c r="CX84" s="185"/>
      <c r="CY84" s="184"/>
      <c r="CZ84" s="185"/>
      <c r="DA84" s="184"/>
      <c r="DB84" s="185"/>
      <c r="DC84" s="184"/>
      <c r="DD84" s="185"/>
      <c r="DE84" s="184"/>
      <c r="DF84" s="185"/>
      <c r="DG84" s="184"/>
      <c r="DH84" s="185"/>
      <c r="DI84" s="184"/>
      <c r="DJ84" s="185"/>
      <c r="DK84" s="184"/>
      <c r="DL84" s="185"/>
      <c r="DM84" s="184"/>
      <c r="DN84" s="185"/>
      <c r="DO84" s="184"/>
      <c r="DP84" s="185"/>
      <c r="DQ84" s="184"/>
      <c r="DR84" s="185"/>
      <c r="DS84" s="184"/>
      <c r="DT84" s="185"/>
      <c r="DU84" s="184"/>
      <c r="DV84" s="185"/>
    </row>
    <row r="85" spans="1:126" x14ac:dyDescent="0.2">
      <c r="A85" s="183" t="s">
        <v>942</v>
      </c>
      <c r="B85" s="193" t="s">
        <v>943</v>
      </c>
      <c r="C85" s="184">
        <f t="shared" si="342"/>
        <v>0</v>
      </c>
      <c r="D85" s="185">
        <f t="shared" si="338"/>
        <v>0</v>
      </c>
      <c r="E85" s="184">
        <f t="shared" si="538"/>
        <v>0</v>
      </c>
      <c r="F85" s="185">
        <f t="shared" si="539"/>
        <v>0</v>
      </c>
      <c r="G85" s="184">
        <f t="shared" si="442"/>
        <v>0</v>
      </c>
      <c r="H85" s="185">
        <f t="shared" si="442"/>
        <v>0</v>
      </c>
      <c r="I85" s="184"/>
      <c r="J85" s="185"/>
      <c r="K85" s="184"/>
      <c r="L85" s="185"/>
      <c r="M85" s="184"/>
      <c r="N85" s="185"/>
      <c r="O85" s="184"/>
      <c r="P85" s="185"/>
      <c r="Q85" s="184"/>
      <c r="R85" s="185"/>
      <c r="S85" s="184"/>
      <c r="T85" s="185"/>
      <c r="U85" s="184"/>
      <c r="V85" s="185"/>
      <c r="W85" s="184"/>
      <c r="X85" s="185"/>
      <c r="Y85" s="184"/>
      <c r="Z85" s="185"/>
      <c r="AA85" s="184"/>
      <c r="AB85" s="185"/>
      <c r="AC85" s="184"/>
      <c r="AD85" s="185"/>
      <c r="AE85" s="184"/>
      <c r="AF85" s="185"/>
      <c r="AG85" s="184"/>
      <c r="AH85" s="185"/>
      <c r="AI85" s="184"/>
      <c r="AJ85" s="185"/>
      <c r="AK85" s="184"/>
      <c r="AL85" s="185"/>
      <c r="AM85" s="184"/>
      <c r="AN85" s="185"/>
      <c r="AO85" s="184"/>
      <c r="AP85" s="185"/>
      <c r="AQ85" s="184"/>
      <c r="AR85" s="185"/>
      <c r="AS85" s="184"/>
      <c r="AT85" s="185"/>
      <c r="AU85" s="184"/>
      <c r="AV85" s="185"/>
      <c r="AW85" s="184"/>
      <c r="AX85" s="185"/>
      <c r="AY85" s="184"/>
      <c r="AZ85" s="185"/>
      <c r="BA85" s="184"/>
      <c r="BB85" s="185"/>
      <c r="BC85" s="184"/>
      <c r="BD85" s="185"/>
      <c r="BE85" s="184"/>
      <c r="BF85" s="185"/>
      <c r="BG85" s="184"/>
      <c r="BH85" s="185"/>
      <c r="BI85" s="184"/>
      <c r="BJ85" s="185"/>
      <c r="BK85" s="184"/>
      <c r="BL85" s="185"/>
      <c r="BM85" s="184"/>
      <c r="BN85" s="185"/>
      <c r="BO85" s="184"/>
      <c r="BP85" s="185"/>
      <c r="BQ85" s="184"/>
      <c r="BR85" s="185"/>
      <c r="BS85" s="184"/>
      <c r="BT85" s="185"/>
      <c r="BU85" s="184"/>
      <c r="BV85" s="185"/>
      <c r="BW85" s="184"/>
      <c r="BX85" s="185"/>
      <c r="BY85" s="184"/>
      <c r="BZ85" s="185"/>
      <c r="CA85" s="184"/>
      <c r="CB85" s="185"/>
      <c r="CC85" s="184"/>
      <c r="CD85" s="185"/>
      <c r="CE85" s="184"/>
      <c r="CF85" s="185"/>
      <c r="CG85" s="184"/>
      <c r="CH85" s="185"/>
      <c r="CI85" s="184"/>
      <c r="CJ85" s="185"/>
      <c r="CK85" s="184"/>
      <c r="CL85" s="185"/>
      <c r="CM85" s="184"/>
      <c r="CN85" s="185"/>
      <c r="CO85" s="184"/>
      <c r="CP85" s="185"/>
      <c r="CQ85" s="184"/>
      <c r="CR85" s="185"/>
      <c r="CS85" s="184"/>
      <c r="CT85" s="185"/>
      <c r="CU85" s="184"/>
      <c r="CV85" s="185"/>
      <c r="CW85" s="184"/>
      <c r="CX85" s="185"/>
      <c r="CY85" s="184"/>
      <c r="CZ85" s="185"/>
      <c r="DA85" s="184"/>
      <c r="DB85" s="185"/>
      <c r="DC85" s="184"/>
      <c r="DD85" s="185"/>
      <c r="DE85" s="184"/>
      <c r="DF85" s="185"/>
      <c r="DG85" s="184"/>
      <c r="DH85" s="185"/>
      <c r="DI85" s="184"/>
      <c r="DJ85" s="185"/>
      <c r="DK85" s="184"/>
      <c r="DL85" s="185"/>
      <c r="DM85" s="184"/>
      <c r="DN85" s="185"/>
      <c r="DO85" s="184"/>
      <c r="DP85" s="185"/>
      <c r="DQ85" s="184"/>
      <c r="DR85" s="185"/>
      <c r="DS85" s="184"/>
      <c r="DT85" s="185"/>
      <c r="DU85" s="184"/>
      <c r="DV85" s="185"/>
    </row>
    <row r="86" spans="1:126" x14ac:dyDescent="0.2">
      <c r="A86" s="183" t="s">
        <v>944</v>
      </c>
      <c r="B86" s="183" t="s">
        <v>945</v>
      </c>
      <c r="C86" s="184">
        <f t="shared" si="342"/>
        <v>0</v>
      </c>
      <c r="D86" s="185">
        <f t="shared" si="338"/>
        <v>0</v>
      </c>
      <c r="E86" s="184">
        <f t="shared" si="538"/>
        <v>0</v>
      </c>
      <c r="F86" s="185">
        <f t="shared" si="539"/>
        <v>0</v>
      </c>
      <c r="G86" s="184">
        <f t="shared" si="442"/>
        <v>0</v>
      </c>
      <c r="H86" s="185">
        <f t="shared" si="442"/>
        <v>0</v>
      </c>
      <c r="I86" s="184"/>
      <c r="J86" s="185"/>
      <c r="K86" s="184"/>
      <c r="L86" s="185"/>
      <c r="M86" s="184"/>
      <c r="N86" s="185"/>
      <c r="O86" s="184"/>
      <c r="P86" s="185"/>
      <c r="Q86" s="184"/>
      <c r="R86" s="185"/>
      <c r="S86" s="184"/>
      <c r="T86" s="185"/>
      <c r="U86" s="184"/>
      <c r="V86" s="185"/>
      <c r="W86" s="184"/>
      <c r="X86" s="185"/>
      <c r="Y86" s="184"/>
      <c r="Z86" s="185"/>
      <c r="AA86" s="184"/>
      <c r="AB86" s="185"/>
      <c r="AC86" s="184"/>
      <c r="AD86" s="185"/>
      <c r="AE86" s="184"/>
      <c r="AF86" s="185"/>
      <c r="AG86" s="184"/>
      <c r="AH86" s="185"/>
      <c r="AI86" s="184"/>
      <c r="AJ86" s="185"/>
      <c r="AK86" s="184"/>
      <c r="AL86" s="185"/>
      <c r="AM86" s="184"/>
      <c r="AN86" s="185"/>
      <c r="AO86" s="184"/>
      <c r="AP86" s="185"/>
      <c r="AQ86" s="184"/>
      <c r="AR86" s="185"/>
      <c r="AS86" s="184"/>
      <c r="AT86" s="185"/>
      <c r="AU86" s="184"/>
      <c r="AV86" s="185"/>
      <c r="AW86" s="184"/>
      <c r="AX86" s="185"/>
      <c r="AY86" s="184"/>
      <c r="AZ86" s="185"/>
      <c r="BA86" s="184"/>
      <c r="BB86" s="185"/>
      <c r="BC86" s="184"/>
      <c r="BD86" s="185"/>
      <c r="BE86" s="184"/>
      <c r="BF86" s="185"/>
      <c r="BG86" s="184"/>
      <c r="BH86" s="185"/>
      <c r="BI86" s="184"/>
      <c r="BJ86" s="185"/>
      <c r="BK86" s="184"/>
      <c r="BL86" s="185"/>
      <c r="BM86" s="184"/>
      <c r="BN86" s="185"/>
      <c r="BO86" s="184"/>
      <c r="BP86" s="185"/>
      <c r="BQ86" s="184"/>
      <c r="BR86" s="185"/>
      <c r="BS86" s="184"/>
      <c r="BT86" s="185"/>
      <c r="BU86" s="184"/>
      <c r="BV86" s="185"/>
      <c r="BW86" s="184"/>
      <c r="BX86" s="185"/>
      <c r="BY86" s="184"/>
      <c r="BZ86" s="185"/>
      <c r="CA86" s="184"/>
      <c r="CB86" s="185"/>
      <c r="CC86" s="184"/>
      <c r="CD86" s="185"/>
      <c r="CE86" s="184"/>
      <c r="CF86" s="185"/>
      <c r="CG86" s="184"/>
      <c r="CH86" s="185"/>
      <c r="CI86" s="184"/>
      <c r="CJ86" s="185"/>
      <c r="CK86" s="184"/>
      <c r="CL86" s="185"/>
      <c r="CM86" s="184"/>
      <c r="CN86" s="185"/>
      <c r="CO86" s="184"/>
      <c r="CP86" s="185"/>
      <c r="CQ86" s="184"/>
      <c r="CR86" s="185"/>
      <c r="CS86" s="184"/>
      <c r="CT86" s="185"/>
      <c r="CU86" s="184"/>
      <c r="CV86" s="185"/>
      <c r="CW86" s="184"/>
      <c r="CX86" s="185"/>
      <c r="CY86" s="184"/>
      <c r="CZ86" s="185"/>
      <c r="DA86" s="184"/>
      <c r="DB86" s="185"/>
      <c r="DC86" s="184"/>
      <c r="DD86" s="185"/>
      <c r="DE86" s="184"/>
      <c r="DF86" s="185"/>
      <c r="DG86" s="184"/>
      <c r="DH86" s="185"/>
      <c r="DI86" s="184"/>
      <c r="DJ86" s="185"/>
      <c r="DK86" s="184"/>
      <c r="DL86" s="185"/>
      <c r="DM86" s="184"/>
      <c r="DN86" s="185"/>
      <c r="DO86" s="184"/>
      <c r="DP86" s="185"/>
      <c r="DQ86" s="184"/>
      <c r="DR86" s="185"/>
      <c r="DS86" s="184"/>
      <c r="DT86" s="185"/>
      <c r="DU86" s="184"/>
      <c r="DV86" s="185"/>
    </row>
    <row r="87" spans="1:126" x14ac:dyDescent="0.2">
      <c r="A87" s="183" t="s">
        <v>946</v>
      </c>
      <c r="B87" s="183" t="s">
        <v>947</v>
      </c>
      <c r="C87" s="184">
        <f t="shared" si="342"/>
        <v>1800</v>
      </c>
      <c r="D87" s="185">
        <f t="shared" si="338"/>
        <v>1800</v>
      </c>
      <c r="E87" s="184">
        <f t="shared" si="538"/>
        <v>0</v>
      </c>
      <c r="F87" s="185">
        <f t="shared" si="539"/>
        <v>1800</v>
      </c>
      <c r="G87" s="184">
        <f t="shared" si="442"/>
        <v>0</v>
      </c>
      <c r="H87" s="185">
        <f t="shared" si="442"/>
        <v>0</v>
      </c>
      <c r="I87" s="184"/>
      <c r="J87" s="185"/>
      <c r="K87" s="184"/>
      <c r="L87" s="185">
        <v>1800</v>
      </c>
      <c r="M87" s="184"/>
      <c r="N87" s="185"/>
      <c r="O87" s="184"/>
      <c r="P87" s="185"/>
      <c r="Q87" s="184"/>
      <c r="R87" s="185"/>
      <c r="S87" s="184"/>
      <c r="T87" s="185"/>
      <c r="U87" s="184"/>
      <c r="V87" s="185"/>
      <c r="W87" s="184"/>
      <c r="X87" s="185"/>
      <c r="Y87" s="184"/>
      <c r="Z87" s="185"/>
      <c r="AA87" s="184"/>
      <c r="AB87" s="185"/>
      <c r="AC87" s="184"/>
      <c r="AD87" s="185"/>
      <c r="AE87" s="184"/>
      <c r="AF87" s="185"/>
      <c r="AG87" s="184"/>
      <c r="AH87" s="185"/>
      <c r="AI87" s="184"/>
      <c r="AJ87" s="185"/>
      <c r="AK87" s="184"/>
      <c r="AL87" s="185"/>
      <c r="AM87" s="184"/>
      <c r="AN87" s="185"/>
      <c r="AO87" s="184"/>
      <c r="AP87" s="185"/>
      <c r="AQ87" s="184"/>
      <c r="AR87" s="185"/>
      <c r="AS87" s="184"/>
      <c r="AT87" s="185"/>
      <c r="AU87" s="184"/>
      <c r="AV87" s="185"/>
      <c r="AW87" s="184"/>
      <c r="AX87" s="185"/>
      <c r="AY87" s="184"/>
      <c r="AZ87" s="185"/>
      <c r="BA87" s="184"/>
      <c r="BB87" s="185"/>
      <c r="BC87" s="184"/>
      <c r="BD87" s="185"/>
      <c r="BE87" s="184"/>
      <c r="BF87" s="185"/>
      <c r="BG87" s="184"/>
      <c r="BH87" s="185"/>
      <c r="BI87" s="184"/>
      <c r="BJ87" s="185"/>
      <c r="BK87" s="184"/>
      <c r="BL87" s="185"/>
      <c r="BM87" s="184"/>
      <c r="BN87" s="185"/>
      <c r="BO87" s="184"/>
      <c r="BP87" s="185"/>
      <c r="BQ87" s="184"/>
      <c r="BR87" s="185"/>
      <c r="BS87" s="184"/>
      <c r="BT87" s="185"/>
      <c r="BU87" s="184"/>
      <c r="BV87" s="185"/>
      <c r="BW87" s="184"/>
      <c r="BX87" s="185"/>
      <c r="BY87" s="184"/>
      <c r="BZ87" s="185"/>
      <c r="CA87" s="184"/>
      <c r="CB87" s="185"/>
      <c r="CC87" s="184"/>
      <c r="CD87" s="185"/>
      <c r="CE87" s="184"/>
      <c r="CF87" s="185"/>
      <c r="CG87" s="184"/>
      <c r="CH87" s="185"/>
      <c r="CI87" s="184"/>
      <c r="CJ87" s="185"/>
      <c r="CK87" s="184"/>
      <c r="CL87" s="185"/>
      <c r="CM87" s="184"/>
      <c r="CN87" s="185"/>
      <c r="CO87" s="184"/>
      <c r="CP87" s="185"/>
      <c r="CQ87" s="184"/>
      <c r="CR87" s="185"/>
      <c r="CS87" s="184"/>
      <c r="CT87" s="185"/>
      <c r="CU87" s="184"/>
      <c r="CV87" s="185"/>
      <c r="CW87" s="184"/>
      <c r="CX87" s="185"/>
      <c r="CY87" s="184"/>
      <c r="CZ87" s="185"/>
      <c r="DA87" s="184"/>
      <c r="DB87" s="185"/>
      <c r="DC87" s="184"/>
      <c r="DD87" s="185"/>
      <c r="DE87" s="184"/>
      <c r="DF87" s="185"/>
      <c r="DG87" s="184"/>
      <c r="DH87" s="185"/>
      <c r="DI87" s="184"/>
      <c r="DJ87" s="185"/>
      <c r="DK87" s="184"/>
      <c r="DL87" s="185"/>
      <c r="DM87" s="184"/>
      <c r="DN87" s="185"/>
      <c r="DO87" s="184"/>
      <c r="DP87" s="185"/>
      <c r="DQ87" s="184"/>
      <c r="DR87" s="185"/>
      <c r="DS87" s="184"/>
      <c r="DT87" s="185"/>
      <c r="DU87" s="184"/>
      <c r="DV87" s="185"/>
    </row>
    <row r="88" spans="1:126" ht="13.6" x14ac:dyDescent="0.25">
      <c r="A88" s="186" t="s">
        <v>948</v>
      </c>
      <c r="B88" s="186" t="s">
        <v>343</v>
      </c>
      <c r="C88" s="187">
        <f t="shared" ref="C88:I88" si="540">SUM(C80:C87)</f>
        <v>1800</v>
      </c>
      <c r="D88" s="188">
        <f t="shared" si="540"/>
        <v>1800</v>
      </c>
      <c r="E88" s="187">
        <f t="shared" si="540"/>
        <v>0</v>
      </c>
      <c r="F88" s="188">
        <f t="shared" si="540"/>
        <v>1800</v>
      </c>
      <c r="G88" s="187">
        <f t="shared" si="540"/>
        <v>0</v>
      </c>
      <c r="H88" s="188">
        <f t="shared" si="540"/>
        <v>0</v>
      </c>
      <c r="I88" s="187">
        <f t="shared" si="540"/>
        <v>0</v>
      </c>
      <c r="J88" s="188">
        <f t="shared" ref="J88:AO88" si="541">SUM(J80:J87)</f>
        <v>0</v>
      </c>
      <c r="K88" s="187">
        <f t="shared" si="541"/>
        <v>0</v>
      </c>
      <c r="L88" s="188">
        <f t="shared" si="541"/>
        <v>1800</v>
      </c>
      <c r="M88" s="187">
        <f t="shared" si="541"/>
        <v>0</v>
      </c>
      <c r="N88" s="188">
        <f t="shared" si="541"/>
        <v>0</v>
      </c>
      <c r="O88" s="187">
        <f t="shared" si="541"/>
        <v>0</v>
      </c>
      <c r="P88" s="188">
        <f t="shared" si="541"/>
        <v>0</v>
      </c>
      <c r="Q88" s="187">
        <f t="shared" si="541"/>
        <v>0</v>
      </c>
      <c r="R88" s="188">
        <f t="shared" si="541"/>
        <v>0</v>
      </c>
      <c r="S88" s="187">
        <f t="shared" si="541"/>
        <v>0</v>
      </c>
      <c r="T88" s="188">
        <f t="shared" ref="T88" si="542">SUM(T80:T87)</f>
        <v>0</v>
      </c>
      <c r="U88" s="187">
        <f t="shared" si="541"/>
        <v>0</v>
      </c>
      <c r="V88" s="188">
        <f t="shared" ref="V88" si="543">SUM(V80:V87)</f>
        <v>0</v>
      </c>
      <c r="W88" s="187">
        <f t="shared" si="541"/>
        <v>0</v>
      </c>
      <c r="X88" s="188">
        <f t="shared" si="541"/>
        <v>0</v>
      </c>
      <c r="Y88" s="187">
        <f t="shared" si="541"/>
        <v>0</v>
      </c>
      <c r="Z88" s="188">
        <f t="shared" ref="Z88" si="544">SUM(Z80:Z87)</f>
        <v>0</v>
      </c>
      <c r="AA88" s="187">
        <f t="shared" si="541"/>
        <v>0</v>
      </c>
      <c r="AB88" s="188">
        <f t="shared" ref="AB88" si="545">SUM(AB80:AB87)</f>
        <v>0</v>
      </c>
      <c r="AC88" s="187">
        <f t="shared" si="541"/>
        <v>0</v>
      </c>
      <c r="AD88" s="188">
        <f t="shared" ref="AD88" si="546">SUM(AD80:AD87)</f>
        <v>0</v>
      </c>
      <c r="AE88" s="187">
        <f t="shared" si="541"/>
        <v>0</v>
      </c>
      <c r="AF88" s="188">
        <f t="shared" ref="AF88:AH88" si="547">SUM(AF80:AF87)</f>
        <v>0</v>
      </c>
      <c r="AG88" s="187"/>
      <c r="AH88" s="188">
        <f t="shared" si="547"/>
        <v>0</v>
      </c>
      <c r="AI88" s="187">
        <f>SUM(AI80:AI87)</f>
        <v>0</v>
      </c>
      <c r="AJ88" s="188">
        <f>SUM(AJ80:AJ87)</f>
        <v>0</v>
      </c>
      <c r="AK88" s="187">
        <f t="shared" si="541"/>
        <v>0</v>
      </c>
      <c r="AL88" s="188">
        <f t="shared" ref="AL88" si="548">SUM(AL80:AL87)</f>
        <v>0</v>
      </c>
      <c r="AM88" s="187">
        <f t="shared" si="541"/>
        <v>0</v>
      </c>
      <c r="AN88" s="188"/>
      <c r="AO88" s="187">
        <f t="shared" si="541"/>
        <v>0</v>
      </c>
      <c r="AP88" s="188">
        <f t="shared" ref="AP88" si="549">SUM(AP80:AP87)</f>
        <v>0</v>
      </c>
      <c r="AQ88" s="187">
        <f t="shared" ref="AQ88:DS88" si="550">SUM(AQ80:AQ87)</f>
        <v>0</v>
      </c>
      <c r="AR88" s="188">
        <f t="shared" ref="AR88" si="551">SUM(AR80:AR87)</f>
        <v>0</v>
      </c>
      <c r="AS88" s="187">
        <f t="shared" si="550"/>
        <v>0</v>
      </c>
      <c r="AT88" s="188">
        <f t="shared" ref="AT88" si="552">SUM(AT80:AT87)</f>
        <v>0</v>
      </c>
      <c r="AU88" s="187">
        <f t="shared" si="550"/>
        <v>0</v>
      </c>
      <c r="AV88" s="188">
        <f t="shared" ref="AV88" si="553">SUM(AV80:AV87)</f>
        <v>0</v>
      </c>
      <c r="AW88" s="187">
        <f t="shared" si="550"/>
        <v>0</v>
      </c>
      <c r="AX88" s="188">
        <f t="shared" ref="AX88" si="554">SUM(AX80:AX87)</f>
        <v>0</v>
      </c>
      <c r="AY88" s="187">
        <f t="shared" si="550"/>
        <v>0</v>
      </c>
      <c r="AZ88" s="188">
        <f t="shared" ref="AZ88" si="555">SUM(AZ80:AZ87)</f>
        <v>0</v>
      </c>
      <c r="BA88" s="187">
        <f t="shared" si="550"/>
        <v>0</v>
      </c>
      <c r="BB88" s="188">
        <f t="shared" ref="BB88" si="556">SUM(BB80:BB87)</f>
        <v>0</v>
      </c>
      <c r="BC88" s="187">
        <f t="shared" si="550"/>
        <v>0</v>
      </c>
      <c r="BD88" s="188">
        <f t="shared" ref="BD88" si="557">SUM(BD80:BD87)</f>
        <v>0</v>
      </c>
      <c r="BE88" s="187">
        <f t="shared" si="550"/>
        <v>0</v>
      </c>
      <c r="BF88" s="188">
        <f t="shared" ref="BF88" si="558">SUM(BF80:BF87)</f>
        <v>0</v>
      </c>
      <c r="BG88" s="187">
        <f t="shared" si="550"/>
        <v>0</v>
      </c>
      <c r="BH88" s="188">
        <f t="shared" ref="BH88" si="559">SUM(BH80:BH87)</f>
        <v>0</v>
      </c>
      <c r="BI88" s="187">
        <f t="shared" si="550"/>
        <v>0</v>
      </c>
      <c r="BJ88" s="188">
        <f t="shared" ref="BJ88" si="560">SUM(BJ80:BJ87)</f>
        <v>0</v>
      </c>
      <c r="BK88" s="187">
        <f t="shared" si="550"/>
        <v>0</v>
      </c>
      <c r="BL88" s="188">
        <f t="shared" ref="BL88" si="561">SUM(BL80:BL87)</f>
        <v>0</v>
      </c>
      <c r="BM88" s="187">
        <f t="shared" si="550"/>
        <v>0</v>
      </c>
      <c r="BN88" s="188">
        <f t="shared" ref="BN88" si="562">SUM(BN80:BN87)</f>
        <v>0</v>
      </c>
      <c r="BO88" s="187">
        <f t="shared" si="550"/>
        <v>0</v>
      </c>
      <c r="BP88" s="188">
        <f t="shared" ref="BP88" si="563">SUM(BP80:BP87)</f>
        <v>0</v>
      </c>
      <c r="BQ88" s="187">
        <f t="shared" si="550"/>
        <v>0</v>
      </c>
      <c r="BR88" s="188">
        <f t="shared" ref="BR88" si="564">SUM(BR80:BR87)</f>
        <v>0</v>
      </c>
      <c r="BS88" s="187">
        <f t="shared" si="550"/>
        <v>0</v>
      </c>
      <c r="BT88" s="188">
        <f t="shared" ref="BT88" si="565">SUM(BT80:BT87)</f>
        <v>0</v>
      </c>
      <c r="BU88" s="187">
        <f t="shared" si="550"/>
        <v>0</v>
      </c>
      <c r="BV88" s="188">
        <f t="shared" ref="BV88" si="566">SUM(BV80:BV87)</f>
        <v>0</v>
      </c>
      <c r="BW88" s="187">
        <f t="shared" si="550"/>
        <v>0</v>
      </c>
      <c r="BX88" s="188">
        <f t="shared" ref="BX88" si="567">SUM(BX80:BX87)</f>
        <v>0</v>
      </c>
      <c r="BY88" s="187">
        <f t="shared" si="550"/>
        <v>0</v>
      </c>
      <c r="BZ88" s="188">
        <f t="shared" ref="BZ88" si="568">SUM(BZ80:BZ87)</f>
        <v>0</v>
      </c>
      <c r="CA88" s="187">
        <f t="shared" si="550"/>
        <v>0</v>
      </c>
      <c r="CB88" s="188">
        <f t="shared" ref="CB88" si="569">SUM(CB80:CB87)</f>
        <v>0</v>
      </c>
      <c r="CC88" s="187">
        <f t="shared" si="550"/>
        <v>0</v>
      </c>
      <c r="CD88" s="188">
        <f t="shared" ref="CD88" si="570">SUM(CD80:CD87)</f>
        <v>0</v>
      </c>
      <c r="CE88" s="187">
        <f>SUM(CE80:CE87)</f>
        <v>0</v>
      </c>
      <c r="CF88" s="188">
        <f>SUM(CF80:CF87)</f>
        <v>0</v>
      </c>
      <c r="CG88" s="187">
        <f t="shared" si="550"/>
        <v>0</v>
      </c>
      <c r="CH88" s="188">
        <f t="shared" ref="CH88" si="571">SUM(CH80:CH87)</f>
        <v>0</v>
      </c>
      <c r="CI88" s="187">
        <f t="shared" si="550"/>
        <v>0</v>
      </c>
      <c r="CJ88" s="188">
        <f t="shared" ref="CJ88" si="572">SUM(CJ80:CJ87)</f>
        <v>0</v>
      </c>
      <c r="CK88" s="187">
        <f t="shared" si="550"/>
        <v>0</v>
      </c>
      <c r="CL88" s="188">
        <f t="shared" ref="CL88" si="573">SUM(CL80:CL87)</f>
        <v>0</v>
      </c>
      <c r="CM88" s="187">
        <f t="shared" si="550"/>
        <v>0</v>
      </c>
      <c r="CN88" s="188">
        <f t="shared" ref="CN88" si="574">SUM(CN80:CN87)</f>
        <v>0</v>
      </c>
      <c r="CO88" s="187">
        <f t="shared" si="550"/>
        <v>0</v>
      </c>
      <c r="CP88" s="188">
        <f t="shared" ref="CP88" si="575">SUM(CP80:CP87)</f>
        <v>0</v>
      </c>
      <c r="CQ88" s="187">
        <f t="shared" si="550"/>
        <v>0</v>
      </c>
      <c r="CR88" s="188">
        <f t="shared" ref="CR88" si="576">SUM(CR80:CR87)</f>
        <v>0</v>
      </c>
      <c r="CS88" s="187">
        <f t="shared" si="550"/>
        <v>0</v>
      </c>
      <c r="CT88" s="188">
        <f t="shared" ref="CT88" si="577">SUM(CT80:CT87)</f>
        <v>0</v>
      </c>
      <c r="CU88" s="187">
        <f t="shared" si="550"/>
        <v>0</v>
      </c>
      <c r="CV88" s="188">
        <f t="shared" ref="CV88" si="578">SUM(CV80:CV87)</f>
        <v>0</v>
      </c>
      <c r="CW88" s="187">
        <f t="shared" si="550"/>
        <v>0</v>
      </c>
      <c r="CX88" s="188">
        <f t="shared" ref="CX88" si="579">SUM(CX80:CX87)</f>
        <v>0</v>
      </c>
      <c r="CY88" s="187">
        <f t="shared" si="550"/>
        <v>0</v>
      </c>
      <c r="CZ88" s="188"/>
      <c r="DA88" s="187">
        <f t="shared" si="550"/>
        <v>0</v>
      </c>
      <c r="DB88" s="188"/>
      <c r="DC88" s="187">
        <f t="shared" si="550"/>
        <v>0</v>
      </c>
      <c r="DD88" s="188">
        <f t="shared" ref="DD88" si="580">SUM(DD80:DD87)</f>
        <v>0</v>
      </c>
      <c r="DE88" s="187">
        <f t="shared" si="550"/>
        <v>0</v>
      </c>
      <c r="DF88" s="188">
        <f t="shared" ref="DF88" si="581">SUM(DF80:DF87)</f>
        <v>0</v>
      </c>
      <c r="DG88" s="187">
        <f t="shared" si="550"/>
        <v>0</v>
      </c>
      <c r="DH88" s="188">
        <f t="shared" ref="DH88" si="582">SUM(DH80:DH87)</f>
        <v>0</v>
      </c>
      <c r="DI88" s="187">
        <f t="shared" si="550"/>
        <v>0</v>
      </c>
      <c r="DJ88" s="188">
        <f t="shared" ref="DJ88" si="583">SUM(DJ80:DJ87)</f>
        <v>0</v>
      </c>
      <c r="DK88" s="187">
        <f t="shared" si="550"/>
        <v>0</v>
      </c>
      <c r="DL88" s="188">
        <f t="shared" ref="DL88" si="584">SUM(DL80:DL87)</f>
        <v>0</v>
      </c>
      <c r="DM88" s="187">
        <f t="shared" si="550"/>
        <v>0</v>
      </c>
      <c r="DN88" s="188">
        <f t="shared" ref="DN88" si="585">SUM(DN80:DN87)</f>
        <v>0</v>
      </c>
      <c r="DO88" s="187">
        <f t="shared" si="550"/>
        <v>0</v>
      </c>
      <c r="DP88" s="188">
        <f t="shared" ref="DP88" si="586">SUM(DP80:DP87)</f>
        <v>0</v>
      </c>
      <c r="DQ88" s="187">
        <f t="shared" si="550"/>
        <v>0</v>
      </c>
      <c r="DR88" s="188"/>
      <c r="DS88" s="187">
        <f t="shared" si="550"/>
        <v>0</v>
      </c>
      <c r="DT88" s="188">
        <f t="shared" ref="DT88" si="587">SUM(DT80:DT87)</f>
        <v>0</v>
      </c>
      <c r="DU88" s="187"/>
      <c r="DV88" s="188"/>
    </row>
    <row r="89" spans="1:126" x14ac:dyDescent="0.2">
      <c r="A89" s="183" t="s">
        <v>949</v>
      </c>
      <c r="B89" s="183" t="s">
        <v>950</v>
      </c>
      <c r="C89" s="184">
        <f t="shared" si="342"/>
        <v>0</v>
      </c>
      <c r="D89" s="185">
        <f t="shared" si="338"/>
        <v>0</v>
      </c>
      <c r="E89" s="184">
        <f t="shared" ref="E89:E105" si="588">K89+M89+O88:O89+Q89+S89+U89+W89+Y89+AA89+AC89+AE89+AI89</f>
        <v>0</v>
      </c>
      <c r="F89" s="185">
        <f t="shared" ref="F89:F105" si="589">L89+N89+P88:P89+R89+T89+V89+X89+Z89+AB89+AD89+AF89+AJ89+AH89</f>
        <v>0</v>
      </c>
      <c r="G89" s="184">
        <f t="shared" si="442"/>
        <v>0</v>
      </c>
      <c r="H89" s="185">
        <f t="shared" si="442"/>
        <v>0</v>
      </c>
      <c r="I89" s="184"/>
      <c r="J89" s="185"/>
      <c r="K89" s="184"/>
      <c r="L89" s="185"/>
      <c r="M89" s="184"/>
      <c r="N89" s="185"/>
      <c r="O89" s="184"/>
      <c r="P89" s="185"/>
      <c r="Q89" s="184"/>
      <c r="R89" s="185"/>
      <c r="S89" s="184"/>
      <c r="T89" s="185"/>
      <c r="U89" s="184"/>
      <c r="V89" s="185"/>
      <c r="W89" s="184"/>
      <c r="X89" s="185"/>
      <c r="Y89" s="184"/>
      <c r="Z89" s="185"/>
      <c r="AA89" s="184"/>
      <c r="AB89" s="185"/>
      <c r="AC89" s="184"/>
      <c r="AD89" s="185"/>
      <c r="AE89" s="184"/>
      <c r="AF89" s="185"/>
      <c r="AG89" s="184"/>
      <c r="AH89" s="185"/>
      <c r="AI89" s="184"/>
      <c r="AJ89" s="185"/>
      <c r="AK89" s="184"/>
      <c r="AL89" s="185"/>
      <c r="AM89" s="184"/>
      <c r="AN89" s="185"/>
      <c r="AO89" s="184"/>
      <c r="AP89" s="185"/>
      <c r="AQ89" s="184"/>
      <c r="AR89" s="185"/>
      <c r="AS89" s="184"/>
      <c r="AT89" s="185"/>
      <c r="AU89" s="184"/>
      <c r="AV89" s="185"/>
      <c r="AW89" s="184"/>
      <c r="AX89" s="185"/>
      <c r="AY89" s="184"/>
      <c r="AZ89" s="185"/>
      <c r="BA89" s="184"/>
      <c r="BB89" s="185"/>
      <c r="BC89" s="184"/>
      <c r="BD89" s="185"/>
      <c r="BE89" s="184"/>
      <c r="BF89" s="185"/>
      <c r="BG89" s="184"/>
      <c r="BH89" s="185"/>
      <c r="BI89" s="184"/>
      <c r="BJ89" s="185"/>
      <c r="BK89" s="184"/>
      <c r="BL89" s="185"/>
      <c r="BM89" s="184"/>
      <c r="BN89" s="185"/>
      <c r="BO89" s="184"/>
      <c r="BP89" s="185"/>
      <c r="BQ89" s="184"/>
      <c r="BR89" s="185"/>
      <c r="BS89" s="184"/>
      <c r="BT89" s="185"/>
      <c r="BU89" s="184"/>
      <c r="BV89" s="185"/>
      <c r="BW89" s="184"/>
      <c r="BX89" s="185"/>
      <c r="BY89" s="184"/>
      <c r="BZ89" s="185"/>
      <c r="CA89" s="184"/>
      <c r="CB89" s="185"/>
      <c r="CC89" s="184"/>
      <c r="CD89" s="185"/>
      <c r="CE89" s="184"/>
      <c r="CF89" s="185"/>
      <c r="CG89" s="184"/>
      <c r="CH89" s="185"/>
      <c r="CI89" s="184"/>
      <c r="CJ89" s="185"/>
      <c r="CK89" s="184"/>
      <c r="CL89" s="185"/>
      <c r="CM89" s="184"/>
      <c r="CN89" s="185"/>
      <c r="CO89" s="184"/>
      <c r="CP89" s="185"/>
      <c r="CQ89" s="184"/>
      <c r="CR89" s="185"/>
      <c r="CS89" s="184"/>
      <c r="CT89" s="185"/>
      <c r="CU89" s="184"/>
      <c r="CV89" s="185"/>
      <c r="CW89" s="184"/>
      <c r="CX89" s="185"/>
      <c r="CY89" s="184"/>
      <c r="CZ89" s="185"/>
      <c r="DA89" s="184"/>
      <c r="DB89" s="185"/>
      <c r="DC89" s="184"/>
      <c r="DD89" s="185"/>
      <c r="DE89" s="184"/>
      <c r="DF89" s="185"/>
      <c r="DG89" s="184"/>
      <c r="DH89" s="185"/>
      <c r="DI89" s="184"/>
      <c r="DJ89" s="185"/>
      <c r="DK89" s="184"/>
      <c r="DL89" s="185"/>
      <c r="DM89" s="184"/>
      <c r="DN89" s="185"/>
      <c r="DO89" s="184"/>
      <c r="DP89" s="185"/>
      <c r="DQ89" s="184"/>
      <c r="DR89" s="185"/>
      <c r="DS89" s="184"/>
      <c r="DT89" s="185"/>
      <c r="DU89" s="184"/>
      <c r="DV89" s="185"/>
    </row>
    <row r="90" spans="1:126" x14ac:dyDescent="0.2">
      <c r="A90" s="183" t="s">
        <v>951</v>
      </c>
      <c r="B90" s="193" t="s">
        <v>952</v>
      </c>
      <c r="C90" s="184">
        <f t="shared" si="342"/>
        <v>0</v>
      </c>
      <c r="D90" s="185">
        <f t="shared" si="338"/>
        <v>0</v>
      </c>
      <c r="E90" s="184">
        <f t="shared" si="588"/>
        <v>0</v>
      </c>
      <c r="F90" s="185">
        <f t="shared" si="589"/>
        <v>0</v>
      </c>
      <c r="G90" s="184">
        <f t="shared" si="442"/>
        <v>0</v>
      </c>
      <c r="H90" s="185">
        <f t="shared" si="442"/>
        <v>0</v>
      </c>
      <c r="I90" s="184"/>
      <c r="J90" s="185"/>
      <c r="K90" s="184"/>
      <c r="L90" s="185"/>
      <c r="M90" s="184"/>
      <c r="N90" s="185"/>
      <c r="O90" s="184"/>
      <c r="P90" s="185"/>
      <c r="Q90" s="184"/>
      <c r="R90" s="185"/>
      <c r="S90" s="184"/>
      <c r="T90" s="185"/>
      <c r="U90" s="184"/>
      <c r="V90" s="185"/>
      <c r="W90" s="184"/>
      <c r="X90" s="185"/>
      <c r="Y90" s="184"/>
      <c r="Z90" s="185"/>
      <c r="AA90" s="184"/>
      <c r="AB90" s="185"/>
      <c r="AC90" s="184"/>
      <c r="AD90" s="185"/>
      <c r="AE90" s="184"/>
      <c r="AF90" s="185"/>
      <c r="AG90" s="184"/>
      <c r="AH90" s="185"/>
      <c r="AI90" s="184"/>
      <c r="AJ90" s="185"/>
      <c r="AK90" s="184"/>
      <c r="AL90" s="185"/>
      <c r="AM90" s="184"/>
      <c r="AN90" s="185"/>
      <c r="AO90" s="184"/>
      <c r="AP90" s="185"/>
      <c r="AQ90" s="184"/>
      <c r="AR90" s="185"/>
      <c r="AS90" s="184"/>
      <c r="AT90" s="185"/>
      <c r="AU90" s="184"/>
      <c r="AV90" s="185"/>
      <c r="AW90" s="184"/>
      <c r="AX90" s="185"/>
      <c r="AY90" s="184"/>
      <c r="AZ90" s="185"/>
      <c r="BA90" s="184"/>
      <c r="BB90" s="185"/>
      <c r="BC90" s="184"/>
      <c r="BD90" s="185"/>
      <c r="BE90" s="184"/>
      <c r="BF90" s="185"/>
      <c r="BG90" s="184"/>
      <c r="BH90" s="185"/>
      <c r="BI90" s="184"/>
      <c r="BJ90" s="185"/>
      <c r="BK90" s="184"/>
      <c r="BL90" s="185"/>
      <c r="BM90" s="184"/>
      <c r="BN90" s="185"/>
      <c r="BO90" s="184"/>
      <c r="BP90" s="185"/>
      <c r="BQ90" s="184"/>
      <c r="BR90" s="185"/>
      <c r="BS90" s="184"/>
      <c r="BT90" s="185"/>
      <c r="BU90" s="184"/>
      <c r="BV90" s="185"/>
      <c r="BW90" s="184"/>
      <c r="BX90" s="185"/>
      <c r="BY90" s="184"/>
      <c r="BZ90" s="185"/>
      <c r="CA90" s="184"/>
      <c r="CB90" s="185"/>
      <c r="CC90" s="184"/>
      <c r="CD90" s="185"/>
      <c r="CE90" s="184"/>
      <c r="CF90" s="185"/>
      <c r="CG90" s="184"/>
      <c r="CH90" s="185"/>
      <c r="CI90" s="184"/>
      <c r="CJ90" s="185"/>
      <c r="CK90" s="184"/>
      <c r="CL90" s="185"/>
      <c r="CM90" s="184"/>
      <c r="CN90" s="185"/>
      <c r="CO90" s="184"/>
      <c r="CP90" s="185"/>
      <c r="CQ90" s="184"/>
      <c r="CR90" s="185"/>
      <c r="CS90" s="184"/>
      <c r="CT90" s="185"/>
      <c r="CU90" s="184"/>
      <c r="CV90" s="185"/>
      <c r="CW90" s="184"/>
      <c r="CX90" s="185"/>
      <c r="CY90" s="184"/>
      <c r="CZ90" s="185"/>
      <c r="DA90" s="184"/>
      <c r="DB90" s="185"/>
      <c r="DC90" s="184"/>
      <c r="DD90" s="185"/>
      <c r="DE90" s="184"/>
      <c r="DF90" s="185"/>
      <c r="DG90" s="184"/>
      <c r="DH90" s="185"/>
      <c r="DI90" s="184"/>
      <c r="DJ90" s="185"/>
      <c r="DK90" s="184"/>
      <c r="DL90" s="185"/>
      <c r="DM90" s="184"/>
      <c r="DN90" s="185"/>
      <c r="DO90" s="184"/>
      <c r="DP90" s="185"/>
      <c r="DQ90" s="184"/>
      <c r="DR90" s="185"/>
      <c r="DS90" s="184"/>
      <c r="DT90" s="185"/>
      <c r="DU90" s="184"/>
      <c r="DV90" s="185"/>
    </row>
    <row r="91" spans="1:126" x14ac:dyDescent="0.2">
      <c r="A91" s="183" t="s">
        <v>953</v>
      </c>
      <c r="B91" s="183" t="s">
        <v>954</v>
      </c>
      <c r="C91" s="184">
        <f t="shared" si="342"/>
        <v>0</v>
      </c>
      <c r="D91" s="185">
        <f t="shared" si="338"/>
        <v>0</v>
      </c>
      <c r="E91" s="184">
        <f t="shared" si="588"/>
        <v>0</v>
      </c>
      <c r="F91" s="185">
        <f t="shared" si="589"/>
        <v>0</v>
      </c>
      <c r="G91" s="184">
        <f t="shared" si="442"/>
        <v>0</v>
      </c>
      <c r="H91" s="185">
        <f t="shared" si="442"/>
        <v>0</v>
      </c>
      <c r="I91" s="184"/>
      <c r="J91" s="185"/>
      <c r="K91" s="184"/>
      <c r="L91" s="185"/>
      <c r="M91" s="184"/>
      <c r="N91" s="185"/>
      <c r="O91" s="184"/>
      <c r="P91" s="185"/>
      <c r="Q91" s="184"/>
      <c r="R91" s="185"/>
      <c r="S91" s="184"/>
      <c r="T91" s="185"/>
      <c r="U91" s="184"/>
      <c r="V91" s="185"/>
      <c r="W91" s="184"/>
      <c r="X91" s="185"/>
      <c r="Y91" s="184"/>
      <c r="Z91" s="185"/>
      <c r="AA91" s="184"/>
      <c r="AB91" s="185"/>
      <c r="AC91" s="184"/>
      <c r="AD91" s="185"/>
      <c r="AE91" s="184"/>
      <c r="AF91" s="185"/>
      <c r="AG91" s="184"/>
      <c r="AH91" s="185"/>
      <c r="AI91" s="184"/>
      <c r="AJ91" s="185"/>
      <c r="AK91" s="184"/>
      <c r="AL91" s="185"/>
      <c r="AM91" s="184"/>
      <c r="AN91" s="185"/>
      <c r="AO91" s="184"/>
      <c r="AP91" s="185"/>
      <c r="AQ91" s="184"/>
      <c r="AR91" s="185"/>
      <c r="AS91" s="184"/>
      <c r="AT91" s="185"/>
      <c r="AU91" s="184"/>
      <c r="AV91" s="185"/>
      <c r="AW91" s="184"/>
      <c r="AX91" s="185"/>
      <c r="AY91" s="184"/>
      <c r="AZ91" s="185"/>
      <c r="BA91" s="184"/>
      <c r="BB91" s="185"/>
      <c r="BC91" s="184"/>
      <c r="BD91" s="185"/>
      <c r="BE91" s="184"/>
      <c r="BF91" s="185"/>
      <c r="BG91" s="184"/>
      <c r="BH91" s="185"/>
      <c r="BI91" s="184"/>
      <c r="BJ91" s="185"/>
      <c r="BK91" s="184"/>
      <c r="BL91" s="185"/>
      <c r="BM91" s="184"/>
      <c r="BN91" s="185"/>
      <c r="BO91" s="184"/>
      <c r="BP91" s="185"/>
      <c r="BQ91" s="184"/>
      <c r="BR91" s="185"/>
      <c r="BS91" s="184"/>
      <c r="BT91" s="185"/>
      <c r="BU91" s="184"/>
      <c r="BV91" s="185"/>
      <c r="BW91" s="184"/>
      <c r="BX91" s="185"/>
      <c r="BY91" s="184"/>
      <c r="BZ91" s="185"/>
      <c r="CA91" s="184"/>
      <c r="CB91" s="185"/>
      <c r="CC91" s="184"/>
      <c r="CD91" s="185"/>
      <c r="CE91" s="184"/>
      <c r="CF91" s="185"/>
      <c r="CG91" s="184"/>
      <c r="CH91" s="185"/>
      <c r="CI91" s="184"/>
      <c r="CJ91" s="185"/>
      <c r="CK91" s="184"/>
      <c r="CL91" s="185"/>
      <c r="CM91" s="184"/>
      <c r="CN91" s="185"/>
      <c r="CO91" s="184"/>
      <c r="CP91" s="185"/>
      <c r="CQ91" s="184"/>
      <c r="CR91" s="185"/>
      <c r="CS91" s="184"/>
      <c r="CT91" s="185"/>
      <c r="CU91" s="184"/>
      <c r="CV91" s="185"/>
      <c r="CW91" s="184"/>
      <c r="CX91" s="185"/>
      <c r="CY91" s="184"/>
      <c r="CZ91" s="185"/>
      <c r="DA91" s="184"/>
      <c r="DB91" s="185"/>
      <c r="DC91" s="184"/>
      <c r="DD91" s="185"/>
      <c r="DE91" s="184"/>
      <c r="DF91" s="185"/>
      <c r="DG91" s="184"/>
      <c r="DH91" s="185"/>
      <c r="DI91" s="184"/>
      <c r="DJ91" s="185"/>
      <c r="DK91" s="184"/>
      <c r="DL91" s="185"/>
      <c r="DM91" s="184"/>
      <c r="DN91" s="185"/>
      <c r="DO91" s="184"/>
      <c r="DP91" s="185"/>
      <c r="DQ91" s="184"/>
      <c r="DR91" s="185"/>
      <c r="DS91" s="184"/>
      <c r="DT91" s="185"/>
      <c r="DU91" s="184"/>
      <c r="DV91" s="185"/>
    </row>
    <row r="92" spans="1:126" x14ac:dyDescent="0.2">
      <c r="A92" s="183" t="s">
        <v>955</v>
      </c>
      <c r="B92" s="183" t="s">
        <v>956</v>
      </c>
      <c r="C92" s="184">
        <f t="shared" si="342"/>
        <v>0</v>
      </c>
      <c r="D92" s="185">
        <f t="shared" si="338"/>
        <v>0</v>
      </c>
      <c r="E92" s="184">
        <f t="shared" si="588"/>
        <v>0</v>
      </c>
      <c r="F92" s="185">
        <f t="shared" si="589"/>
        <v>0</v>
      </c>
      <c r="G92" s="184">
        <f t="shared" si="442"/>
        <v>0</v>
      </c>
      <c r="H92" s="185">
        <f t="shared" si="442"/>
        <v>0</v>
      </c>
      <c r="I92" s="184"/>
      <c r="J92" s="185"/>
      <c r="K92" s="184"/>
      <c r="L92" s="185"/>
      <c r="M92" s="184"/>
      <c r="N92" s="185"/>
      <c r="O92" s="184"/>
      <c r="P92" s="185"/>
      <c r="Q92" s="184"/>
      <c r="R92" s="185"/>
      <c r="S92" s="184"/>
      <c r="T92" s="185"/>
      <c r="U92" s="184"/>
      <c r="V92" s="185"/>
      <c r="W92" s="184"/>
      <c r="X92" s="185"/>
      <c r="Y92" s="184"/>
      <c r="Z92" s="185"/>
      <c r="AA92" s="184"/>
      <c r="AB92" s="185"/>
      <c r="AC92" s="184"/>
      <c r="AD92" s="185"/>
      <c r="AE92" s="184"/>
      <c r="AF92" s="185"/>
      <c r="AG92" s="184"/>
      <c r="AH92" s="185"/>
      <c r="AI92" s="184"/>
      <c r="AJ92" s="185"/>
      <c r="AK92" s="184"/>
      <c r="AL92" s="185"/>
      <c r="AM92" s="184"/>
      <c r="AN92" s="185"/>
      <c r="AO92" s="184"/>
      <c r="AP92" s="185"/>
      <c r="AQ92" s="184"/>
      <c r="AR92" s="185"/>
      <c r="AS92" s="184"/>
      <c r="AT92" s="185"/>
      <c r="AU92" s="184"/>
      <c r="AV92" s="185"/>
      <c r="AW92" s="184"/>
      <c r="AX92" s="185"/>
      <c r="AY92" s="184"/>
      <c r="AZ92" s="185"/>
      <c r="BA92" s="184"/>
      <c r="BB92" s="185"/>
      <c r="BC92" s="184"/>
      <c r="BD92" s="185"/>
      <c r="BE92" s="184"/>
      <c r="BF92" s="185"/>
      <c r="BG92" s="184"/>
      <c r="BH92" s="185"/>
      <c r="BI92" s="184"/>
      <c r="BJ92" s="185"/>
      <c r="BK92" s="184"/>
      <c r="BL92" s="185"/>
      <c r="BM92" s="184"/>
      <c r="BN92" s="185"/>
      <c r="BO92" s="184"/>
      <c r="BP92" s="185"/>
      <c r="BQ92" s="184"/>
      <c r="BR92" s="185"/>
      <c r="BS92" s="184"/>
      <c r="BT92" s="185"/>
      <c r="BU92" s="184"/>
      <c r="BV92" s="185"/>
      <c r="BW92" s="184"/>
      <c r="BX92" s="185"/>
      <c r="BY92" s="184"/>
      <c r="BZ92" s="185"/>
      <c r="CA92" s="184"/>
      <c r="CB92" s="185"/>
      <c r="CC92" s="184"/>
      <c r="CD92" s="185"/>
      <c r="CE92" s="184"/>
      <c r="CF92" s="185"/>
      <c r="CG92" s="184"/>
      <c r="CH92" s="185"/>
      <c r="CI92" s="184"/>
      <c r="CJ92" s="185"/>
      <c r="CK92" s="184"/>
      <c r="CL92" s="185"/>
      <c r="CM92" s="184"/>
      <c r="CN92" s="185"/>
      <c r="CO92" s="184"/>
      <c r="CP92" s="185"/>
      <c r="CQ92" s="184"/>
      <c r="CR92" s="185"/>
      <c r="CS92" s="184"/>
      <c r="CT92" s="185"/>
      <c r="CU92" s="184"/>
      <c r="CV92" s="185"/>
      <c r="CW92" s="184"/>
      <c r="CX92" s="185"/>
      <c r="CY92" s="184"/>
      <c r="CZ92" s="185"/>
      <c r="DA92" s="184"/>
      <c r="DB92" s="185"/>
      <c r="DC92" s="184"/>
      <c r="DD92" s="185"/>
      <c r="DE92" s="184"/>
      <c r="DF92" s="185"/>
      <c r="DG92" s="184"/>
      <c r="DH92" s="185"/>
      <c r="DI92" s="184"/>
      <c r="DJ92" s="185"/>
      <c r="DK92" s="184"/>
      <c r="DL92" s="185"/>
      <c r="DM92" s="184"/>
      <c r="DN92" s="185"/>
      <c r="DO92" s="184"/>
      <c r="DP92" s="185"/>
      <c r="DQ92" s="184"/>
      <c r="DR92" s="185"/>
      <c r="DS92" s="184"/>
      <c r="DT92" s="185"/>
      <c r="DU92" s="184"/>
      <c r="DV92" s="185"/>
    </row>
    <row r="93" spans="1:126" x14ac:dyDescent="0.2">
      <c r="A93" s="183" t="s">
        <v>957</v>
      </c>
      <c r="B93" s="183" t="s">
        <v>958</v>
      </c>
      <c r="C93" s="184">
        <f t="shared" si="342"/>
        <v>0</v>
      </c>
      <c r="D93" s="185">
        <f t="shared" si="338"/>
        <v>0</v>
      </c>
      <c r="E93" s="184">
        <f t="shared" si="588"/>
        <v>0</v>
      </c>
      <c r="F93" s="185">
        <f t="shared" si="589"/>
        <v>0</v>
      </c>
      <c r="G93" s="184">
        <f t="shared" si="442"/>
        <v>0</v>
      </c>
      <c r="H93" s="185">
        <f t="shared" si="442"/>
        <v>0</v>
      </c>
      <c r="I93" s="184"/>
      <c r="J93" s="185"/>
      <c r="K93" s="184"/>
      <c r="L93" s="185"/>
      <c r="M93" s="184"/>
      <c r="N93" s="185"/>
      <c r="O93" s="184"/>
      <c r="P93" s="185"/>
      <c r="Q93" s="184"/>
      <c r="R93" s="185"/>
      <c r="S93" s="184"/>
      <c r="T93" s="185"/>
      <c r="U93" s="184"/>
      <c r="V93" s="185"/>
      <c r="W93" s="184"/>
      <c r="X93" s="185"/>
      <c r="Y93" s="184"/>
      <c r="Z93" s="185"/>
      <c r="AA93" s="184"/>
      <c r="AB93" s="185"/>
      <c r="AC93" s="184"/>
      <c r="AD93" s="185"/>
      <c r="AE93" s="184"/>
      <c r="AF93" s="185"/>
      <c r="AG93" s="184"/>
      <c r="AH93" s="185"/>
      <c r="AI93" s="184"/>
      <c r="AJ93" s="185"/>
      <c r="AK93" s="184"/>
      <c r="AL93" s="185"/>
      <c r="AM93" s="184"/>
      <c r="AN93" s="185"/>
      <c r="AO93" s="184"/>
      <c r="AP93" s="185"/>
      <c r="AQ93" s="184"/>
      <c r="AR93" s="185"/>
      <c r="AS93" s="184"/>
      <c r="AT93" s="185"/>
      <c r="AU93" s="184"/>
      <c r="AV93" s="185"/>
      <c r="AW93" s="184"/>
      <c r="AX93" s="185"/>
      <c r="AY93" s="184"/>
      <c r="AZ93" s="185"/>
      <c r="BA93" s="184"/>
      <c r="BB93" s="185"/>
      <c r="BC93" s="184"/>
      <c r="BD93" s="185"/>
      <c r="BE93" s="184"/>
      <c r="BF93" s="185"/>
      <c r="BG93" s="184"/>
      <c r="BH93" s="185"/>
      <c r="BI93" s="184"/>
      <c r="BJ93" s="185"/>
      <c r="BK93" s="184"/>
      <c r="BL93" s="185"/>
      <c r="BM93" s="184"/>
      <c r="BN93" s="185"/>
      <c r="BO93" s="184"/>
      <c r="BP93" s="185"/>
      <c r="BQ93" s="184"/>
      <c r="BR93" s="185"/>
      <c r="BS93" s="184"/>
      <c r="BT93" s="185"/>
      <c r="BU93" s="184"/>
      <c r="BV93" s="185"/>
      <c r="BW93" s="184"/>
      <c r="BX93" s="185"/>
      <c r="BY93" s="184"/>
      <c r="BZ93" s="185"/>
      <c r="CA93" s="184"/>
      <c r="CB93" s="185"/>
      <c r="CC93" s="184"/>
      <c r="CD93" s="185"/>
      <c r="CE93" s="184"/>
      <c r="CF93" s="185"/>
      <c r="CG93" s="184"/>
      <c r="CH93" s="185"/>
      <c r="CI93" s="184"/>
      <c r="CJ93" s="185"/>
      <c r="CK93" s="184"/>
      <c r="CL93" s="185"/>
      <c r="CM93" s="184"/>
      <c r="CN93" s="185"/>
      <c r="CO93" s="184"/>
      <c r="CP93" s="185"/>
      <c r="CQ93" s="184"/>
      <c r="CR93" s="185"/>
      <c r="CS93" s="184"/>
      <c r="CT93" s="185"/>
      <c r="CU93" s="184"/>
      <c r="CV93" s="185"/>
      <c r="CW93" s="184"/>
      <c r="CX93" s="185"/>
      <c r="CY93" s="184"/>
      <c r="CZ93" s="185"/>
      <c r="DA93" s="184"/>
      <c r="DB93" s="185"/>
      <c r="DC93" s="184"/>
      <c r="DD93" s="185"/>
      <c r="DE93" s="184"/>
      <c r="DF93" s="185"/>
      <c r="DG93" s="184"/>
      <c r="DH93" s="185"/>
      <c r="DI93" s="184"/>
      <c r="DJ93" s="185"/>
      <c r="DK93" s="184"/>
      <c r="DL93" s="185"/>
      <c r="DM93" s="184"/>
      <c r="DN93" s="185"/>
      <c r="DO93" s="184"/>
      <c r="DP93" s="185"/>
      <c r="DQ93" s="184"/>
      <c r="DR93" s="185"/>
      <c r="DS93" s="184"/>
      <c r="DT93" s="185"/>
      <c r="DU93" s="184"/>
      <c r="DV93" s="185"/>
    </row>
    <row r="94" spans="1:126" x14ac:dyDescent="0.2">
      <c r="A94" s="183" t="s">
        <v>959</v>
      </c>
      <c r="B94" s="183" t="s">
        <v>960</v>
      </c>
      <c r="C94" s="184">
        <f t="shared" si="342"/>
        <v>0</v>
      </c>
      <c r="D94" s="185">
        <f t="shared" si="338"/>
        <v>0</v>
      </c>
      <c r="E94" s="184">
        <f t="shared" si="588"/>
        <v>0</v>
      </c>
      <c r="F94" s="185">
        <f t="shared" si="589"/>
        <v>0</v>
      </c>
      <c r="G94" s="184">
        <f t="shared" si="442"/>
        <v>0</v>
      </c>
      <c r="H94" s="185">
        <f t="shared" si="442"/>
        <v>0</v>
      </c>
      <c r="I94" s="184"/>
      <c r="J94" s="185"/>
      <c r="K94" s="184"/>
      <c r="L94" s="185"/>
      <c r="M94" s="184"/>
      <c r="N94" s="185"/>
      <c r="O94" s="184"/>
      <c r="P94" s="185"/>
      <c r="Q94" s="184"/>
      <c r="R94" s="185"/>
      <c r="S94" s="184"/>
      <c r="T94" s="185"/>
      <c r="U94" s="184"/>
      <c r="V94" s="185"/>
      <c r="W94" s="184"/>
      <c r="X94" s="185"/>
      <c r="Y94" s="184"/>
      <c r="Z94" s="185"/>
      <c r="AA94" s="184"/>
      <c r="AB94" s="185"/>
      <c r="AC94" s="184"/>
      <c r="AD94" s="185"/>
      <c r="AE94" s="184"/>
      <c r="AF94" s="185"/>
      <c r="AG94" s="184"/>
      <c r="AH94" s="185"/>
      <c r="AI94" s="184"/>
      <c r="AJ94" s="185"/>
      <c r="AK94" s="184"/>
      <c r="AL94" s="185"/>
      <c r="AM94" s="184"/>
      <c r="AN94" s="185"/>
      <c r="AO94" s="184"/>
      <c r="AP94" s="185"/>
      <c r="AQ94" s="184"/>
      <c r="AR94" s="185"/>
      <c r="AS94" s="184"/>
      <c r="AT94" s="185"/>
      <c r="AU94" s="184"/>
      <c r="AV94" s="185"/>
      <c r="AW94" s="184"/>
      <c r="AX94" s="185"/>
      <c r="AY94" s="184"/>
      <c r="AZ94" s="185"/>
      <c r="BA94" s="184"/>
      <c r="BB94" s="185"/>
      <c r="BC94" s="184"/>
      <c r="BD94" s="185"/>
      <c r="BE94" s="184"/>
      <c r="BF94" s="185"/>
      <c r="BG94" s="184"/>
      <c r="BH94" s="185"/>
      <c r="BI94" s="184"/>
      <c r="BJ94" s="185"/>
      <c r="BK94" s="184"/>
      <c r="BL94" s="185"/>
      <c r="BM94" s="184"/>
      <c r="BN94" s="185"/>
      <c r="BO94" s="184"/>
      <c r="BP94" s="185"/>
      <c r="BQ94" s="184"/>
      <c r="BR94" s="185"/>
      <c r="BS94" s="184"/>
      <c r="BT94" s="185"/>
      <c r="BU94" s="184"/>
      <c r="BV94" s="185"/>
      <c r="BW94" s="184"/>
      <c r="BX94" s="185"/>
      <c r="BY94" s="184"/>
      <c r="BZ94" s="185"/>
      <c r="CA94" s="184"/>
      <c r="CB94" s="185"/>
      <c r="CC94" s="184"/>
      <c r="CD94" s="185"/>
      <c r="CE94" s="184"/>
      <c r="CF94" s="185"/>
      <c r="CG94" s="184"/>
      <c r="CH94" s="185"/>
      <c r="CI94" s="184"/>
      <c r="CJ94" s="185"/>
      <c r="CK94" s="184"/>
      <c r="CL94" s="185"/>
      <c r="CM94" s="184"/>
      <c r="CN94" s="185"/>
      <c r="CO94" s="184"/>
      <c r="CP94" s="185"/>
      <c r="CQ94" s="184"/>
      <c r="CR94" s="185"/>
      <c r="CS94" s="184"/>
      <c r="CT94" s="185"/>
      <c r="CU94" s="184"/>
      <c r="CV94" s="185"/>
      <c r="CW94" s="184"/>
      <c r="CX94" s="185"/>
      <c r="CY94" s="184"/>
      <c r="CZ94" s="185"/>
      <c r="DA94" s="184"/>
      <c r="DB94" s="185"/>
      <c r="DC94" s="184"/>
      <c r="DD94" s="185"/>
      <c r="DE94" s="184"/>
      <c r="DF94" s="185"/>
      <c r="DG94" s="184"/>
      <c r="DH94" s="185"/>
      <c r="DI94" s="184"/>
      <c r="DJ94" s="185"/>
      <c r="DK94" s="184"/>
      <c r="DL94" s="185"/>
      <c r="DM94" s="184"/>
      <c r="DN94" s="185"/>
      <c r="DO94" s="184"/>
      <c r="DP94" s="185"/>
      <c r="DQ94" s="184"/>
      <c r="DR94" s="185"/>
      <c r="DS94" s="184"/>
      <c r="DT94" s="185"/>
      <c r="DU94" s="184"/>
      <c r="DV94" s="185"/>
    </row>
    <row r="95" spans="1:126" x14ac:dyDescent="0.2">
      <c r="A95" s="183" t="s">
        <v>961</v>
      </c>
      <c r="B95" s="183" t="s">
        <v>962</v>
      </c>
      <c r="C95" s="184">
        <f t="shared" si="342"/>
        <v>0</v>
      </c>
      <c r="D95" s="185">
        <f t="shared" si="338"/>
        <v>0</v>
      </c>
      <c r="E95" s="184">
        <f t="shared" si="588"/>
        <v>0</v>
      </c>
      <c r="F95" s="185">
        <f t="shared" si="589"/>
        <v>0</v>
      </c>
      <c r="G95" s="184">
        <f t="shared" si="442"/>
        <v>0</v>
      </c>
      <c r="H95" s="185">
        <f t="shared" si="442"/>
        <v>0</v>
      </c>
      <c r="I95" s="184"/>
      <c r="J95" s="185"/>
      <c r="K95" s="184"/>
      <c r="L95" s="185"/>
      <c r="M95" s="184"/>
      <c r="N95" s="185"/>
      <c r="O95" s="184"/>
      <c r="P95" s="185"/>
      <c r="Q95" s="184"/>
      <c r="R95" s="185"/>
      <c r="S95" s="184"/>
      <c r="T95" s="185"/>
      <c r="U95" s="184"/>
      <c r="V95" s="185"/>
      <c r="W95" s="184"/>
      <c r="X95" s="185"/>
      <c r="Y95" s="184"/>
      <c r="Z95" s="185"/>
      <c r="AA95" s="184"/>
      <c r="AB95" s="185"/>
      <c r="AC95" s="184"/>
      <c r="AD95" s="185"/>
      <c r="AE95" s="184"/>
      <c r="AF95" s="185"/>
      <c r="AG95" s="184"/>
      <c r="AH95" s="185"/>
      <c r="AI95" s="184"/>
      <c r="AJ95" s="185"/>
      <c r="AK95" s="184"/>
      <c r="AL95" s="185"/>
      <c r="AM95" s="184"/>
      <c r="AN95" s="185"/>
      <c r="AO95" s="184"/>
      <c r="AP95" s="185"/>
      <c r="AQ95" s="184"/>
      <c r="AR95" s="185"/>
      <c r="AS95" s="184"/>
      <c r="AT95" s="185"/>
      <c r="AU95" s="184"/>
      <c r="AV95" s="185"/>
      <c r="AW95" s="184"/>
      <c r="AX95" s="185"/>
      <c r="AY95" s="184"/>
      <c r="AZ95" s="185"/>
      <c r="BA95" s="184"/>
      <c r="BB95" s="185"/>
      <c r="BC95" s="184"/>
      <c r="BD95" s="185"/>
      <c r="BE95" s="184"/>
      <c r="BF95" s="185"/>
      <c r="BG95" s="184"/>
      <c r="BH95" s="185"/>
      <c r="BI95" s="184"/>
      <c r="BJ95" s="185"/>
      <c r="BK95" s="184"/>
      <c r="BL95" s="185"/>
      <c r="BM95" s="184"/>
      <c r="BN95" s="185"/>
      <c r="BO95" s="184"/>
      <c r="BP95" s="185"/>
      <c r="BQ95" s="184"/>
      <c r="BR95" s="185"/>
      <c r="BS95" s="184"/>
      <c r="BT95" s="185"/>
      <c r="BU95" s="184"/>
      <c r="BV95" s="185"/>
      <c r="BW95" s="184"/>
      <c r="BX95" s="185"/>
      <c r="BY95" s="184"/>
      <c r="BZ95" s="185"/>
      <c r="CA95" s="184"/>
      <c r="CB95" s="185"/>
      <c r="CC95" s="184"/>
      <c r="CD95" s="185"/>
      <c r="CE95" s="184"/>
      <c r="CF95" s="185"/>
      <c r="CG95" s="184"/>
      <c r="CH95" s="185"/>
      <c r="CI95" s="184"/>
      <c r="CJ95" s="185"/>
      <c r="CK95" s="184"/>
      <c r="CL95" s="185"/>
      <c r="CM95" s="184"/>
      <c r="CN95" s="185"/>
      <c r="CO95" s="184"/>
      <c r="CP95" s="185"/>
      <c r="CQ95" s="184"/>
      <c r="CR95" s="185"/>
      <c r="CS95" s="184"/>
      <c r="CT95" s="185"/>
      <c r="CU95" s="184"/>
      <c r="CV95" s="185"/>
      <c r="CW95" s="184"/>
      <c r="CX95" s="185"/>
      <c r="CY95" s="184"/>
      <c r="CZ95" s="185"/>
      <c r="DA95" s="184"/>
      <c r="DB95" s="185"/>
      <c r="DC95" s="184"/>
      <c r="DD95" s="185"/>
      <c r="DE95" s="184"/>
      <c r="DF95" s="185"/>
      <c r="DG95" s="184"/>
      <c r="DH95" s="185"/>
      <c r="DI95" s="184"/>
      <c r="DJ95" s="185"/>
      <c r="DK95" s="184"/>
      <c r="DL95" s="185"/>
      <c r="DM95" s="184"/>
      <c r="DN95" s="185"/>
      <c r="DO95" s="184"/>
      <c r="DP95" s="185"/>
      <c r="DQ95" s="184"/>
      <c r="DR95" s="185"/>
      <c r="DS95" s="184"/>
      <c r="DT95" s="185"/>
      <c r="DU95" s="184"/>
      <c r="DV95" s="185"/>
    </row>
    <row r="96" spans="1:126" x14ac:dyDescent="0.2">
      <c r="A96" s="183" t="s">
        <v>963</v>
      </c>
      <c r="B96" s="183" t="s">
        <v>964</v>
      </c>
      <c r="C96" s="184">
        <f t="shared" si="342"/>
        <v>0</v>
      </c>
      <c r="D96" s="185">
        <f t="shared" si="338"/>
        <v>0</v>
      </c>
      <c r="E96" s="184">
        <f t="shared" si="588"/>
        <v>0</v>
      </c>
      <c r="F96" s="185">
        <f t="shared" si="589"/>
        <v>0</v>
      </c>
      <c r="G96" s="184">
        <f t="shared" si="442"/>
        <v>0</v>
      </c>
      <c r="H96" s="185">
        <f t="shared" si="442"/>
        <v>0</v>
      </c>
      <c r="I96" s="184"/>
      <c r="J96" s="185"/>
      <c r="K96" s="184"/>
      <c r="L96" s="185"/>
      <c r="M96" s="184"/>
      <c r="N96" s="185"/>
      <c r="O96" s="184"/>
      <c r="P96" s="185"/>
      <c r="Q96" s="184"/>
      <c r="R96" s="185"/>
      <c r="S96" s="184"/>
      <c r="T96" s="185"/>
      <c r="U96" s="184"/>
      <c r="V96" s="185"/>
      <c r="W96" s="184"/>
      <c r="X96" s="185"/>
      <c r="Y96" s="184"/>
      <c r="Z96" s="185"/>
      <c r="AA96" s="184"/>
      <c r="AB96" s="185"/>
      <c r="AC96" s="184"/>
      <c r="AD96" s="185"/>
      <c r="AE96" s="184"/>
      <c r="AF96" s="185"/>
      <c r="AG96" s="184"/>
      <c r="AH96" s="185"/>
      <c r="AI96" s="184"/>
      <c r="AJ96" s="185"/>
      <c r="AK96" s="184"/>
      <c r="AL96" s="185"/>
      <c r="AM96" s="184"/>
      <c r="AN96" s="185"/>
      <c r="AO96" s="184"/>
      <c r="AP96" s="185"/>
      <c r="AQ96" s="184"/>
      <c r="AR96" s="185"/>
      <c r="AS96" s="184"/>
      <c r="AT96" s="185"/>
      <c r="AU96" s="184"/>
      <c r="AV96" s="185"/>
      <c r="AW96" s="184"/>
      <c r="AX96" s="185"/>
      <c r="AY96" s="184"/>
      <c r="AZ96" s="185"/>
      <c r="BA96" s="184"/>
      <c r="BB96" s="185"/>
      <c r="BC96" s="184"/>
      <c r="BD96" s="185"/>
      <c r="BE96" s="184"/>
      <c r="BF96" s="185"/>
      <c r="BG96" s="184"/>
      <c r="BH96" s="185"/>
      <c r="BI96" s="184"/>
      <c r="BJ96" s="185"/>
      <c r="BK96" s="184"/>
      <c r="BL96" s="185"/>
      <c r="BM96" s="184"/>
      <c r="BN96" s="185"/>
      <c r="BO96" s="184"/>
      <c r="BP96" s="185"/>
      <c r="BQ96" s="184"/>
      <c r="BR96" s="185"/>
      <c r="BS96" s="184"/>
      <c r="BT96" s="185"/>
      <c r="BU96" s="184"/>
      <c r="BV96" s="185"/>
      <c r="BW96" s="184"/>
      <c r="BX96" s="185"/>
      <c r="BY96" s="184"/>
      <c r="BZ96" s="185"/>
      <c r="CA96" s="184"/>
      <c r="CB96" s="185"/>
      <c r="CC96" s="184"/>
      <c r="CD96" s="185"/>
      <c r="CE96" s="184"/>
      <c r="CF96" s="185"/>
      <c r="CG96" s="184"/>
      <c r="CH96" s="185"/>
      <c r="CI96" s="184"/>
      <c r="CJ96" s="185"/>
      <c r="CK96" s="184"/>
      <c r="CL96" s="185"/>
      <c r="CM96" s="184"/>
      <c r="CN96" s="185"/>
      <c r="CO96" s="184"/>
      <c r="CP96" s="185"/>
      <c r="CQ96" s="184"/>
      <c r="CR96" s="185"/>
      <c r="CS96" s="184"/>
      <c r="CT96" s="185"/>
      <c r="CU96" s="184"/>
      <c r="CV96" s="185"/>
      <c r="CW96" s="184"/>
      <c r="CX96" s="185"/>
      <c r="CY96" s="184"/>
      <c r="CZ96" s="185"/>
      <c r="DA96" s="184"/>
      <c r="DB96" s="185"/>
      <c r="DC96" s="184"/>
      <c r="DD96" s="185"/>
      <c r="DE96" s="184"/>
      <c r="DF96" s="185"/>
      <c r="DG96" s="184"/>
      <c r="DH96" s="185"/>
      <c r="DI96" s="184"/>
      <c r="DJ96" s="185"/>
      <c r="DK96" s="184"/>
      <c r="DL96" s="185"/>
      <c r="DM96" s="184"/>
      <c r="DN96" s="185"/>
      <c r="DO96" s="184"/>
      <c r="DP96" s="185"/>
      <c r="DQ96" s="184"/>
      <c r="DR96" s="185"/>
      <c r="DS96" s="184"/>
      <c r="DT96" s="185"/>
      <c r="DU96" s="184"/>
      <c r="DV96" s="185"/>
    </row>
    <row r="97" spans="1:126" x14ac:dyDescent="0.2">
      <c r="A97" s="183" t="s">
        <v>965</v>
      </c>
      <c r="B97" s="183" t="s">
        <v>760</v>
      </c>
      <c r="C97" s="184">
        <f t="shared" si="342"/>
        <v>0</v>
      </c>
      <c r="D97" s="185">
        <f t="shared" si="338"/>
        <v>0</v>
      </c>
      <c r="E97" s="184">
        <f t="shared" si="588"/>
        <v>0</v>
      </c>
      <c r="F97" s="185">
        <f t="shared" si="589"/>
        <v>0</v>
      </c>
      <c r="G97" s="184">
        <f t="shared" si="442"/>
        <v>0</v>
      </c>
      <c r="H97" s="185">
        <f t="shared" si="442"/>
        <v>0</v>
      </c>
      <c r="I97" s="184"/>
      <c r="J97" s="185"/>
      <c r="K97" s="184"/>
      <c r="L97" s="185"/>
      <c r="M97" s="184"/>
      <c r="N97" s="185"/>
      <c r="O97" s="184"/>
      <c r="P97" s="185"/>
      <c r="Q97" s="184"/>
      <c r="R97" s="185"/>
      <c r="S97" s="184"/>
      <c r="T97" s="185"/>
      <c r="U97" s="184"/>
      <c r="V97" s="185"/>
      <c r="W97" s="184"/>
      <c r="X97" s="185"/>
      <c r="Y97" s="184"/>
      <c r="Z97" s="185"/>
      <c r="AA97" s="184"/>
      <c r="AB97" s="185"/>
      <c r="AC97" s="184"/>
      <c r="AD97" s="185"/>
      <c r="AE97" s="184"/>
      <c r="AF97" s="185"/>
      <c r="AG97" s="184"/>
      <c r="AH97" s="185"/>
      <c r="AI97" s="184"/>
      <c r="AJ97" s="185"/>
      <c r="AK97" s="184"/>
      <c r="AL97" s="185"/>
      <c r="AM97" s="184"/>
      <c r="AN97" s="185"/>
      <c r="AO97" s="184"/>
      <c r="AP97" s="185"/>
      <c r="AQ97" s="184"/>
      <c r="AR97" s="185"/>
      <c r="AS97" s="184"/>
      <c r="AT97" s="185"/>
      <c r="AU97" s="184"/>
      <c r="AV97" s="185"/>
      <c r="AW97" s="184"/>
      <c r="AX97" s="185"/>
      <c r="AY97" s="184"/>
      <c r="AZ97" s="185"/>
      <c r="BA97" s="184"/>
      <c r="BB97" s="185"/>
      <c r="BC97" s="184"/>
      <c r="BD97" s="185"/>
      <c r="BE97" s="184"/>
      <c r="BF97" s="185"/>
      <c r="BG97" s="184"/>
      <c r="BH97" s="185"/>
      <c r="BI97" s="184"/>
      <c r="BJ97" s="185"/>
      <c r="BK97" s="184"/>
      <c r="BL97" s="185"/>
      <c r="BM97" s="184"/>
      <c r="BN97" s="185"/>
      <c r="BO97" s="184"/>
      <c r="BP97" s="185"/>
      <c r="BQ97" s="184"/>
      <c r="BR97" s="185"/>
      <c r="BS97" s="184"/>
      <c r="BT97" s="185"/>
      <c r="BU97" s="184"/>
      <c r="BV97" s="185"/>
      <c r="BW97" s="184"/>
      <c r="BX97" s="185"/>
      <c r="BY97" s="184"/>
      <c r="BZ97" s="185"/>
      <c r="CA97" s="184"/>
      <c r="CB97" s="185"/>
      <c r="CC97" s="184"/>
      <c r="CD97" s="185"/>
      <c r="CE97" s="184"/>
      <c r="CF97" s="185"/>
      <c r="CG97" s="184"/>
      <c r="CH97" s="185"/>
      <c r="CI97" s="184"/>
      <c r="CJ97" s="185"/>
      <c r="CK97" s="184"/>
      <c r="CL97" s="185"/>
      <c r="CM97" s="184"/>
      <c r="CN97" s="185"/>
      <c r="CO97" s="184"/>
      <c r="CP97" s="185"/>
      <c r="CQ97" s="184"/>
      <c r="CR97" s="185"/>
      <c r="CS97" s="184"/>
      <c r="CT97" s="185"/>
      <c r="CU97" s="184"/>
      <c r="CV97" s="185"/>
      <c r="CW97" s="184"/>
      <c r="CX97" s="185"/>
      <c r="CY97" s="184"/>
      <c r="CZ97" s="185"/>
      <c r="DA97" s="184"/>
      <c r="DB97" s="185"/>
      <c r="DC97" s="184"/>
      <c r="DD97" s="185"/>
      <c r="DE97" s="184"/>
      <c r="DF97" s="185"/>
      <c r="DG97" s="184"/>
      <c r="DH97" s="185"/>
      <c r="DI97" s="184"/>
      <c r="DJ97" s="185"/>
      <c r="DK97" s="184"/>
      <c r="DL97" s="185"/>
      <c r="DM97" s="184"/>
      <c r="DN97" s="185"/>
      <c r="DO97" s="184"/>
      <c r="DP97" s="185"/>
      <c r="DQ97" s="184"/>
      <c r="DR97" s="185"/>
      <c r="DS97" s="184"/>
      <c r="DT97" s="185"/>
      <c r="DU97" s="184"/>
      <c r="DV97" s="185"/>
    </row>
    <row r="98" spans="1:126" x14ac:dyDescent="0.2">
      <c r="A98" s="183" t="s">
        <v>966</v>
      </c>
      <c r="B98" s="183" t="s">
        <v>967</v>
      </c>
      <c r="C98" s="184" t="e">
        <f t="shared" si="342"/>
        <v>#REF!</v>
      </c>
      <c r="D98" s="185" t="e">
        <f t="shared" si="338"/>
        <v>#REF!</v>
      </c>
      <c r="E98" s="184">
        <f t="shared" si="588"/>
        <v>0</v>
      </c>
      <c r="F98" s="185">
        <f t="shared" si="589"/>
        <v>0</v>
      </c>
      <c r="G98" s="184">
        <f t="shared" si="442"/>
        <v>0</v>
      </c>
      <c r="H98" s="185">
        <f t="shared" si="442"/>
        <v>0</v>
      </c>
      <c r="I98" s="184">
        <f>'[3]2B Önk kiad'!D36</f>
        <v>2312651</v>
      </c>
      <c r="J98" s="185" t="e">
        <f>'3A PH'!#REF!+'4H VG bev kiad'!#REF!+'4A Walla'!#REF!+'4B Nyitnikék'!#REF!+'4C Bóbita'!#REF!+'4D MMMH'!#REF!+'4E Könyvtár'!#REF!+'4F Segítő Kéz'!#REF!</f>
        <v>#REF!</v>
      </c>
      <c r="K98" s="184"/>
      <c r="L98" s="185"/>
      <c r="M98" s="184"/>
      <c r="N98" s="185"/>
      <c r="O98" s="184"/>
      <c r="P98" s="185"/>
      <c r="Q98" s="184"/>
      <c r="R98" s="185"/>
      <c r="S98" s="184"/>
      <c r="T98" s="185"/>
      <c r="U98" s="184"/>
      <c r="V98" s="185"/>
      <c r="W98" s="184"/>
      <c r="X98" s="185"/>
      <c r="Y98" s="184"/>
      <c r="Z98" s="185"/>
      <c r="AA98" s="184"/>
      <c r="AB98" s="185"/>
      <c r="AC98" s="184"/>
      <c r="AD98" s="185"/>
      <c r="AE98" s="184"/>
      <c r="AF98" s="185"/>
      <c r="AG98" s="184"/>
      <c r="AH98" s="185"/>
      <c r="AI98" s="184"/>
      <c r="AJ98" s="185"/>
      <c r="AK98" s="184"/>
      <c r="AL98" s="185"/>
      <c r="AM98" s="184"/>
      <c r="AN98" s="185"/>
      <c r="AO98" s="184"/>
      <c r="AP98" s="185"/>
      <c r="AQ98" s="184"/>
      <c r="AR98" s="185"/>
      <c r="AS98" s="184"/>
      <c r="AT98" s="185"/>
      <c r="AU98" s="184"/>
      <c r="AV98" s="185"/>
      <c r="AW98" s="184"/>
      <c r="AX98" s="185"/>
      <c r="AY98" s="184"/>
      <c r="AZ98" s="185"/>
      <c r="BA98" s="184"/>
      <c r="BB98" s="185"/>
      <c r="BC98" s="184"/>
      <c r="BD98" s="185"/>
      <c r="BE98" s="184"/>
      <c r="BF98" s="185"/>
      <c r="BG98" s="184"/>
      <c r="BH98" s="185"/>
      <c r="BI98" s="184"/>
      <c r="BJ98" s="185"/>
      <c r="BK98" s="184"/>
      <c r="BL98" s="185"/>
      <c r="BM98" s="184"/>
      <c r="BN98" s="185"/>
      <c r="BO98" s="184"/>
      <c r="BP98" s="185"/>
      <c r="BQ98" s="184"/>
      <c r="BR98" s="185"/>
      <c r="BS98" s="184"/>
      <c r="BT98" s="185"/>
      <c r="BU98" s="184"/>
      <c r="BV98" s="185"/>
      <c r="BW98" s="184"/>
      <c r="BX98" s="185"/>
      <c r="BY98" s="184"/>
      <c r="BZ98" s="185"/>
      <c r="CA98" s="184"/>
      <c r="CB98" s="185"/>
      <c r="CC98" s="184"/>
      <c r="CD98" s="185"/>
      <c r="CE98" s="184"/>
      <c r="CF98" s="185"/>
      <c r="CG98" s="184"/>
      <c r="CH98" s="185"/>
      <c r="CI98" s="184"/>
      <c r="CJ98" s="185"/>
      <c r="CK98" s="184"/>
      <c r="CL98" s="185"/>
      <c r="CM98" s="184"/>
      <c r="CN98" s="185"/>
      <c r="CO98" s="184"/>
      <c r="CP98" s="185"/>
      <c r="CQ98" s="184"/>
      <c r="CR98" s="185"/>
      <c r="CS98" s="184"/>
      <c r="CT98" s="185"/>
      <c r="CU98" s="184"/>
      <c r="CV98" s="185"/>
      <c r="CW98" s="184"/>
      <c r="CX98" s="185"/>
      <c r="CY98" s="184"/>
      <c r="CZ98" s="185"/>
      <c r="DA98" s="184"/>
      <c r="DB98" s="185"/>
      <c r="DC98" s="184"/>
      <c r="DD98" s="185"/>
      <c r="DE98" s="184"/>
      <c r="DF98" s="185"/>
      <c r="DG98" s="184"/>
      <c r="DH98" s="185"/>
      <c r="DI98" s="184"/>
      <c r="DJ98" s="185"/>
      <c r="DK98" s="184"/>
      <c r="DL98" s="185"/>
      <c r="DM98" s="184"/>
      <c r="DN98" s="185"/>
      <c r="DO98" s="184"/>
      <c r="DP98" s="185"/>
      <c r="DQ98" s="184"/>
      <c r="DR98" s="185"/>
      <c r="DS98" s="184"/>
      <c r="DT98" s="185"/>
      <c r="DU98" s="184"/>
      <c r="DV98" s="185"/>
    </row>
    <row r="99" spans="1:126" x14ac:dyDescent="0.2">
      <c r="A99" s="183" t="s">
        <v>968</v>
      </c>
      <c r="B99" s="183" t="s">
        <v>762</v>
      </c>
      <c r="C99" s="184">
        <f t="shared" si="342"/>
        <v>1050000</v>
      </c>
      <c r="D99" s="185">
        <f t="shared" si="338"/>
        <v>450000</v>
      </c>
      <c r="E99" s="184">
        <f t="shared" si="588"/>
        <v>0</v>
      </c>
      <c r="F99" s="185">
        <f t="shared" si="589"/>
        <v>0</v>
      </c>
      <c r="G99" s="184">
        <f t="shared" si="442"/>
        <v>0</v>
      </c>
      <c r="H99" s="185">
        <f t="shared" si="442"/>
        <v>0</v>
      </c>
      <c r="I99" s="184">
        <v>600000</v>
      </c>
      <c r="J99" s="185">
        <v>450000</v>
      </c>
      <c r="K99" s="184"/>
      <c r="L99" s="185"/>
      <c r="M99" s="184"/>
      <c r="N99" s="185"/>
      <c r="O99" s="184"/>
      <c r="P99" s="185"/>
      <c r="Q99" s="184"/>
      <c r="R99" s="185"/>
      <c r="S99" s="184"/>
      <c r="T99" s="185"/>
      <c r="U99" s="184"/>
      <c r="V99" s="185"/>
      <c r="W99" s="184"/>
      <c r="X99" s="185"/>
      <c r="Y99" s="184"/>
      <c r="Z99" s="185"/>
      <c r="AA99" s="184"/>
      <c r="AB99" s="185"/>
      <c r="AC99" s="184"/>
      <c r="AD99" s="185"/>
      <c r="AE99" s="184"/>
      <c r="AF99" s="185"/>
      <c r="AG99" s="184"/>
      <c r="AH99" s="185"/>
      <c r="AI99" s="184"/>
      <c r="AJ99" s="185"/>
      <c r="AK99" s="184"/>
      <c r="AL99" s="185"/>
      <c r="AM99" s="184"/>
      <c r="AN99" s="185"/>
      <c r="AO99" s="184"/>
      <c r="AP99" s="185"/>
      <c r="AQ99" s="184"/>
      <c r="AR99" s="185"/>
      <c r="AS99" s="184"/>
      <c r="AT99" s="185"/>
      <c r="AU99" s="184"/>
      <c r="AV99" s="185"/>
      <c r="AW99" s="184"/>
      <c r="AX99" s="185"/>
      <c r="AY99" s="184"/>
      <c r="AZ99" s="185"/>
      <c r="BA99" s="184"/>
      <c r="BB99" s="185"/>
      <c r="BC99" s="184"/>
      <c r="BD99" s="185"/>
      <c r="BE99" s="184"/>
      <c r="BF99" s="185"/>
      <c r="BG99" s="184"/>
      <c r="BH99" s="185"/>
      <c r="BI99" s="184"/>
      <c r="BJ99" s="185"/>
      <c r="BK99" s="184"/>
      <c r="BL99" s="185"/>
      <c r="BM99" s="184"/>
      <c r="BN99" s="185"/>
      <c r="BO99" s="184"/>
      <c r="BP99" s="185"/>
      <c r="BQ99" s="184"/>
      <c r="BR99" s="185"/>
      <c r="BS99" s="184"/>
      <c r="BT99" s="185"/>
      <c r="BU99" s="184"/>
      <c r="BV99" s="185"/>
      <c r="BW99" s="184"/>
      <c r="BX99" s="185"/>
      <c r="BY99" s="184"/>
      <c r="BZ99" s="185"/>
      <c r="CA99" s="184"/>
      <c r="CB99" s="185"/>
      <c r="CC99" s="184"/>
      <c r="CD99" s="185"/>
      <c r="CE99" s="184"/>
      <c r="CF99" s="185"/>
      <c r="CG99" s="184"/>
      <c r="CH99" s="185"/>
      <c r="CI99" s="184"/>
      <c r="CJ99" s="185"/>
      <c r="CK99" s="184"/>
      <c r="CL99" s="185"/>
      <c r="CM99" s="184"/>
      <c r="CN99" s="185"/>
      <c r="CO99" s="184"/>
      <c r="CP99" s="185"/>
      <c r="CQ99" s="184"/>
      <c r="CR99" s="185"/>
      <c r="CS99" s="184"/>
      <c r="CT99" s="185"/>
      <c r="CU99" s="184"/>
      <c r="CV99" s="185"/>
      <c r="CW99" s="184"/>
      <c r="CX99" s="185"/>
      <c r="CY99" s="184"/>
      <c r="CZ99" s="185"/>
      <c r="DA99" s="184"/>
      <c r="DB99" s="185"/>
      <c r="DC99" s="184"/>
      <c r="DD99" s="185"/>
      <c r="DE99" s="184"/>
      <c r="DF99" s="185"/>
      <c r="DG99" s="184"/>
      <c r="DH99" s="185"/>
      <c r="DI99" s="184"/>
      <c r="DJ99" s="185"/>
      <c r="DK99" s="184"/>
      <c r="DL99" s="185"/>
      <c r="DM99" s="184"/>
      <c r="DN99" s="185"/>
      <c r="DO99" s="184"/>
      <c r="DP99" s="185"/>
      <c r="DQ99" s="184"/>
      <c r="DR99" s="185"/>
      <c r="DS99" s="184"/>
      <c r="DT99" s="185"/>
      <c r="DU99" s="184"/>
      <c r="DV99" s="185"/>
    </row>
    <row r="100" spans="1:126" x14ac:dyDescent="0.2">
      <c r="A100" s="183" t="s">
        <v>969</v>
      </c>
      <c r="B100" s="183" t="s">
        <v>970</v>
      </c>
      <c r="C100" s="184">
        <f t="shared" si="342"/>
        <v>0</v>
      </c>
      <c r="D100" s="185">
        <f t="shared" si="338"/>
        <v>0</v>
      </c>
      <c r="E100" s="184">
        <f t="shared" si="588"/>
        <v>0</v>
      </c>
      <c r="F100" s="185">
        <f t="shared" si="589"/>
        <v>0</v>
      </c>
      <c r="G100" s="184">
        <f t="shared" si="442"/>
        <v>0</v>
      </c>
      <c r="H100" s="185">
        <f t="shared" si="442"/>
        <v>0</v>
      </c>
      <c r="I100" s="184"/>
      <c r="J100" s="185"/>
      <c r="K100" s="184"/>
      <c r="L100" s="185"/>
      <c r="M100" s="184"/>
      <c r="N100" s="185"/>
      <c r="O100" s="184"/>
      <c r="P100" s="185"/>
      <c r="Q100" s="184"/>
      <c r="R100" s="185"/>
      <c r="S100" s="184"/>
      <c r="T100" s="185"/>
      <c r="U100" s="184"/>
      <c r="V100" s="185"/>
      <c r="W100" s="184"/>
      <c r="X100" s="185"/>
      <c r="Y100" s="184"/>
      <c r="Z100" s="185"/>
      <c r="AA100" s="184"/>
      <c r="AB100" s="185"/>
      <c r="AC100" s="184"/>
      <c r="AD100" s="185"/>
      <c r="AE100" s="184"/>
      <c r="AF100" s="185"/>
      <c r="AG100" s="184"/>
      <c r="AH100" s="185"/>
      <c r="AI100" s="184"/>
      <c r="AJ100" s="185"/>
      <c r="AK100" s="184"/>
      <c r="AL100" s="185"/>
      <c r="AM100" s="184"/>
      <c r="AN100" s="185"/>
      <c r="AO100" s="184"/>
      <c r="AP100" s="185"/>
      <c r="AQ100" s="184"/>
      <c r="AR100" s="185"/>
      <c r="AS100" s="184"/>
      <c r="AT100" s="185"/>
      <c r="AU100" s="184"/>
      <c r="AV100" s="185"/>
      <c r="AW100" s="184"/>
      <c r="AX100" s="185"/>
      <c r="AY100" s="184"/>
      <c r="AZ100" s="185"/>
      <c r="BA100" s="184"/>
      <c r="BB100" s="185"/>
      <c r="BC100" s="184"/>
      <c r="BD100" s="185"/>
      <c r="BE100" s="184"/>
      <c r="BF100" s="185"/>
      <c r="BG100" s="184"/>
      <c r="BH100" s="185"/>
      <c r="BI100" s="184"/>
      <c r="BJ100" s="185"/>
      <c r="BK100" s="184"/>
      <c r="BL100" s="185"/>
      <c r="BM100" s="184"/>
      <c r="BN100" s="185"/>
      <c r="BO100" s="184"/>
      <c r="BP100" s="185"/>
      <c r="BQ100" s="184"/>
      <c r="BR100" s="185"/>
      <c r="BS100" s="184"/>
      <c r="BT100" s="185"/>
      <c r="BU100" s="184"/>
      <c r="BV100" s="185"/>
      <c r="BW100" s="184"/>
      <c r="BX100" s="185"/>
      <c r="BY100" s="184"/>
      <c r="BZ100" s="185"/>
      <c r="CA100" s="184"/>
      <c r="CB100" s="185"/>
      <c r="CC100" s="184"/>
      <c r="CD100" s="185"/>
      <c r="CE100" s="184"/>
      <c r="CF100" s="185"/>
      <c r="CG100" s="184"/>
      <c r="CH100" s="185"/>
      <c r="CI100" s="184"/>
      <c r="CJ100" s="185"/>
      <c r="CK100" s="184"/>
      <c r="CL100" s="185"/>
      <c r="CM100" s="184"/>
      <c r="CN100" s="185"/>
      <c r="CO100" s="184"/>
      <c r="CP100" s="185"/>
      <c r="CQ100" s="184"/>
      <c r="CR100" s="185"/>
      <c r="CS100" s="184"/>
      <c r="CT100" s="185"/>
      <c r="CU100" s="184"/>
      <c r="CV100" s="185"/>
      <c r="CW100" s="184"/>
      <c r="CX100" s="185"/>
      <c r="CY100" s="184"/>
      <c r="CZ100" s="185"/>
      <c r="DA100" s="184"/>
      <c r="DB100" s="185"/>
      <c r="DC100" s="184"/>
      <c r="DD100" s="185"/>
      <c r="DE100" s="184"/>
      <c r="DF100" s="185"/>
      <c r="DG100" s="184"/>
      <c r="DH100" s="185"/>
      <c r="DI100" s="184"/>
      <c r="DJ100" s="185"/>
      <c r="DK100" s="184"/>
      <c r="DL100" s="185"/>
      <c r="DM100" s="184"/>
      <c r="DN100" s="185"/>
      <c r="DO100" s="184"/>
      <c r="DP100" s="185"/>
      <c r="DQ100" s="184"/>
      <c r="DR100" s="185"/>
      <c r="DS100" s="184"/>
      <c r="DT100" s="185"/>
      <c r="DU100" s="184"/>
      <c r="DV100" s="185"/>
    </row>
    <row r="101" spans="1:126" x14ac:dyDescent="0.2">
      <c r="A101" s="183" t="s">
        <v>971</v>
      </c>
      <c r="B101" s="183" t="s">
        <v>972</v>
      </c>
      <c r="C101" s="184">
        <f t="shared" si="342"/>
        <v>0</v>
      </c>
      <c r="D101" s="185">
        <f t="shared" si="338"/>
        <v>0</v>
      </c>
      <c r="E101" s="184">
        <f t="shared" si="588"/>
        <v>0</v>
      </c>
      <c r="F101" s="185">
        <f t="shared" si="589"/>
        <v>0</v>
      </c>
      <c r="G101" s="184">
        <f t="shared" si="442"/>
        <v>0</v>
      </c>
      <c r="H101" s="185">
        <f t="shared" si="442"/>
        <v>0</v>
      </c>
      <c r="I101" s="184"/>
      <c r="J101" s="185"/>
      <c r="K101" s="184"/>
      <c r="L101" s="185"/>
      <c r="M101" s="184"/>
      <c r="N101" s="185"/>
      <c r="O101" s="184"/>
      <c r="P101" s="185"/>
      <c r="Q101" s="184"/>
      <c r="R101" s="185"/>
      <c r="S101" s="184"/>
      <c r="T101" s="185"/>
      <c r="U101" s="184"/>
      <c r="V101" s="185"/>
      <c r="W101" s="184"/>
      <c r="X101" s="185"/>
      <c r="Y101" s="184"/>
      <c r="Z101" s="185"/>
      <c r="AA101" s="184"/>
      <c r="AB101" s="185"/>
      <c r="AC101" s="184"/>
      <c r="AD101" s="185"/>
      <c r="AE101" s="184"/>
      <c r="AF101" s="185"/>
      <c r="AG101" s="184"/>
      <c r="AH101" s="185"/>
      <c r="AI101" s="184"/>
      <c r="AJ101" s="185"/>
      <c r="AK101" s="184"/>
      <c r="AL101" s="185"/>
      <c r="AM101" s="184"/>
      <c r="AN101" s="185"/>
      <c r="AO101" s="184"/>
      <c r="AP101" s="185"/>
      <c r="AQ101" s="184"/>
      <c r="AR101" s="185"/>
      <c r="AS101" s="184"/>
      <c r="AT101" s="185"/>
      <c r="AU101" s="184"/>
      <c r="AV101" s="185"/>
      <c r="AW101" s="184"/>
      <c r="AX101" s="185"/>
      <c r="AY101" s="184"/>
      <c r="AZ101" s="185"/>
      <c r="BA101" s="184"/>
      <c r="BB101" s="185"/>
      <c r="BC101" s="184"/>
      <c r="BD101" s="185"/>
      <c r="BE101" s="184"/>
      <c r="BF101" s="185"/>
      <c r="BG101" s="184"/>
      <c r="BH101" s="185"/>
      <c r="BI101" s="184"/>
      <c r="BJ101" s="185"/>
      <c r="BK101" s="184"/>
      <c r="BL101" s="185"/>
      <c r="BM101" s="184"/>
      <c r="BN101" s="185"/>
      <c r="BO101" s="184"/>
      <c r="BP101" s="185"/>
      <c r="BQ101" s="184"/>
      <c r="BR101" s="185"/>
      <c r="BS101" s="184"/>
      <c r="BT101" s="185"/>
      <c r="BU101" s="184"/>
      <c r="BV101" s="185"/>
      <c r="BW101" s="184"/>
      <c r="BX101" s="185"/>
      <c r="BY101" s="184"/>
      <c r="BZ101" s="185"/>
      <c r="CA101" s="184"/>
      <c r="CB101" s="185"/>
      <c r="CC101" s="184"/>
      <c r="CD101" s="185"/>
      <c r="CE101" s="184"/>
      <c r="CF101" s="185"/>
      <c r="CG101" s="184"/>
      <c r="CH101" s="185"/>
      <c r="CI101" s="184"/>
      <c r="CJ101" s="185"/>
      <c r="CK101" s="184"/>
      <c r="CL101" s="185"/>
      <c r="CM101" s="184"/>
      <c r="CN101" s="185"/>
      <c r="CO101" s="184"/>
      <c r="CP101" s="185"/>
      <c r="CQ101" s="184"/>
      <c r="CR101" s="185"/>
      <c r="CS101" s="184"/>
      <c r="CT101" s="185"/>
      <c r="CU101" s="184"/>
      <c r="CV101" s="185"/>
      <c r="CW101" s="184"/>
      <c r="CX101" s="185"/>
      <c r="CY101" s="184"/>
      <c r="CZ101" s="185"/>
      <c r="DA101" s="184"/>
      <c r="DB101" s="185"/>
      <c r="DC101" s="184"/>
      <c r="DD101" s="185"/>
      <c r="DE101" s="184"/>
      <c r="DF101" s="185"/>
      <c r="DG101" s="184"/>
      <c r="DH101" s="185"/>
      <c r="DI101" s="184"/>
      <c r="DJ101" s="185"/>
      <c r="DK101" s="184"/>
      <c r="DL101" s="185"/>
      <c r="DM101" s="184"/>
      <c r="DN101" s="185"/>
      <c r="DO101" s="184"/>
      <c r="DP101" s="185"/>
      <c r="DQ101" s="184"/>
      <c r="DR101" s="185"/>
      <c r="DS101" s="184"/>
      <c r="DT101" s="185"/>
      <c r="DU101" s="184"/>
      <c r="DV101" s="185"/>
    </row>
    <row r="102" spans="1:126" x14ac:dyDescent="0.2">
      <c r="A102" s="183" t="s">
        <v>973</v>
      </c>
      <c r="B102" s="183" t="s">
        <v>974</v>
      </c>
      <c r="C102" s="184">
        <f t="shared" si="342"/>
        <v>0</v>
      </c>
      <c r="D102" s="185">
        <f t="shared" si="338"/>
        <v>0</v>
      </c>
      <c r="E102" s="184">
        <f t="shared" si="588"/>
        <v>0</v>
      </c>
      <c r="F102" s="185">
        <f t="shared" si="589"/>
        <v>0</v>
      </c>
      <c r="G102" s="184">
        <f t="shared" si="442"/>
        <v>0</v>
      </c>
      <c r="H102" s="185">
        <f t="shared" si="442"/>
        <v>0</v>
      </c>
      <c r="I102" s="184"/>
      <c r="J102" s="185"/>
      <c r="K102" s="184"/>
      <c r="L102" s="185"/>
      <c r="M102" s="184"/>
      <c r="N102" s="185"/>
      <c r="O102" s="184"/>
      <c r="P102" s="185"/>
      <c r="Q102" s="184"/>
      <c r="R102" s="185"/>
      <c r="S102" s="184"/>
      <c r="T102" s="185"/>
      <c r="U102" s="184"/>
      <c r="V102" s="185"/>
      <c r="W102" s="184"/>
      <c r="X102" s="185"/>
      <c r="Y102" s="184"/>
      <c r="Z102" s="185"/>
      <c r="AA102" s="184"/>
      <c r="AB102" s="185"/>
      <c r="AC102" s="184"/>
      <c r="AD102" s="185"/>
      <c r="AE102" s="184"/>
      <c r="AF102" s="185"/>
      <c r="AG102" s="184"/>
      <c r="AH102" s="185"/>
      <c r="AI102" s="184"/>
      <c r="AJ102" s="185"/>
      <c r="AK102" s="184"/>
      <c r="AL102" s="185"/>
      <c r="AM102" s="184"/>
      <c r="AN102" s="185"/>
      <c r="AO102" s="184"/>
      <c r="AP102" s="185"/>
      <c r="AQ102" s="184"/>
      <c r="AR102" s="185"/>
      <c r="AS102" s="184"/>
      <c r="AT102" s="185"/>
      <c r="AU102" s="184"/>
      <c r="AV102" s="185"/>
      <c r="AW102" s="184"/>
      <c r="AX102" s="185"/>
      <c r="AY102" s="184"/>
      <c r="AZ102" s="185"/>
      <c r="BA102" s="184"/>
      <c r="BB102" s="185"/>
      <c r="BC102" s="184"/>
      <c r="BD102" s="185"/>
      <c r="BE102" s="184"/>
      <c r="BF102" s="185"/>
      <c r="BG102" s="184"/>
      <c r="BH102" s="185"/>
      <c r="BI102" s="184"/>
      <c r="BJ102" s="185"/>
      <c r="BK102" s="184"/>
      <c r="BL102" s="185"/>
      <c r="BM102" s="184"/>
      <c r="BN102" s="185"/>
      <c r="BO102" s="184"/>
      <c r="BP102" s="185"/>
      <c r="BQ102" s="184"/>
      <c r="BR102" s="185"/>
      <c r="BS102" s="184"/>
      <c r="BT102" s="185"/>
      <c r="BU102" s="184"/>
      <c r="BV102" s="185"/>
      <c r="BW102" s="184"/>
      <c r="BX102" s="185"/>
      <c r="BY102" s="184"/>
      <c r="BZ102" s="185"/>
      <c r="CA102" s="184"/>
      <c r="CB102" s="185"/>
      <c r="CC102" s="184"/>
      <c r="CD102" s="185"/>
      <c r="CE102" s="184"/>
      <c r="CF102" s="185"/>
      <c r="CG102" s="184"/>
      <c r="CH102" s="185"/>
      <c r="CI102" s="184"/>
      <c r="CJ102" s="185"/>
      <c r="CK102" s="184"/>
      <c r="CL102" s="185"/>
      <c r="CM102" s="184"/>
      <c r="CN102" s="185"/>
      <c r="CO102" s="184"/>
      <c r="CP102" s="185"/>
      <c r="CQ102" s="184"/>
      <c r="CR102" s="185"/>
      <c r="CS102" s="184"/>
      <c r="CT102" s="185"/>
      <c r="CU102" s="184"/>
      <c r="CV102" s="185"/>
      <c r="CW102" s="184"/>
      <c r="CX102" s="185"/>
      <c r="CY102" s="184"/>
      <c r="CZ102" s="185"/>
      <c r="DA102" s="184"/>
      <c r="DB102" s="185"/>
      <c r="DC102" s="184"/>
      <c r="DD102" s="185"/>
      <c r="DE102" s="184"/>
      <c r="DF102" s="185"/>
      <c r="DG102" s="184"/>
      <c r="DH102" s="185"/>
      <c r="DI102" s="184"/>
      <c r="DJ102" s="185"/>
      <c r="DK102" s="184"/>
      <c r="DL102" s="185"/>
      <c r="DM102" s="184"/>
      <c r="DN102" s="185"/>
      <c r="DO102" s="184"/>
      <c r="DP102" s="185"/>
      <c r="DQ102" s="184"/>
      <c r="DR102" s="185"/>
      <c r="DS102" s="184"/>
      <c r="DT102" s="185"/>
      <c r="DU102" s="184"/>
      <c r="DV102" s="185"/>
    </row>
    <row r="103" spans="1:126" x14ac:dyDescent="0.2">
      <c r="A103" s="183" t="s">
        <v>975</v>
      </c>
      <c r="B103" s="183" t="s">
        <v>976</v>
      </c>
      <c r="C103" s="184">
        <f t="shared" si="342"/>
        <v>0</v>
      </c>
      <c r="D103" s="185">
        <f t="shared" si="338"/>
        <v>0</v>
      </c>
      <c r="E103" s="184">
        <f t="shared" si="588"/>
        <v>0</v>
      </c>
      <c r="F103" s="185">
        <f t="shared" si="589"/>
        <v>0</v>
      </c>
      <c r="G103" s="184">
        <f t="shared" si="442"/>
        <v>0</v>
      </c>
      <c r="H103" s="185">
        <f t="shared" si="442"/>
        <v>0</v>
      </c>
      <c r="I103" s="184"/>
      <c r="J103" s="185"/>
      <c r="K103" s="184"/>
      <c r="L103" s="185"/>
      <c r="M103" s="184"/>
      <c r="N103" s="185"/>
      <c r="O103" s="184"/>
      <c r="P103" s="185"/>
      <c r="Q103" s="184"/>
      <c r="R103" s="185"/>
      <c r="S103" s="184"/>
      <c r="T103" s="185"/>
      <c r="U103" s="184"/>
      <c r="V103" s="185"/>
      <c r="W103" s="184"/>
      <c r="X103" s="185"/>
      <c r="Y103" s="184"/>
      <c r="Z103" s="185"/>
      <c r="AA103" s="184"/>
      <c r="AB103" s="185"/>
      <c r="AC103" s="184"/>
      <c r="AD103" s="185"/>
      <c r="AE103" s="184"/>
      <c r="AF103" s="185"/>
      <c r="AG103" s="184"/>
      <c r="AH103" s="185"/>
      <c r="AI103" s="184"/>
      <c r="AJ103" s="185"/>
      <c r="AK103" s="184"/>
      <c r="AL103" s="185"/>
      <c r="AM103" s="184"/>
      <c r="AN103" s="185"/>
      <c r="AO103" s="184"/>
      <c r="AP103" s="185"/>
      <c r="AQ103" s="184"/>
      <c r="AR103" s="185"/>
      <c r="AS103" s="184"/>
      <c r="AT103" s="185"/>
      <c r="AU103" s="184"/>
      <c r="AV103" s="185"/>
      <c r="AW103" s="184"/>
      <c r="AX103" s="185"/>
      <c r="AY103" s="184"/>
      <c r="AZ103" s="185"/>
      <c r="BA103" s="184"/>
      <c r="BB103" s="185"/>
      <c r="BC103" s="184"/>
      <c r="BD103" s="185"/>
      <c r="BE103" s="184"/>
      <c r="BF103" s="185"/>
      <c r="BG103" s="184"/>
      <c r="BH103" s="185"/>
      <c r="BI103" s="184"/>
      <c r="BJ103" s="185"/>
      <c r="BK103" s="184"/>
      <c r="BL103" s="185"/>
      <c r="BM103" s="184"/>
      <c r="BN103" s="185"/>
      <c r="BO103" s="184"/>
      <c r="BP103" s="185"/>
      <c r="BQ103" s="184"/>
      <c r="BR103" s="185"/>
      <c r="BS103" s="184"/>
      <c r="BT103" s="185"/>
      <c r="BU103" s="184"/>
      <c r="BV103" s="185"/>
      <c r="BW103" s="184"/>
      <c r="BX103" s="185"/>
      <c r="BY103" s="184"/>
      <c r="BZ103" s="185"/>
      <c r="CA103" s="184"/>
      <c r="CB103" s="185"/>
      <c r="CC103" s="184"/>
      <c r="CD103" s="185"/>
      <c r="CE103" s="184"/>
      <c r="CF103" s="185"/>
      <c r="CG103" s="184"/>
      <c r="CH103" s="185"/>
      <c r="CI103" s="184"/>
      <c r="CJ103" s="185"/>
      <c r="CK103" s="184"/>
      <c r="CL103" s="185"/>
      <c r="CM103" s="184"/>
      <c r="CN103" s="185"/>
      <c r="CO103" s="184"/>
      <c r="CP103" s="185"/>
      <c r="CQ103" s="184"/>
      <c r="CR103" s="185"/>
      <c r="CS103" s="184"/>
      <c r="CT103" s="185"/>
      <c r="CU103" s="184"/>
      <c r="CV103" s="185"/>
      <c r="CW103" s="184"/>
      <c r="CX103" s="185"/>
      <c r="CY103" s="184"/>
      <c r="CZ103" s="185"/>
      <c r="DA103" s="184"/>
      <c r="DB103" s="185"/>
      <c r="DC103" s="184"/>
      <c r="DD103" s="185"/>
      <c r="DE103" s="184"/>
      <c r="DF103" s="185"/>
      <c r="DG103" s="184"/>
      <c r="DH103" s="185"/>
      <c r="DI103" s="184"/>
      <c r="DJ103" s="185"/>
      <c r="DK103" s="184"/>
      <c r="DL103" s="185"/>
      <c r="DM103" s="184"/>
      <c r="DN103" s="185"/>
      <c r="DO103" s="184"/>
      <c r="DP103" s="185"/>
      <c r="DQ103" s="184"/>
      <c r="DR103" s="185"/>
      <c r="DS103" s="184"/>
      <c r="DT103" s="185"/>
      <c r="DU103" s="184"/>
      <c r="DV103" s="185"/>
    </row>
    <row r="104" spans="1:126" x14ac:dyDescent="0.2">
      <c r="A104" s="183" t="s">
        <v>977</v>
      </c>
      <c r="B104" s="183" t="s">
        <v>978</v>
      </c>
      <c r="C104" s="184">
        <f t="shared" si="342"/>
        <v>0</v>
      </c>
      <c r="D104" s="185">
        <f t="shared" si="338"/>
        <v>0</v>
      </c>
      <c r="E104" s="184">
        <f t="shared" si="588"/>
        <v>0</v>
      </c>
      <c r="F104" s="185">
        <f t="shared" si="589"/>
        <v>0</v>
      </c>
      <c r="G104" s="184">
        <f t="shared" si="442"/>
        <v>0</v>
      </c>
      <c r="H104" s="185">
        <f t="shared" si="442"/>
        <v>0</v>
      </c>
      <c r="I104" s="184"/>
      <c r="J104" s="185"/>
      <c r="K104" s="184"/>
      <c r="L104" s="185"/>
      <c r="M104" s="184"/>
      <c r="N104" s="185"/>
      <c r="O104" s="184"/>
      <c r="P104" s="185"/>
      <c r="Q104" s="184"/>
      <c r="R104" s="185"/>
      <c r="S104" s="184"/>
      <c r="T104" s="185"/>
      <c r="U104" s="184"/>
      <c r="V104" s="185"/>
      <c r="W104" s="184"/>
      <c r="X104" s="185"/>
      <c r="Y104" s="184"/>
      <c r="Z104" s="185"/>
      <c r="AA104" s="184"/>
      <c r="AB104" s="185"/>
      <c r="AC104" s="184"/>
      <c r="AD104" s="185"/>
      <c r="AE104" s="184"/>
      <c r="AF104" s="185"/>
      <c r="AG104" s="184"/>
      <c r="AH104" s="185"/>
      <c r="AI104" s="184"/>
      <c r="AJ104" s="185"/>
      <c r="AK104" s="184"/>
      <c r="AL104" s="185"/>
      <c r="AM104" s="184"/>
      <c r="AN104" s="185"/>
      <c r="AO104" s="184"/>
      <c r="AP104" s="185"/>
      <c r="AQ104" s="184"/>
      <c r="AR104" s="185"/>
      <c r="AS104" s="184"/>
      <c r="AT104" s="185"/>
      <c r="AU104" s="184"/>
      <c r="AV104" s="185"/>
      <c r="AW104" s="184"/>
      <c r="AX104" s="185"/>
      <c r="AY104" s="184"/>
      <c r="AZ104" s="185"/>
      <c r="BA104" s="184"/>
      <c r="BB104" s="185"/>
      <c r="BC104" s="184"/>
      <c r="BD104" s="185"/>
      <c r="BE104" s="184"/>
      <c r="BF104" s="185"/>
      <c r="BG104" s="184"/>
      <c r="BH104" s="185"/>
      <c r="BI104" s="184"/>
      <c r="BJ104" s="185"/>
      <c r="BK104" s="184"/>
      <c r="BL104" s="185"/>
      <c r="BM104" s="184"/>
      <c r="BN104" s="185"/>
      <c r="BO104" s="184"/>
      <c r="BP104" s="185"/>
      <c r="BQ104" s="184"/>
      <c r="BR104" s="185"/>
      <c r="BS104" s="184"/>
      <c r="BT104" s="185"/>
      <c r="BU104" s="184"/>
      <c r="BV104" s="185"/>
      <c r="BW104" s="184"/>
      <c r="BX104" s="185"/>
      <c r="BY104" s="184"/>
      <c r="BZ104" s="185"/>
      <c r="CA104" s="184"/>
      <c r="CB104" s="185"/>
      <c r="CC104" s="184"/>
      <c r="CD104" s="185"/>
      <c r="CE104" s="184"/>
      <c r="CF104" s="185"/>
      <c r="CG104" s="184"/>
      <c r="CH104" s="185"/>
      <c r="CI104" s="184"/>
      <c r="CJ104" s="185"/>
      <c r="CK104" s="184"/>
      <c r="CL104" s="185"/>
      <c r="CM104" s="184"/>
      <c r="CN104" s="185"/>
      <c r="CO104" s="184"/>
      <c r="CP104" s="185"/>
      <c r="CQ104" s="184"/>
      <c r="CR104" s="185"/>
      <c r="CS104" s="184"/>
      <c r="CT104" s="185"/>
      <c r="CU104" s="184"/>
      <c r="CV104" s="185"/>
      <c r="CW104" s="184"/>
      <c r="CX104" s="185"/>
      <c r="CY104" s="184"/>
      <c r="CZ104" s="185"/>
      <c r="DA104" s="184"/>
      <c r="DB104" s="185"/>
      <c r="DC104" s="184"/>
      <c r="DD104" s="185"/>
      <c r="DE104" s="184"/>
      <c r="DF104" s="185"/>
      <c r="DG104" s="184"/>
      <c r="DH104" s="185"/>
      <c r="DI104" s="184"/>
      <c r="DJ104" s="185"/>
      <c r="DK104" s="184"/>
      <c r="DL104" s="185"/>
      <c r="DM104" s="184"/>
      <c r="DN104" s="185"/>
      <c r="DO104" s="184"/>
      <c r="DP104" s="185"/>
      <c r="DQ104" s="184"/>
      <c r="DR104" s="185"/>
      <c r="DS104" s="184"/>
      <c r="DT104" s="185"/>
      <c r="DU104" s="184"/>
      <c r="DV104" s="185"/>
    </row>
    <row r="105" spans="1:126" x14ac:dyDescent="0.2">
      <c r="A105" s="183" t="s">
        <v>979</v>
      </c>
      <c r="B105" s="183" t="s">
        <v>980</v>
      </c>
      <c r="C105" s="184">
        <f t="shared" si="342"/>
        <v>0</v>
      </c>
      <c r="D105" s="185">
        <f t="shared" si="338"/>
        <v>0</v>
      </c>
      <c r="E105" s="184">
        <f t="shared" si="588"/>
        <v>0</v>
      </c>
      <c r="F105" s="185">
        <f t="shared" si="589"/>
        <v>0</v>
      </c>
      <c r="G105" s="184">
        <f t="shared" si="442"/>
        <v>0</v>
      </c>
      <c r="H105" s="185">
        <f t="shared" si="442"/>
        <v>0</v>
      </c>
      <c r="I105" s="184"/>
      <c r="J105" s="185"/>
      <c r="K105" s="184"/>
      <c r="L105" s="185"/>
      <c r="M105" s="184"/>
      <c r="N105" s="185"/>
      <c r="O105" s="184"/>
      <c r="P105" s="185"/>
      <c r="Q105" s="184"/>
      <c r="R105" s="185"/>
      <c r="S105" s="184"/>
      <c r="T105" s="185"/>
      <c r="U105" s="184"/>
      <c r="V105" s="185"/>
      <c r="W105" s="184"/>
      <c r="X105" s="185"/>
      <c r="Y105" s="184"/>
      <c r="Z105" s="185"/>
      <c r="AA105" s="184"/>
      <c r="AB105" s="185"/>
      <c r="AC105" s="184"/>
      <c r="AD105" s="185"/>
      <c r="AE105" s="184"/>
      <c r="AF105" s="185"/>
      <c r="AG105" s="184"/>
      <c r="AH105" s="185"/>
      <c r="AI105" s="184"/>
      <c r="AJ105" s="185"/>
      <c r="AK105" s="184"/>
      <c r="AL105" s="185"/>
      <c r="AM105" s="184"/>
      <c r="AN105" s="185"/>
      <c r="AO105" s="184"/>
      <c r="AP105" s="185"/>
      <c r="AQ105" s="184"/>
      <c r="AR105" s="185"/>
      <c r="AS105" s="184"/>
      <c r="AT105" s="185"/>
      <c r="AU105" s="184"/>
      <c r="AV105" s="185"/>
      <c r="AW105" s="184"/>
      <c r="AX105" s="185"/>
      <c r="AY105" s="184"/>
      <c r="AZ105" s="185"/>
      <c r="BA105" s="184"/>
      <c r="BB105" s="185"/>
      <c r="BC105" s="184"/>
      <c r="BD105" s="185"/>
      <c r="BE105" s="184"/>
      <c r="BF105" s="185"/>
      <c r="BG105" s="184"/>
      <c r="BH105" s="185"/>
      <c r="BI105" s="184"/>
      <c r="BJ105" s="185"/>
      <c r="BK105" s="184"/>
      <c r="BL105" s="185"/>
      <c r="BM105" s="184"/>
      <c r="BN105" s="185"/>
      <c r="BO105" s="184"/>
      <c r="BP105" s="185"/>
      <c r="BQ105" s="184"/>
      <c r="BR105" s="185"/>
      <c r="BS105" s="184"/>
      <c r="BT105" s="185"/>
      <c r="BU105" s="184"/>
      <c r="BV105" s="185"/>
      <c r="BW105" s="184"/>
      <c r="BX105" s="185"/>
      <c r="BY105" s="184"/>
      <c r="BZ105" s="185"/>
      <c r="CA105" s="184"/>
      <c r="CB105" s="185"/>
      <c r="CC105" s="184"/>
      <c r="CD105" s="185"/>
      <c r="CE105" s="184"/>
      <c r="CF105" s="185"/>
      <c r="CG105" s="184"/>
      <c r="CH105" s="185"/>
      <c r="CI105" s="184"/>
      <c r="CJ105" s="185"/>
      <c r="CK105" s="184"/>
      <c r="CL105" s="185"/>
      <c r="CM105" s="184"/>
      <c r="CN105" s="185"/>
      <c r="CO105" s="184"/>
      <c r="CP105" s="185"/>
      <c r="CQ105" s="184"/>
      <c r="CR105" s="185"/>
      <c r="CS105" s="184"/>
      <c r="CT105" s="185"/>
      <c r="CU105" s="184"/>
      <c r="CV105" s="185"/>
      <c r="CW105" s="184"/>
      <c r="CX105" s="185"/>
      <c r="CY105" s="184"/>
      <c r="CZ105" s="185"/>
      <c r="DA105" s="184"/>
      <c r="DB105" s="185"/>
      <c r="DC105" s="184"/>
      <c r="DD105" s="185"/>
      <c r="DE105" s="184"/>
      <c r="DF105" s="185"/>
      <c r="DG105" s="184"/>
      <c r="DH105" s="185"/>
      <c r="DI105" s="184"/>
      <c r="DJ105" s="185"/>
      <c r="DK105" s="184"/>
      <c r="DL105" s="185"/>
      <c r="DM105" s="184"/>
      <c r="DN105" s="185"/>
      <c r="DO105" s="184"/>
      <c r="DP105" s="185"/>
      <c r="DQ105" s="184"/>
      <c r="DR105" s="185"/>
      <c r="DS105" s="184"/>
      <c r="DT105" s="185"/>
      <c r="DU105" s="184"/>
      <c r="DV105" s="185"/>
    </row>
    <row r="106" spans="1:126" ht="13.6" x14ac:dyDescent="0.25">
      <c r="A106" s="186" t="s">
        <v>981</v>
      </c>
      <c r="B106" s="186" t="s">
        <v>982</v>
      </c>
      <c r="C106" s="187" t="e">
        <f t="shared" ref="C106:I106" si="590">SUM(C89:C105)</f>
        <v>#REF!</v>
      </c>
      <c r="D106" s="188" t="e">
        <f t="shared" si="590"/>
        <v>#REF!</v>
      </c>
      <c r="E106" s="187">
        <f t="shared" si="590"/>
        <v>0</v>
      </c>
      <c r="F106" s="188">
        <f t="shared" si="590"/>
        <v>0</v>
      </c>
      <c r="G106" s="187">
        <f t="shared" si="590"/>
        <v>0</v>
      </c>
      <c r="H106" s="188">
        <f t="shared" si="590"/>
        <v>0</v>
      </c>
      <c r="I106" s="187">
        <f t="shared" si="590"/>
        <v>2912651</v>
      </c>
      <c r="J106" s="188" t="e">
        <f t="shared" ref="J106:AO106" si="591">SUM(J89:J105)</f>
        <v>#REF!</v>
      </c>
      <c r="K106" s="187">
        <f t="shared" si="591"/>
        <v>0</v>
      </c>
      <c r="L106" s="188">
        <f t="shared" si="591"/>
        <v>0</v>
      </c>
      <c r="M106" s="187">
        <f t="shared" si="591"/>
        <v>0</v>
      </c>
      <c r="N106" s="188">
        <f t="shared" si="591"/>
        <v>0</v>
      </c>
      <c r="O106" s="187">
        <f t="shared" si="591"/>
        <v>0</v>
      </c>
      <c r="P106" s="188">
        <f t="shared" si="591"/>
        <v>0</v>
      </c>
      <c r="Q106" s="187">
        <f t="shared" si="591"/>
        <v>0</v>
      </c>
      <c r="R106" s="188">
        <f t="shared" si="591"/>
        <v>0</v>
      </c>
      <c r="S106" s="187">
        <f t="shared" si="591"/>
        <v>0</v>
      </c>
      <c r="T106" s="188">
        <f t="shared" ref="T106" si="592">SUM(T89:T105)</f>
        <v>0</v>
      </c>
      <c r="U106" s="187">
        <f t="shared" si="591"/>
        <v>0</v>
      </c>
      <c r="V106" s="188">
        <f t="shared" ref="V106" si="593">SUM(V89:V105)</f>
        <v>0</v>
      </c>
      <c r="W106" s="187">
        <f t="shared" si="591"/>
        <v>0</v>
      </c>
      <c r="X106" s="188">
        <f t="shared" si="591"/>
        <v>0</v>
      </c>
      <c r="Y106" s="187">
        <f t="shared" si="591"/>
        <v>0</v>
      </c>
      <c r="Z106" s="188">
        <f t="shared" ref="Z106" si="594">SUM(Z89:Z105)</f>
        <v>0</v>
      </c>
      <c r="AA106" s="187">
        <f t="shared" si="591"/>
        <v>0</v>
      </c>
      <c r="AB106" s="188">
        <f t="shared" ref="AB106" si="595">SUM(AB89:AB105)</f>
        <v>0</v>
      </c>
      <c r="AC106" s="187">
        <f t="shared" si="591"/>
        <v>0</v>
      </c>
      <c r="AD106" s="188">
        <f t="shared" ref="AD106" si="596">SUM(AD89:AD105)</f>
        <v>0</v>
      </c>
      <c r="AE106" s="187">
        <f t="shared" si="591"/>
        <v>0</v>
      </c>
      <c r="AF106" s="188">
        <f t="shared" ref="AF106:AH106" si="597">SUM(AF89:AF105)</f>
        <v>0</v>
      </c>
      <c r="AG106" s="187"/>
      <c r="AH106" s="188">
        <f t="shared" si="597"/>
        <v>0</v>
      </c>
      <c r="AI106" s="187">
        <f>SUM(AI89:AI105)</f>
        <v>0</v>
      </c>
      <c r="AJ106" s="188">
        <f>SUM(AJ89:AJ105)</f>
        <v>0</v>
      </c>
      <c r="AK106" s="187">
        <f t="shared" si="591"/>
        <v>0</v>
      </c>
      <c r="AL106" s="188">
        <f t="shared" ref="AL106" si="598">SUM(AL89:AL105)</f>
        <v>0</v>
      </c>
      <c r="AM106" s="187">
        <f t="shared" si="591"/>
        <v>0</v>
      </c>
      <c r="AN106" s="188"/>
      <c r="AO106" s="187">
        <f t="shared" si="591"/>
        <v>0</v>
      </c>
      <c r="AP106" s="188">
        <f t="shared" ref="AP106" si="599">SUM(AP89:AP105)</f>
        <v>0</v>
      </c>
      <c r="AQ106" s="187">
        <f t="shared" ref="AQ106:DS106" si="600">SUM(AQ89:AQ105)</f>
        <v>0</v>
      </c>
      <c r="AR106" s="188">
        <f t="shared" ref="AR106" si="601">SUM(AR89:AR105)</f>
        <v>0</v>
      </c>
      <c r="AS106" s="187">
        <f t="shared" si="600"/>
        <v>0</v>
      </c>
      <c r="AT106" s="188">
        <f t="shared" ref="AT106" si="602">SUM(AT89:AT105)</f>
        <v>0</v>
      </c>
      <c r="AU106" s="187">
        <f t="shared" si="600"/>
        <v>0</v>
      </c>
      <c r="AV106" s="188">
        <f t="shared" ref="AV106" si="603">SUM(AV89:AV105)</f>
        <v>0</v>
      </c>
      <c r="AW106" s="187">
        <f t="shared" si="600"/>
        <v>0</v>
      </c>
      <c r="AX106" s="188">
        <f t="shared" ref="AX106" si="604">SUM(AX89:AX105)</f>
        <v>0</v>
      </c>
      <c r="AY106" s="187">
        <f t="shared" si="600"/>
        <v>0</v>
      </c>
      <c r="AZ106" s="188">
        <f t="shared" ref="AZ106" si="605">SUM(AZ89:AZ105)</f>
        <v>0</v>
      </c>
      <c r="BA106" s="187">
        <f t="shared" si="600"/>
        <v>0</v>
      </c>
      <c r="BB106" s="188">
        <f t="shared" ref="BB106" si="606">SUM(BB89:BB105)</f>
        <v>0</v>
      </c>
      <c r="BC106" s="187">
        <f t="shared" si="600"/>
        <v>0</v>
      </c>
      <c r="BD106" s="188">
        <f t="shared" ref="BD106" si="607">SUM(BD89:BD105)</f>
        <v>0</v>
      </c>
      <c r="BE106" s="187">
        <f t="shared" si="600"/>
        <v>0</v>
      </c>
      <c r="BF106" s="188">
        <f t="shared" ref="BF106" si="608">SUM(BF89:BF105)</f>
        <v>0</v>
      </c>
      <c r="BG106" s="187">
        <f t="shared" si="600"/>
        <v>0</v>
      </c>
      <c r="BH106" s="188">
        <f t="shared" ref="BH106" si="609">SUM(BH89:BH105)</f>
        <v>0</v>
      </c>
      <c r="BI106" s="187">
        <f t="shared" si="600"/>
        <v>0</v>
      </c>
      <c r="BJ106" s="188">
        <f t="shared" ref="BJ106" si="610">SUM(BJ89:BJ105)</f>
        <v>0</v>
      </c>
      <c r="BK106" s="187">
        <f t="shared" si="600"/>
        <v>0</v>
      </c>
      <c r="BL106" s="188">
        <f t="shared" ref="BL106" si="611">SUM(BL89:BL105)</f>
        <v>0</v>
      </c>
      <c r="BM106" s="187">
        <f t="shared" si="600"/>
        <v>0</v>
      </c>
      <c r="BN106" s="188">
        <f t="shared" ref="BN106" si="612">SUM(BN89:BN105)</f>
        <v>0</v>
      </c>
      <c r="BO106" s="187">
        <f t="shared" si="600"/>
        <v>0</v>
      </c>
      <c r="BP106" s="188">
        <f t="shared" ref="BP106" si="613">SUM(BP89:BP105)</f>
        <v>0</v>
      </c>
      <c r="BQ106" s="187">
        <f t="shared" si="600"/>
        <v>0</v>
      </c>
      <c r="BR106" s="188">
        <f t="shared" ref="BR106" si="614">SUM(BR89:BR105)</f>
        <v>0</v>
      </c>
      <c r="BS106" s="187">
        <f t="shared" si="600"/>
        <v>0</v>
      </c>
      <c r="BT106" s="188">
        <f t="shared" ref="BT106" si="615">SUM(BT89:BT105)</f>
        <v>0</v>
      </c>
      <c r="BU106" s="187">
        <f t="shared" si="600"/>
        <v>0</v>
      </c>
      <c r="BV106" s="188">
        <f t="shared" ref="BV106" si="616">SUM(BV89:BV105)</f>
        <v>0</v>
      </c>
      <c r="BW106" s="187">
        <f t="shared" si="600"/>
        <v>0</v>
      </c>
      <c r="BX106" s="188">
        <f t="shared" ref="BX106" si="617">SUM(BX89:BX105)</f>
        <v>0</v>
      </c>
      <c r="BY106" s="187">
        <f t="shared" si="600"/>
        <v>0</v>
      </c>
      <c r="BZ106" s="188">
        <f t="shared" ref="BZ106" si="618">SUM(BZ89:BZ105)</f>
        <v>0</v>
      </c>
      <c r="CA106" s="187">
        <f t="shared" si="600"/>
        <v>0</v>
      </c>
      <c r="CB106" s="188">
        <f t="shared" ref="CB106" si="619">SUM(CB89:CB105)</f>
        <v>0</v>
      </c>
      <c r="CC106" s="187">
        <f t="shared" si="600"/>
        <v>0</v>
      </c>
      <c r="CD106" s="188">
        <f t="shared" ref="CD106" si="620">SUM(CD89:CD105)</f>
        <v>0</v>
      </c>
      <c r="CE106" s="187">
        <f>SUM(CE89:CE105)</f>
        <v>0</v>
      </c>
      <c r="CF106" s="188">
        <f>SUM(CF89:CF105)</f>
        <v>0</v>
      </c>
      <c r="CG106" s="187">
        <f t="shared" si="600"/>
        <v>0</v>
      </c>
      <c r="CH106" s="188">
        <f t="shared" ref="CH106" si="621">SUM(CH89:CH105)</f>
        <v>0</v>
      </c>
      <c r="CI106" s="187">
        <f t="shared" si="600"/>
        <v>0</v>
      </c>
      <c r="CJ106" s="188">
        <f t="shared" ref="CJ106" si="622">SUM(CJ89:CJ105)</f>
        <v>0</v>
      </c>
      <c r="CK106" s="187">
        <f t="shared" si="600"/>
        <v>0</v>
      </c>
      <c r="CL106" s="188">
        <f t="shared" ref="CL106" si="623">SUM(CL89:CL105)</f>
        <v>0</v>
      </c>
      <c r="CM106" s="187">
        <f t="shared" si="600"/>
        <v>0</v>
      </c>
      <c r="CN106" s="188">
        <f t="shared" ref="CN106" si="624">SUM(CN89:CN105)</f>
        <v>0</v>
      </c>
      <c r="CO106" s="187">
        <f t="shared" si="600"/>
        <v>0</v>
      </c>
      <c r="CP106" s="188">
        <f t="shared" ref="CP106" si="625">SUM(CP89:CP105)</f>
        <v>0</v>
      </c>
      <c r="CQ106" s="187">
        <f t="shared" si="600"/>
        <v>0</v>
      </c>
      <c r="CR106" s="188">
        <f t="shared" ref="CR106" si="626">SUM(CR89:CR105)</f>
        <v>0</v>
      </c>
      <c r="CS106" s="187">
        <f t="shared" si="600"/>
        <v>0</v>
      </c>
      <c r="CT106" s="188">
        <f t="shared" ref="CT106" si="627">SUM(CT89:CT105)</f>
        <v>0</v>
      </c>
      <c r="CU106" s="187">
        <f t="shared" si="600"/>
        <v>0</v>
      </c>
      <c r="CV106" s="188">
        <f t="shared" ref="CV106" si="628">SUM(CV89:CV105)</f>
        <v>0</v>
      </c>
      <c r="CW106" s="187">
        <f t="shared" si="600"/>
        <v>0</v>
      </c>
      <c r="CX106" s="188">
        <f t="shared" ref="CX106" si="629">SUM(CX89:CX105)</f>
        <v>0</v>
      </c>
      <c r="CY106" s="187">
        <f t="shared" si="600"/>
        <v>0</v>
      </c>
      <c r="CZ106" s="188"/>
      <c r="DA106" s="187">
        <f t="shared" si="600"/>
        <v>0</v>
      </c>
      <c r="DB106" s="188"/>
      <c r="DC106" s="187">
        <f t="shared" si="600"/>
        <v>0</v>
      </c>
      <c r="DD106" s="188">
        <f t="shared" ref="DD106" si="630">SUM(DD89:DD105)</f>
        <v>0</v>
      </c>
      <c r="DE106" s="187">
        <f t="shared" si="600"/>
        <v>0</v>
      </c>
      <c r="DF106" s="188">
        <f t="shared" ref="DF106" si="631">SUM(DF89:DF105)</f>
        <v>0</v>
      </c>
      <c r="DG106" s="187">
        <f t="shared" si="600"/>
        <v>0</v>
      </c>
      <c r="DH106" s="188">
        <f t="shared" ref="DH106" si="632">SUM(DH89:DH105)</f>
        <v>0</v>
      </c>
      <c r="DI106" s="187">
        <f t="shared" si="600"/>
        <v>0</v>
      </c>
      <c r="DJ106" s="188">
        <f t="shared" ref="DJ106" si="633">SUM(DJ89:DJ105)</f>
        <v>0</v>
      </c>
      <c r="DK106" s="187">
        <f t="shared" si="600"/>
        <v>0</v>
      </c>
      <c r="DL106" s="188">
        <f t="shared" ref="DL106" si="634">SUM(DL89:DL105)</f>
        <v>0</v>
      </c>
      <c r="DM106" s="187">
        <f t="shared" si="600"/>
        <v>0</v>
      </c>
      <c r="DN106" s="188">
        <f t="shared" ref="DN106" si="635">SUM(DN89:DN105)</f>
        <v>0</v>
      </c>
      <c r="DO106" s="187">
        <f t="shared" si="600"/>
        <v>0</v>
      </c>
      <c r="DP106" s="188">
        <f t="shared" ref="DP106" si="636">SUM(DP89:DP105)</f>
        <v>0</v>
      </c>
      <c r="DQ106" s="187">
        <f t="shared" si="600"/>
        <v>0</v>
      </c>
      <c r="DR106" s="188"/>
      <c r="DS106" s="187">
        <f t="shared" si="600"/>
        <v>0</v>
      </c>
      <c r="DT106" s="188">
        <f t="shared" ref="DT106" si="637">SUM(DT89:DT105)</f>
        <v>0</v>
      </c>
      <c r="DU106" s="187"/>
      <c r="DV106" s="188"/>
    </row>
    <row r="107" spans="1:126" ht="13.6" x14ac:dyDescent="0.25">
      <c r="A107" s="947" t="s">
        <v>983</v>
      </c>
      <c r="B107" s="947"/>
      <c r="C107" s="194" t="e">
        <f t="shared" ref="C107:BO107" si="638">C44+C53+C66+C74+C79+C88+C106+C18+C19</f>
        <v>#REF!</v>
      </c>
      <c r="D107" s="195" t="e">
        <f t="shared" si="638"/>
        <v>#REF!</v>
      </c>
      <c r="E107" s="194">
        <f t="shared" si="638"/>
        <v>823805</v>
      </c>
      <c r="F107" s="195" t="e">
        <f t="shared" si="638"/>
        <v>#REF!</v>
      </c>
      <c r="G107" s="194">
        <f t="shared" si="638"/>
        <v>782823</v>
      </c>
      <c r="H107" s="195" t="e">
        <f>H44+H53+H66+H74+H79+H88+H106+H18+H19</f>
        <v>#REF!</v>
      </c>
      <c r="I107" s="194">
        <f t="shared" si="638"/>
        <v>2912651</v>
      </c>
      <c r="J107" s="195" t="e">
        <f t="shared" si="638"/>
        <v>#REF!</v>
      </c>
      <c r="K107" s="194">
        <f t="shared" si="638"/>
        <v>20986</v>
      </c>
      <c r="L107" s="195">
        <f t="shared" si="638"/>
        <v>21800</v>
      </c>
      <c r="M107" s="194">
        <f t="shared" si="638"/>
        <v>2540</v>
      </c>
      <c r="N107" s="195">
        <f t="shared" si="638"/>
        <v>4040</v>
      </c>
      <c r="O107" s="194">
        <f>O44+O53+O66+O74+O79+O88+O106+O18+O19</f>
        <v>19942</v>
      </c>
      <c r="P107" s="195">
        <f>P44+P53+P66+P74+P79+P88+P106+P18+P19</f>
        <v>18518</v>
      </c>
      <c r="Q107" s="194">
        <f t="shared" si="638"/>
        <v>29069</v>
      </c>
      <c r="R107" s="195">
        <f t="shared" si="638"/>
        <v>31943</v>
      </c>
      <c r="S107" s="194">
        <f t="shared" si="638"/>
        <v>0</v>
      </c>
      <c r="T107" s="195">
        <f t="shared" ref="T107" si="639">T44+T53+T66+T74+T79+T88+T106+T18+T19</f>
        <v>1000</v>
      </c>
      <c r="U107" s="194">
        <f t="shared" si="638"/>
        <v>0</v>
      </c>
      <c r="V107" s="195">
        <f t="shared" ref="V107" si="640">V44+V53+V66+V74+V79+V88+V106+V18+V19</f>
        <v>100</v>
      </c>
      <c r="W107" s="194">
        <f t="shared" si="638"/>
        <v>2413</v>
      </c>
      <c r="X107" s="195">
        <f t="shared" si="638"/>
        <v>2713</v>
      </c>
      <c r="Y107" s="194">
        <f t="shared" si="638"/>
        <v>1000</v>
      </c>
      <c r="Z107" s="195">
        <f t="shared" ref="Z107" si="641">Z44+Z53+Z66+Z74+Z79+Z88+Z106+Z18+Z19</f>
        <v>6526</v>
      </c>
      <c r="AA107" s="194">
        <f t="shared" si="638"/>
        <v>5115</v>
      </c>
      <c r="AB107" s="195">
        <f t="shared" ref="AB107" si="642">AB44+AB53+AB66+AB74+AB79+AB88+AB106+AB18+AB19</f>
        <v>4988</v>
      </c>
      <c r="AC107" s="194">
        <f t="shared" si="638"/>
        <v>400</v>
      </c>
      <c r="AD107" s="195">
        <f t="shared" ref="AD107" si="643">AD44+AD53+AD66+AD74+AD79+AD88+AD106+AD18+AD19</f>
        <v>400</v>
      </c>
      <c r="AE107" s="194">
        <f t="shared" si="638"/>
        <v>718340</v>
      </c>
      <c r="AF107" s="195" t="e">
        <f t="shared" ref="AF107:AH107" si="644">AF44+AF53+AF66+AF74+AF79+AF88+AF106+AF18+AF19</f>
        <v>#REF!</v>
      </c>
      <c r="AG107" s="194"/>
      <c r="AH107" s="195">
        <f t="shared" si="644"/>
        <v>60643</v>
      </c>
      <c r="AI107" s="194">
        <f t="shared" si="638"/>
        <v>24000</v>
      </c>
      <c r="AJ107" s="195">
        <f t="shared" ref="AJ107" si="645">AJ44+AJ53+AJ66+AJ74+AJ79+AJ88+AJ106+AJ18+AJ19</f>
        <v>21160</v>
      </c>
      <c r="AK107" s="194">
        <f t="shared" si="638"/>
        <v>3744</v>
      </c>
      <c r="AL107" s="195">
        <f t="shared" ref="AL107" si="646">AL44+AL53+AL66+AL74+AL79+AL88+AL106+AL18+AL19</f>
        <v>3744</v>
      </c>
      <c r="AM107" s="194">
        <f t="shared" si="638"/>
        <v>0</v>
      </c>
      <c r="AN107" s="195"/>
      <c r="AO107" s="194">
        <f t="shared" si="638"/>
        <v>4000</v>
      </c>
      <c r="AP107" s="195">
        <f t="shared" ref="AP107" si="647">AP44+AP53+AP66+AP74+AP79+AP88+AP106+AP18+AP19</f>
        <v>8061</v>
      </c>
      <c r="AQ107" s="194">
        <f t="shared" si="638"/>
        <v>1500</v>
      </c>
      <c r="AR107" s="195">
        <f t="shared" ref="AR107" si="648">AR44+AR53+AR66+AR74+AR79+AR88+AR106+AR18+AR19</f>
        <v>3500</v>
      </c>
      <c r="AS107" s="194">
        <f t="shared" si="638"/>
        <v>1000</v>
      </c>
      <c r="AT107" s="195">
        <f t="shared" ref="AT107" si="649">AT44+AT53+AT66+AT74+AT79+AT88+AT106+AT18+AT19</f>
        <v>5200</v>
      </c>
      <c r="AU107" s="194">
        <f t="shared" si="638"/>
        <v>0</v>
      </c>
      <c r="AV107" s="195">
        <f t="shared" ref="AV107" si="650">AV44+AV53+AV66+AV74+AV79+AV88+AV106+AV18+AV19</f>
        <v>0</v>
      </c>
      <c r="AW107" s="194">
        <f t="shared" si="638"/>
        <v>2811</v>
      </c>
      <c r="AX107" s="195">
        <f t="shared" ref="AX107" si="651">AX44+AX53+AX66+AX74+AX79+AX88+AX106+AX18+AX19</f>
        <v>2811</v>
      </c>
      <c r="AY107" s="194">
        <f t="shared" si="638"/>
        <v>1595</v>
      </c>
      <c r="AZ107" s="195">
        <f t="shared" ref="AZ107" si="652">AZ44+AZ53+AZ66+AZ74+AZ79+AZ88+AZ106+AZ18+AZ19</f>
        <v>1595</v>
      </c>
      <c r="BA107" s="194">
        <f t="shared" si="638"/>
        <v>6000</v>
      </c>
      <c r="BB107" s="195">
        <f t="shared" ref="BB107" si="653">BB44+BB53+BB66+BB74+BB79+BB88+BB106+BB18+BB19</f>
        <v>7620</v>
      </c>
      <c r="BC107" s="194">
        <f t="shared" si="638"/>
        <v>875</v>
      </c>
      <c r="BD107" s="195">
        <f t="shared" ref="BD107" si="654">BD44+BD53+BD66+BD74+BD79+BD88+BD106+BD18+BD19</f>
        <v>1750</v>
      </c>
      <c r="BE107" s="194">
        <f t="shared" si="638"/>
        <v>914</v>
      </c>
      <c r="BF107" s="195">
        <f t="shared" ref="BF107" si="655">BF44+BF53+BF66+BF74+BF79+BF88+BF106+BF18+BF19</f>
        <v>1829</v>
      </c>
      <c r="BG107" s="194">
        <f t="shared" si="638"/>
        <v>2400</v>
      </c>
      <c r="BH107" s="195">
        <f t="shared" ref="BH107" si="656">BH44+BH53+BH66+BH74+BH79+BH88+BH106+BH18+BH19</f>
        <v>2400</v>
      </c>
      <c r="BI107" s="194">
        <f t="shared" si="638"/>
        <v>2421</v>
      </c>
      <c r="BJ107" s="195">
        <f t="shared" ref="BJ107" si="657">BJ44+BJ53+BJ66+BJ74+BJ79+BJ88+BJ106+BJ18+BJ19</f>
        <v>2421</v>
      </c>
      <c r="BK107" s="194">
        <f t="shared" si="638"/>
        <v>2136</v>
      </c>
      <c r="BL107" s="195">
        <f t="shared" ref="BL107" si="658">BL44+BL53+BL66+BL74+BL79+BL88+BL106+BL18+BL19</f>
        <v>0</v>
      </c>
      <c r="BM107" s="194">
        <f t="shared" si="638"/>
        <v>1200</v>
      </c>
      <c r="BN107" s="195">
        <f t="shared" ref="BN107" si="659">BN44+BN53+BN66+BN74+BN79+BN88+BN106+BN18+BN19</f>
        <v>1500</v>
      </c>
      <c r="BO107" s="194">
        <f t="shared" si="638"/>
        <v>15000</v>
      </c>
      <c r="BP107" s="195">
        <f t="shared" ref="BP107" si="660">BP44+BP53+BP66+BP74+BP79+BP88+BP106+BP18+BP19</f>
        <v>18847</v>
      </c>
      <c r="BQ107" s="194">
        <f t="shared" ref="BQ107:DU107" si="661">BQ44+BQ53+BQ66+BQ74+BQ79+BQ88+BQ106+BQ18+BQ19</f>
        <v>11818</v>
      </c>
      <c r="BR107" s="195">
        <f t="shared" ref="BR107" si="662">BR44+BR53+BR66+BR74+BR79+BR88+BR106+BR18+BR19</f>
        <v>8163</v>
      </c>
      <c r="BS107" s="194">
        <f t="shared" si="661"/>
        <v>2000</v>
      </c>
      <c r="BT107" s="195">
        <f t="shared" ref="BT107" si="663">BT44+BT53+BT66+BT74+BT79+BT88+BT106+BT18+BT19</f>
        <v>2623</v>
      </c>
      <c r="BU107" s="194">
        <f t="shared" si="661"/>
        <v>19120</v>
      </c>
      <c r="BV107" s="195">
        <f t="shared" ref="BV107" si="664">BV44+BV53+BV66+BV74+BV79+BV88+BV106+BV18+BV19</f>
        <v>19120</v>
      </c>
      <c r="BW107" s="194">
        <f t="shared" si="661"/>
        <v>2000</v>
      </c>
      <c r="BX107" s="195">
        <f t="shared" ref="BX107" si="665">BX44+BX53+BX66+BX74+BX79+BX88+BX106+BX18+BX19</f>
        <v>2000</v>
      </c>
      <c r="BY107" s="194">
        <f t="shared" si="661"/>
        <v>3766</v>
      </c>
      <c r="BZ107" s="195">
        <f t="shared" ref="BZ107" si="666">BZ44+BZ53+BZ66+BZ74+BZ79+BZ88+BZ106+BZ18+BZ19</f>
        <v>1000</v>
      </c>
      <c r="CA107" s="194">
        <f t="shared" si="661"/>
        <v>7560</v>
      </c>
      <c r="CB107" s="195">
        <f t="shared" ref="CB107" si="667">CB44+CB53+CB66+CB74+CB79+CB88+CB106+CB18+CB19</f>
        <v>4440</v>
      </c>
      <c r="CC107" s="194">
        <f t="shared" si="661"/>
        <v>5400</v>
      </c>
      <c r="CD107" s="195">
        <f t="shared" ref="CD107" si="668">CD44+CD53+CD66+CD74+CD79+CD88+CD106+CD18+CD19</f>
        <v>5400</v>
      </c>
      <c r="CE107" s="194">
        <f>CE44+CE53+CE66+CE74+CE79+CE88+CE106+CE18+CE19</f>
        <v>400</v>
      </c>
      <c r="CF107" s="195">
        <f>CF44+CF53+CF66+CF74+CF79+CF88+CF106+CF18+CF19</f>
        <v>400</v>
      </c>
      <c r="CG107" s="194">
        <f t="shared" si="661"/>
        <v>0</v>
      </c>
      <c r="CH107" s="195">
        <f t="shared" ref="CH107" si="669">CH44+CH53+CH66+CH74+CH79+CH88+CH106+CH18+CH19</f>
        <v>0</v>
      </c>
      <c r="CI107" s="194">
        <f t="shared" si="661"/>
        <v>256163</v>
      </c>
      <c r="CJ107" s="195">
        <f t="shared" ref="CJ107" si="670">CJ44+CJ53+CJ66+CJ74+CJ79+CJ88+CJ106+CJ18+CJ19</f>
        <v>195415</v>
      </c>
      <c r="CK107" s="194">
        <f t="shared" si="661"/>
        <v>24888</v>
      </c>
      <c r="CL107" s="195">
        <f t="shared" ref="CL107" si="671">CL44+CL53+CL66+CL74+CL79+CL88+CL106+CL18+CL19</f>
        <v>27269</v>
      </c>
      <c r="CM107" s="194">
        <f t="shared" si="661"/>
        <v>3000</v>
      </c>
      <c r="CN107" s="195">
        <f t="shared" ref="CN107" si="672">CN44+CN53+CN66+CN74+CN79+CN88+CN106+CN18+CN19</f>
        <v>1500</v>
      </c>
      <c r="CO107" s="194">
        <f t="shared" si="661"/>
        <v>6500</v>
      </c>
      <c r="CP107" s="195">
        <f t="shared" ref="CP107" si="673">CP44+CP53+CP66+CP74+CP79+CP88+CP106+CP18+CP19</f>
        <v>6500</v>
      </c>
      <c r="CQ107" s="194">
        <f t="shared" si="661"/>
        <v>2572</v>
      </c>
      <c r="CR107" s="195">
        <f t="shared" ref="CR107" si="674">CR44+CR53+CR66+CR74+CR79+CR88+CR106+CR18+CR19</f>
        <v>2572</v>
      </c>
      <c r="CS107" s="194">
        <f t="shared" si="661"/>
        <v>0</v>
      </c>
      <c r="CT107" s="195">
        <f t="shared" ref="CT107" si="675">CT44+CT53+CT66+CT74+CT79+CT88+CT106+CT18+CT19</f>
        <v>15890</v>
      </c>
      <c r="CU107" s="194">
        <f t="shared" si="661"/>
        <v>31500</v>
      </c>
      <c r="CV107" s="195">
        <f t="shared" ref="CV107" si="676">CV44+CV53+CV66+CV74+CV79+CV88+CV106+CV18+CV19</f>
        <v>31500</v>
      </c>
      <c r="CW107" s="194">
        <f t="shared" si="661"/>
        <v>9500</v>
      </c>
      <c r="CX107" s="195">
        <f t="shared" ref="CX107" si="677">CX44+CX53+CX66+CX74+CX79+CX88+CX106+CX18+CX19</f>
        <v>14760</v>
      </c>
      <c r="CY107" s="194">
        <f t="shared" si="661"/>
        <v>0</v>
      </c>
      <c r="CZ107" s="195"/>
      <c r="DA107" s="194">
        <f t="shared" si="661"/>
        <v>0</v>
      </c>
      <c r="DB107" s="195"/>
      <c r="DC107" s="194">
        <f t="shared" si="661"/>
        <v>1710</v>
      </c>
      <c r="DD107" s="195">
        <f t="shared" ref="DD107" si="678">DD44+DD53+DD66+DD74+DD79+DD88+DD106+DD18+DD19</f>
        <v>2470</v>
      </c>
      <c r="DE107" s="194">
        <f t="shared" si="661"/>
        <v>32000</v>
      </c>
      <c r="DF107" s="195">
        <f t="shared" ref="DF107" si="679">DF44+DF53+DF66+DF74+DF79+DF88+DF106+DF18+DF19</f>
        <v>18840</v>
      </c>
      <c r="DG107" s="194">
        <f t="shared" si="661"/>
        <v>6000</v>
      </c>
      <c r="DH107" s="195">
        <f t="shared" ref="DH107" si="680">DH44+DH53+DH66+DH74+DH79+DH88+DH106+DH18+DH19</f>
        <v>40397</v>
      </c>
      <c r="DI107" s="194">
        <f t="shared" si="661"/>
        <v>263547</v>
      </c>
      <c r="DJ107" s="195" t="e">
        <f t="shared" ref="DJ107" si="681">DJ44+DJ53+DJ66+DJ74+DJ79+DJ88+DJ106+DJ18+DJ19</f>
        <v>#REF!</v>
      </c>
      <c r="DK107" s="194">
        <f t="shared" si="661"/>
        <v>29040</v>
      </c>
      <c r="DL107" s="195">
        <f t="shared" ref="DL107" si="682">DL44+DL53+DL66+DL74+DL79+DL88+DL106+DL18+DL19</f>
        <v>17000</v>
      </c>
      <c r="DM107" s="194">
        <f t="shared" si="661"/>
        <v>2000</v>
      </c>
      <c r="DN107" s="195">
        <f t="shared" ref="DN107" si="683">DN44+DN53+DN66+DN74+DN79+DN88+DN106+DN18+DN19</f>
        <v>5000</v>
      </c>
      <c r="DO107" s="194">
        <f t="shared" si="661"/>
        <v>1000</v>
      </c>
      <c r="DP107" s="195">
        <f t="shared" ref="DP107" si="684">DP44+DP53+DP66+DP74+DP79+DP88+DP106+DP18+DP19</f>
        <v>1000</v>
      </c>
      <c r="DQ107" s="194">
        <f t="shared" si="661"/>
        <v>0</v>
      </c>
      <c r="DR107" s="195"/>
      <c r="DS107" s="194">
        <f t="shared" si="661"/>
        <v>15543</v>
      </c>
      <c r="DT107" s="195">
        <f t="shared" ref="DT107" si="685">DT44+DT53+DT66+DT74+DT79+DT88+DT106+DT18+DT19</f>
        <v>23314</v>
      </c>
      <c r="DU107" s="194">
        <f t="shared" si="661"/>
        <v>200</v>
      </c>
      <c r="DV107" s="195">
        <f t="shared" ref="DV107" si="686"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0.7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9" width="12" style="6" customWidth="1"/>
    <col min="10" max="10" width="10.75" style="6" customWidth="1"/>
    <col min="11" max="11" width="12" style="6" customWidth="1"/>
    <col min="12" max="12" width="10.75" style="6" customWidth="1"/>
    <col min="13" max="13" width="12" style="6" customWidth="1"/>
    <col min="14" max="16384" width="11.625" style="5"/>
  </cols>
  <sheetData>
    <row r="1" spans="1:13" s="1" customFormat="1" ht="12.75" customHeight="1" x14ac:dyDescent="0.25">
      <c r="A1" s="950" t="s">
        <v>606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</row>
    <row r="2" spans="1:13" s="1" customFormat="1" ht="14.1" customHeight="1" x14ac:dyDescent="0.25">
      <c r="A2" s="913" t="s">
        <v>0</v>
      </c>
      <c r="B2" s="914" t="s">
        <v>1</v>
      </c>
      <c r="C2" s="913" t="s">
        <v>2</v>
      </c>
      <c r="D2" s="915" t="s">
        <v>260</v>
      </c>
      <c r="E2" s="905" t="s">
        <v>259</v>
      </c>
      <c r="F2" s="907" t="s">
        <v>603</v>
      </c>
      <c r="G2" s="908"/>
      <c r="H2" s="907" t="s">
        <v>604</v>
      </c>
      <c r="I2" s="908"/>
      <c r="J2" s="907" t="s">
        <v>605</v>
      </c>
      <c r="K2" s="908"/>
      <c r="L2" s="948" t="s">
        <v>1273</v>
      </c>
      <c r="M2" s="949"/>
    </row>
    <row r="3" spans="1:13" s="3" customFormat="1" ht="25.5" customHeight="1" x14ac:dyDescent="0.25">
      <c r="A3" s="913"/>
      <c r="B3" s="914"/>
      <c r="C3" s="913"/>
      <c r="D3" s="915"/>
      <c r="E3" s="906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  <c r="L3" s="325" t="s">
        <v>260</v>
      </c>
      <c r="M3" s="325" t="s">
        <v>259</v>
      </c>
    </row>
    <row r="4" spans="1:13" ht="5.6" customHeight="1" x14ac:dyDescent="0.25"/>
    <row r="5" spans="1:13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  <c r="J5" s="102"/>
      <c r="K5" s="102"/>
      <c r="L5" s="102"/>
      <c r="M5" s="102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>F8+H8+J8</f>
        <v>0</v>
      </c>
      <c r="E8" s="9">
        <f t="shared" ref="E8:E10" si="0">G8+I8+K8</f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>F9+H9+J9</f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>F10+H10+J10</f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 t="shared" ref="I10" si="1"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</f>
        <v>0</v>
      </c>
      <c r="E13" s="9">
        <f t="shared" ref="E13:E15" si="2">G13+I13+K13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>F15+H15+J15</f>
        <v>1200</v>
      </c>
      <c r="E15" s="9">
        <f t="shared" si="2"/>
        <v>1344</v>
      </c>
      <c r="F15" s="10">
        <v>0</v>
      </c>
      <c r="G15" s="10">
        <f>G16</f>
        <v>0</v>
      </c>
      <c r="H15" s="10">
        <f>H16</f>
        <v>1200</v>
      </c>
      <c r="I15" s="10">
        <f t="shared" ref="I15" si="3"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>F17+H17+J17</f>
        <v>0</v>
      </c>
      <c r="E17" s="9">
        <f t="shared" ref="E17:E19" si="4">G17+I17+K17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>F18+H18+J18</f>
        <v>1222</v>
      </c>
      <c r="E18" s="9">
        <f t="shared" si="4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>F19+H19+J19</f>
        <v>0</v>
      </c>
      <c r="E19" s="9">
        <f t="shared" si="4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1275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 t="shared" ref="D21:D22" si="5">F21+H21+J21</f>
        <v>0</v>
      </c>
      <c r="E21" s="9">
        <f t="shared" ref="E21:E22" si="6"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 t="shared" si="5"/>
        <v>0</v>
      </c>
      <c r="E22" s="9">
        <f t="shared" si="6"/>
        <v>0</v>
      </c>
      <c r="F22" s="10">
        <f>F23</f>
        <v>0</v>
      </c>
      <c r="G22" s="10">
        <f t="shared" ref="G22:I22" si="7">G23</f>
        <v>0</v>
      </c>
      <c r="H22" s="10">
        <f t="shared" si="7"/>
        <v>0</v>
      </c>
      <c r="I22" s="10">
        <f t="shared" si="7"/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" customHeight="1" x14ac:dyDescent="0.25">
      <c r="A25" s="11"/>
      <c r="B25" s="11"/>
      <c r="C25" s="12" t="s">
        <v>1277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8">D6+D8+D9+D10+D13+D14+D15+D17+D18+D19+D21+D22+D24</f>
        <v>32521</v>
      </c>
      <c r="E26" s="18">
        <f t="shared" si="8"/>
        <v>36375</v>
      </c>
      <c r="F26" s="18">
        <f t="shared" si="8"/>
        <v>0</v>
      </c>
      <c r="G26" s="18">
        <f t="shared" si="8"/>
        <v>0</v>
      </c>
      <c r="H26" s="18">
        <f t="shared" si="8"/>
        <v>32521</v>
      </c>
      <c r="I26" s="18">
        <f t="shared" si="8"/>
        <v>36375</v>
      </c>
      <c r="J26" s="18">
        <f t="shared" si="8"/>
        <v>0</v>
      </c>
      <c r="K26" s="18">
        <f t="shared" si="8"/>
        <v>0</v>
      </c>
      <c r="L26" s="18">
        <f t="shared" ref="L26:M26" si="9">L6+L8+L9+L10+L13+L14+L15+L17+L18+L19+L21+L22+L24</f>
        <v>0</v>
      </c>
      <c r="M26" s="18">
        <f t="shared" si="9"/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 t="shared" ref="D27:D28" si="10">F27+H27+J27</f>
        <v>0</v>
      </c>
      <c r="E27" s="9">
        <f t="shared" ref="E27:E28" si="11"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 t="shared" si="10"/>
        <v>1700</v>
      </c>
      <c r="E28" s="9">
        <f t="shared" si="11"/>
        <v>1700</v>
      </c>
      <c r="F28" s="10">
        <f>F29</f>
        <v>0</v>
      </c>
      <c r="G28" s="10">
        <f t="shared" ref="G28:I28" si="12">G29</f>
        <v>0</v>
      </c>
      <c r="H28" s="10">
        <f t="shared" si="12"/>
        <v>1700</v>
      </c>
      <c r="I28" s="10">
        <f t="shared" si="12"/>
        <v>1700</v>
      </c>
      <c r="J28" s="10">
        <f>J29</f>
        <v>0</v>
      </c>
      <c r="K28" s="10">
        <f>K29</f>
        <v>0</v>
      </c>
      <c r="L28" s="10">
        <f>L29</f>
        <v>0</v>
      </c>
      <c r="M28" s="10">
        <f>M29</f>
        <v>0</v>
      </c>
    </row>
    <row r="29" spans="1:13" s="15" customFormat="1" ht="11.4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>F31</f>
        <v>130</v>
      </c>
      <c r="G30" s="10">
        <f t="shared" ref="G30:I30" si="13">G31</f>
        <v>130</v>
      </c>
      <c r="H30" s="10">
        <f t="shared" si="13"/>
        <v>40</v>
      </c>
      <c r="I30" s="10">
        <f t="shared" si="13"/>
        <v>40</v>
      </c>
      <c r="J30" s="10">
        <f>J31</f>
        <v>80</v>
      </c>
      <c r="K30" s="10">
        <f>K31</f>
        <v>80</v>
      </c>
      <c r="L30" s="10">
        <f>L31</f>
        <v>0</v>
      </c>
      <c r="M30" s="10">
        <f>M31</f>
        <v>1000</v>
      </c>
    </row>
    <row r="31" spans="1:13" s="15" customFormat="1" ht="11.4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14">E27+E28+E30</f>
        <v>2950</v>
      </c>
      <c r="F32" s="18">
        <f t="shared" si="14"/>
        <v>130</v>
      </c>
      <c r="G32" s="18">
        <f t="shared" si="14"/>
        <v>130</v>
      </c>
      <c r="H32" s="18">
        <f t="shared" si="14"/>
        <v>1740</v>
      </c>
      <c r="I32" s="18">
        <f t="shared" si="14"/>
        <v>1740</v>
      </c>
      <c r="J32" s="18">
        <f t="shared" si="14"/>
        <v>80</v>
      </c>
      <c r="K32" s="18">
        <f t="shared" ref="K32:L32" si="15">K27+K28+K30</f>
        <v>80</v>
      </c>
      <c r="L32" s="18">
        <f t="shared" si="15"/>
        <v>0</v>
      </c>
      <c r="M32" s="18">
        <f t="shared" ref="M32" si="16"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17">E26+E32</f>
        <v>39325</v>
      </c>
      <c r="F33" s="22">
        <f t="shared" si="17"/>
        <v>130</v>
      </c>
      <c r="G33" s="22">
        <f t="shared" si="17"/>
        <v>130</v>
      </c>
      <c r="H33" s="22">
        <f t="shared" si="17"/>
        <v>34261</v>
      </c>
      <c r="I33" s="22">
        <f t="shared" si="17"/>
        <v>38115</v>
      </c>
      <c r="J33" s="22">
        <f t="shared" si="17"/>
        <v>80</v>
      </c>
      <c r="K33" s="22">
        <f t="shared" ref="K33:L33" si="18">K26+K32</f>
        <v>80</v>
      </c>
      <c r="L33" s="22">
        <f t="shared" si="18"/>
        <v>0</v>
      </c>
      <c r="M33" s="22">
        <f t="shared" ref="M33" si="19">M26+M32</f>
        <v>1000</v>
      </c>
    </row>
    <row r="34" spans="1:13" s="15" customFormat="1" ht="11.4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" customHeight="1" x14ac:dyDescent="0.25">
      <c r="A35" s="11"/>
      <c r="B35" s="11"/>
      <c r="C35" s="12" t="s">
        <v>61</v>
      </c>
      <c r="D35" s="13">
        <f t="shared" ref="D35:D37" si="20"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" customHeight="1" x14ac:dyDescent="0.25">
      <c r="A36" s="11"/>
      <c r="B36" s="11"/>
      <c r="C36" s="12" t="s">
        <v>62</v>
      </c>
      <c r="D36" s="13">
        <f t="shared" si="20"/>
        <v>0</v>
      </c>
      <c r="E36" s="13">
        <f t="shared" ref="E36" si="21"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" customHeight="1" x14ac:dyDescent="0.25">
      <c r="A37" s="11"/>
      <c r="B37" s="11"/>
      <c r="C37" s="12" t="s">
        <v>63</v>
      </c>
      <c r="D37" s="13">
        <f t="shared" si="20"/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22">E34+E35+E36+E37</f>
        <v>10669</v>
      </c>
      <c r="F38" s="22">
        <f t="shared" si="22"/>
        <v>67</v>
      </c>
      <c r="G38" s="22">
        <f t="shared" si="22"/>
        <v>67</v>
      </c>
      <c r="H38" s="22">
        <f t="shared" si="22"/>
        <v>8989</v>
      </c>
      <c r="I38" s="22">
        <f t="shared" si="22"/>
        <v>10050</v>
      </c>
      <c r="J38" s="22">
        <f t="shared" si="22"/>
        <v>41</v>
      </c>
      <c r="K38" s="22">
        <f t="shared" ref="K38:L38" si="23">K34+K35+K36+K37</f>
        <v>41</v>
      </c>
      <c r="L38" s="22">
        <f t="shared" si="23"/>
        <v>0</v>
      </c>
      <c r="M38" s="22">
        <f t="shared" ref="M38" si="24">M34+M35+M36+M37</f>
        <v>511</v>
      </c>
    </row>
    <row r="39" spans="1:13" s="3" customFormat="1" ht="14.1" customHeight="1" x14ac:dyDescent="0.25">
      <c r="A39" s="909" t="s">
        <v>66</v>
      </c>
      <c r="B39" s="910"/>
      <c r="C39" s="911"/>
      <c r="D39" s="30">
        <f>D33+D38</f>
        <v>43568</v>
      </c>
      <c r="E39" s="30">
        <f t="shared" ref="E39:J39" si="25">E33+E38</f>
        <v>49994</v>
      </c>
      <c r="F39" s="30">
        <f t="shared" si="25"/>
        <v>197</v>
      </c>
      <c r="G39" s="30">
        <f t="shared" si="25"/>
        <v>197</v>
      </c>
      <c r="H39" s="30">
        <f t="shared" si="25"/>
        <v>43250</v>
      </c>
      <c r="I39" s="30">
        <f t="shared" si="25"/>
        <v>48165</v>
      </c>
      <c r="J39" s="30">
        <f t="shared" si="25"/>
        <v>121</v>
      </c>
      <c r="K39" s="30">
        <f t="shared" ref="K39:L39" si="26">K33+K38</f>
        <v>121</v>
      </c>
      <c r="L39" s="30">
        <f t="shared" si="26"/>
        <v>0</v>
      </c>
      <c r="M39" s="30">
        <f t="shared" ref="M39" si="27">M33+M38</f>
        <v>1511</v>
      </c>
    </row>
    <row r="40" spans="1:13" s="1" customFormat="1" ht="12.75" customHeight="1" x14ac:dyDescent="0.25">
      <c r="A40" s="919" t="s">
        <v>607</v>
      </c>
      <c r="B40" s="920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</row>
    <row r="41" spans="1:13" s="1" customFormat="1" ht="14.1" customHeight="1" x14ac:dyDescent="0.25">
      <c r="A41" s="913" t="s">
        <v>0</v>
      </c>
      <c r="B41" s="914" t="s">
        <v>1</v>
      </c>
      <c r="C41" s="913" t="s">
        <v>2</v>
      </c>
      <c r="D41" s="915" t="s">
        <v>260</v>
      </c>
      <c r="E41" s="905" t="s">
        <v>259</v>
      </c>
      <c r="F41" s="907" t="s">
        <v>603</v>
      </c>
      <c r="G41" s="908"/>
      <c r="H41" s="907" t="s">
        <v>604</v>
      </c>
      <c r="I41" s="908"/>
      <c r="J41" s="907" t="s">
        <v>605</v>
      </c>
      <c r="K41" s="908"/>
      <c r="L41" s="948" t="s">
        <v>1274</v>
      </c>
      <c r="M41" s="949"/>
    </row>
    <row r="42" spans="1:13" s="3" customFormat="1" ht="32.950000000000003" customHeight="1" x14ac:dyDescent="0.25">
      <c r="A42" s="913"/>
      <c r="B42" s="914"/>
      <c r="C42" s="913"/>
      <c r="D42" s="915"/>
      <c r="E42" s="906"/>
      <c r="F42" s="98" t="s">
        <v>263</v>
      </c>
      <c r="G42" s="98" t="s">
        <v>259</v>
      </c>
      <c r="H42" s="98" t="s">
        <v>260</v>
      </c>
      <c r="I42" s="98" t="s">
        <v>259</v>
      </c>
      <c r="J42" s="98" t="s">
        <v>260</v>
      </c>
      <c r="K42" s="98" t="s">
        <v>259</v>
      </c>
      <c r="L42" s="325" t="s">
        <v>260</v>
      </c>
      <c r="M42" s="325" t="s">
        <v>259</v>
      </c>
    </row>
    <row r="43" spans="1:13" ht="5.6" customHeight="1" x14ac:dyDescent="0.25"/>
    <row r="44" spans="1:13" ht="14.1" customHeight="1" x14ac:dyDescent="0.25">
      <c r="A44" s="912" t="s">
        <v>288</v>
      </c>
      <c r="B44" s="912"/>
      <c r="C44" s="912"/>
      <c r="D44" s="912"/>
      <c r="E44" s="912"/>
      <c r="F44" s="912"/>
      <c r="G44" s="912"/>
      <c r="H44" s="912"/>
      <c r="I44" s="912"/>
      <c r="J44" s="102"/>
      <c r="K44" s="102"/>
      <c r="L44" s="102"/>
      <c r="M44" s="102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>SUM(F46:F51)</f>
        <v>0</v>
      </c>
      <c r="G45" s="10">
        <f t="shared" ref="G45:K45" si="28">SUM(G46:G51)</f>
        <v>0</v>
      </c>
      <c r="H45" s="10">
        <f t="shared" si="28"/>
        <v>25</v>
      </c>
      <c r="I45" s="10">
        <f t="shared" si="28"/>
        <v>40</v>
      </c>
      <c r="J45" s="10">
        <f t="shared" si="28"/>
        <v>0</v>
      </c>
      <c r="K45" s="10">
        <f t="shared" si="28"/>
        <v>0</v>
      </c>
      <c r="L45" s="10">
        <f t="shared" ref="L45:M45" si="29">SUM(L46:L51)</f>
        <v>0</v>
      </c>
      <c r="M45" s="10">
        <f t="shared" si="29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>SUM(F53:F58)</f>
        <v>325</v>
      </c>
      <c r="G52" s="10">
        <f>SUM(G53:G58)</f>
        <v>350</v>
      </c>
      <c r="H52" s="10">
        <f>SUM(H53:H58)</f>
        <v>1475</v>
      </c>
      <c r="I52" s="10">
        <f>SUM(I53:I58)</f>
        <v>1540</v>
      </c>
      <c r="J52" s="10">
        <f t="shared" ref="J52:K52" si="30">SUM(J53:J58)</f>
        <v>50</v>
      </c>
      <c r="K52" s="10">
        <f t="shared" si="30"/>
        <v>50</v>
      </c>
      <c r="L52" s="10">
        <f t="shared" ref="L52:M52" si="31">SUM(L53:L58)</f>
        <v>0</v>
      </c>
      <c r="M52" s="10">
        <f t="shared" si="3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>SUM(F60:F61)</f>
        <v>0</v>
      </c>
      <c r="G59" s="10">
        <f t="shared" ref="G59:K59" si="32">SUM(G60:G61)</f>
        <v>0</v>
      </c>
      <c r="H59" s="10">
        <f t="shared" si="32"/>
        <v>0</v>
      </c>
      <c r="I59" s="10">
        <f t="shared" si="32"/>
        <v>0</v>
      </c>
      <c r="J59" s="10">
        <f t="shared" si="32"/>
        <v>0</v>
      </c>
      <c r="K59" s="10">
        <f t="shared" si="32"/>
        <v>0</v>
      </c>
      <c r="L59" s="10">
        <f t="shared" ref="L59:M59" si="33">SUM(L60:L61)</f>
        <v>0</v>
      </c>
      <c r="M59" s="10">
        <f t="shared" si="33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34">E45+E52</f>
        <v>1980</v>
      </c>
      <c r="F62" s="19">
        <f t="shared" si="34"/>
        <v>325</v>
      </c>
      <c r="G62" s="19">
        <f t="shared" si="34"/>
        <v>350</v>
      </c>
      <c r="H62" s="19">
        <f t="shared" si="34"/>
        <v>1500</v>
      </c>
      <c r="I62" s="19">
        <f t="shared" si="34"/>
        <v>1580</v>
      </c>
      <c r="J62" s="19">
        <f t="shared" si="34"/>
        <v>50</v>
      </c>
      <c r="K62" s="19">
        <f t="shared" si="34"/>
        <v>50</v>
      </c>
      <c r="L62" s="19">
        <f t="shared" ref="L62:M62" si="35">L45+L52</f>
        <v>0</v>
      </c>
      <c r="M62" s="19">
        <f t="shared" si="35"/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>SUM(F64:F69)</f>
        <v>190</v>
      </c>
      <c r="G63" s="10">
        <f>SUM(G64:G69)</f>
        <v>300</v>
      </c>
      <c r="H63" s="10">
        <f t="shared" ref="H63:K63" si="36">SUM(H64:H69)</f>
        <v>840</v>
      </c>
      <c r="I63" s="10">
        <f t="shared" si="36"/>
        <v>960</v>
      </c>
      <c r="J63" s="10">
        <f t="shared" si="36"/>
        <v>0</v>
      </c>
      <c r="K63" s="10">
        <f t="shared" si="36"/>
        <v>0</v>
      </c>
      <c r="L63" s="10">
        <f t="shared" ref="L63:M63" si="37">SUM(L64:L69)</f>
        <v>0</v>
      </c>
      <c r="M63" s="10">
        <f t="shared" si="37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>SUM(F71:F72)</f>
        <v>147</v>
      </c>
      <c r="G70" s="10">
        <f t="shared" ref="G70:K70" si="38">SUM(G71:G72)</f>
        <v>145</v>
      </c>
      <c r="H70" s="10">
        <f t="shared" si="38"/>
        <v>183</v>
      </c>
      <c r="I70" s="10">
        <f t="shared" si="38"/>
        <v>145</v>
      </c>
      <c r="J70" s="10">
        <f t="shared" si="38"/>
        <v>0</v>
      </c>
      <c r="K70" s="10">
        <f t="shared" si="38"/>
        <v>0</v>
      </c>
      <c r="L70" s="10">
        <f t="shared" ref="L70:M70" si="39">SUM(L71:L72)</f>
        <v>0</v>
      </c>
      <c r="M70" s="10">
        <f t="shared" si="39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40">E63+E70</f>
        <v>1550</v>
      </c>
      <c r="F73" s="19">
        <f t="shared" si="40"/>
        <v>337</v>
      </c>
      <c r="G73" s="19">
        <f t="shared" si="40"/>
        <v>445</v>
      </c>
      <c r="H73" s="19">
        <f t="shared" si="40"/>
        <v>1023</v>
      </c>
      <c r="I73" s="19">
        <f t="shared" si="40"/>
        <v>1105</v>
      </c>
      <c r="J73" s="19">
        <f t="shared" si="40"/>
        <v>0</v>
      </c>
      <c r="K73" s="19">
        <f t="shared" si="40"/>
        <v>0</v>
      </c>
      <c r="L73" s="19">
        <f t="shared" ref="L73:M73" si="41">L63+L70</f>
        <v>0</v>
      </c>
      <c r="M73" s="19">
        <f t="shared" si="41"/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>SUM(F75:F77)</f>
        <v>0</v>
      </c>
      <c r="G74" s="10">
        <f t="shared" ref="G74:K74" si="42">SUM(G75:G77)</f>
        <v>0</v>
      </c>
      <c r="H74" s="10">
        <f t="shared" si="42"/>
        <v>18425</v>
      </c>
      <c r="I74" s="10">
        <f t="shared" si="42"/>
        <v>16180</v>
      </c>
      <c r="J74" s="10">
        <f t="shared" si="42"/>
        <v>0</v>
      </c>
      <c r="K74" s="10">
        <f t="shared" si="42"/>
        <v>0</v>
      </c>
      <c r="L74" s="10">
        <f t="shared" ref="L74:M74" si="43">SUM(L75:L77)</f>
        <v>0</v>
      </c>
      <c r="M74" s="10">
        <f t="shared" si="43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 t="shared" ref="J78:M78" si="44">J79</f>
        <v>0</v>
      </c>
      <c r="K78" s="10">
        <f t="shared" si="44"/>
        <v>0</v>
      </c>
      <c r="L78" s="10">
        <f t="shared" si="44"/>
        <v>0</v>
      </c>
      <c r="M78" s="10">
        <f t="shared" si="44"/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>SUM(F81:F82)</f>
        <v>0</v>
      </c>
      <c r="G80" s="10">
        <f t="shared" ref="G80:K80" si="45">SUM(G81:G82)</f>
        <v>200</v>
      </c>
      <c r="H80" s="10">
        <f t="shared" si="45"/>
        <v>85</v>
      </c>
      <c r="I80" s="10">
        <f t="shared" si="45"/>
        <v>158</v>
      </c>
      <c r="J80" s="10">
        <f t="shared" si="45"/>
        <v>0</v>
      </c>
      <c r="K80" s="10">
        <f t="shared" si="45"/>
        <v>0</v>
      </c>
      <c r="L80" s="10">
        <f t="shared" ref="L80:M80" si="46">SUM(L81:L82)</f>
        <v>0</v>
      </c>
      <c r="M80" s="10">
        <f t="shared" si="46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>SUM(F85:F86)</f>
        <v>0</v>
      </c>
      <c r="G84" s="10">
        <f>SUM(G85:G86)</f>
        <v>0</v>
      </c>
      <c r="H84" s="10">
        <f>SUM(H85:H86)</f>
        <v>2570</v>
      </c>
      <c r="I84" s="10">
        <f>SUM(I85:I86)</f>
        <v>2520</v>
      </c>
      <c r="J84" s="10">
        <f t="shared" ref="J84:K84" si="47">SUM(J85:J86)</f>
        <v>0</v>
      </c>
      <c r="K84" s="10">
        <f t="shared" si="47"/>
        <v>0</v>
      </c>
      <c r="L84" s="10">
        <f t="shared" ref="L84:M84" si="48">SUM(L85:L86)</f>
        <v>0</v>
      </c>
      <c r="M84" s="10">
        <f t="shared" si="48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>SUM(F88:F90)</f>
        <v>11845</v>
      </c>
      <c r="G87" s="10">
        <f t="shared" ref="G87:K87" si="49">SUM(G88:G90)</f>
        <v>11845</v>
      </c>
      <c r="H87" s="10">
        <f t="shared" si="49"/>
        <v>0</v>
      </c>
      <c r="I87" s="10">
        <f t="shared" si="49"/>
        <v>0</v>
      </c>
      <c r="J87" s="10">
        <f t="shared" si="49"/>
        <v>3000</v>
      </c>
      <c r="K87" s="10">
        <f t="shared" si="49"/>
        <v>3000</v>
      </c>
      <c r="L87" s="10">
        <f t="shared" ref="L87:M87" si="50">SUM(L88:L90)</f>
        <v>0</v>
      </c>
      <c r="M87" s="10">
        <f t="shared" si="5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>SUM(F92:F95)</f>
        <v>140</v>
      </c>
      <c r="G91" s="10">
        <f t="shared" ref="G91:K91" si="51">SUM(G92:G95)</f>
        <v>100</v>
      </c>
      <c r="H91" s="10">
        <f t="shared" si="51"/>
        <v>11468</v>
      </c>
      <c r="I91" s="10">
        <f t="shared" si="51"/>
        <v>11865</v>
      </c>
      <c r="J91" s="10">
        <f t="shared" si="51"/>
        <v>0</v>
      </c>
      <c r="K91" s="10">
        <f t="shared" si="51"/>
        <v>0</v>
      </c>
      <c r="L91" s="10">
        <f t="shared" ref="L91:M91" si="52">SUM(L92:L95)</f>
        <v>0</v>
      </c>
      <c r="M91" s="10">
        <f t="shared" si="52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53">E74+E78+E80+E83+E84+E87+E91</f>
        <v>63950</v>
      </c>
      <c r="F96" s="19">
        <f t="shared" si="53"/>
        <v>11985</v>
      </c>
      <c r="G96" s="19">
        <f t="shared" si="53"/>
        <v>12145</v>
      </c>
      <c r="H96" s="19">
        <f t="shared" si="53"/>
        <v>42440</v>
      </c>
      <c r="I96" s="19">
        <f t="shared" si="53"/>
        <v>43805</v>
      </c>
      <c r="J96" s="19">
        <f t="shared" si="53"/>
        <v>3000</v>
      </c>
      <c r="K96" s="19">
        <f t="shared" si="53"/>
        <v>3000</v>
      </c>
      <c r="L96" s="19">
        <f t="shared" ref="L96:M96" si="54">L74+L78+L80+L83+L84+L87+L91</f>
        <v>0</v>
      </c>
      <c r="M96" s="19">
        <f t="shared" si="54"/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>SUM(F98:F99)</f>
        <v>15</v>
      </c>
      <c r="G97" s="10">
        <f t="shared" ref="G97:K97" si="55">SUM(G98:G99)</f>
        <v>0</v>
      </c>
      <c r="H97" s="10">
        <f t="shared" si="55"/>
        <v>40</v>
      </c>
      <c r="I97" s="10">
        <f t="shared" si="55"/>
        <v>60</v>
      </c>
      <c r="J97" s="10">
        <f t="shared" si="55"/>
        <v>0</v>
      </c>
      <c r="K97" s="10">
        <f t="shared" si="55"/>
        <v>0</v>
      </c>
      <c r="L97" s="10">
        <f t="shared" ref="L97:M97" si="56">SUM(L98:L99)</f>
        <v>0</v>
      </c>
      <c r="M97" s="10">
        <f t="shared" si="56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57">E97+E100</f>
        <v>2808</v>
      </c>
      <c r="F101" s="19">
        <f t="shared" si="57"/>
        <v>1515</v>
      </c>
      <c r="G101" s="19">
        <f t="shared" si="57"/>
        <v>2548</v>
      </c>
      <c r="H101" s="19">
        <f t="shared" si="57"/>
        <v>40</v>
      </c>
      <c r="I101" s="19">
        <f t="shared" si="57"/>
        <v>60</v>
      </c>
      <c r="J101" s="19">
        <f t="shared" si="57"/>
        <v>0</v>
      </c>
      <c r="K101" s="19">
        <f t="shared" si="57"/>
        <v>100</v>
      </c>
      <c r="L101" s="19">
        <f t="shared" ref="L101:M101" si="58">L97+L100</f>
        <v>0</v>
      </c>
      <c r="M101" s="19">
        <f t="shared" si="58"/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>SUM(F103:F104)</f>
        <v>1878</v>
      </c>
      <c r="G102" s="10">
        <f t="shared" ref="G102:K102" si="59">SUM(G103:G104)</f>
        <v>2236</v>
      </c>
      <c r="H102" s="10">
        <f t="shared" si="59"/>
        <v>12141</v>
      </c>
      <c r="I102" s="10">
        <f t="shared" si="59"/>
        <v>12487</v>
      </c>
      <c r="J102" s="10">
        <f t="shared" si="59"/>
        <v>837</v>
      </c>
      <c r="K102" s="10">
        <f t="shared" si="59"/>
        <v>851</v>
      </c>
      <c r="L102" s="10">
        <f t="shared" ref="L102:M102" si="60">SUM(L103:L104)</f>
        <v>0</v>
      </c>
      <c r="M102" s="10">
        <f t="shared" si="60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>SUM(F106:F108)</f>
        <v>2000</v>
      </c>
      <c r="G105" s="10">
        <f t="shared" ref="G105:K105" si="61">SUM(G106:G108)</f>
        <v>0</v>
      </c>
      <c r="H105" s="10">
        <f t="shared" si="61"/>
        <v>2000</v>
      </c>
      <c r="I105" s="10">
        <f t="shared" si="61"/>
        <v>4500</v>
      </c>
      <c r="J105" s="10">
        <f t="shared" si="61"/>
        <v>0</v>
      </c>
      <c r="K105" s="10">
        <f t="shared" si="61"/>
        <v>0</v>
      </c>
      <c r="L105" s="10">
        <f t="shared" ref="L105:M105" si="62">SUM(L106:L108)</f>
        <v>0</v>
      </c>
      <c r="M105" s="10">
        <f t="shared" si="62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>SUM(F110:F113)</f>
        <v>0</v>
      </c>
      <c r="G109" s="10">
        <f t="shared" ref="G109:K109" si="63">SUM(G110:G113)</f>
        <v>0</v>
      </c>
      <c r="H109" s="10">
        <f t="shared" si="63"/>
        <v>0</v>
      </c>
      <c r="I109" s="10">
        <f t="shared" si="63"/>
        <v>0</v>
      </c>
      <c r="J109" s="10">
        <f t="shared" si="63"/>
        <v>0</v>
      </c>
      <c r="K109" s="10">
        <f t="shared" si="63"/>
        <v>0</v>
      </c>
      <c r="L109" s="10">
        <f t="shared" ref="L109:M109" si="64">SUM(L110:L113)</f>
        <v>0</v>
      </c>
      <c r="M109" s="10">
        <f t="shared" si="64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>SUM(F115:F116)</f>
        <v>0</v>
      </c>
      <c r="G114" s="10">
        <f t="shared" ref="G114:K114" si="65">SUM(G115:G116)</f>
        <v>0</v>
      </c>
      <c r="H114" s="10">
        <f t="shared" si="65"/>
        <v>0</v>
      </c>
      <c r="I114" s="10">
        <f t="shared" si="65"/>
        <v>0</v>
      </c>
      <c r="J114" s="10">
        <f t="shared" si="65"/>
        <v>0</v>
      </c>
      <c r="K114" s="10">
        <f t="shared" si="65"/>
        <v>0</v>
      </c>
      <c r="L114" s="10">
        <f t="shared" ref="L114:M114" si="66">SUM(L115:L116)</f>
        <v>0</v>
      </c>
      <c r="M114" s="10">
        <f t="shared" si="66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>SUM(F118:F121)</f>
        <v>200</v>
      </c>
      <c r="G117" s="10">
        <f t="shared" ref="G117:K117" si="67">SUM(G118:G121)</f>
        <v>200</v>
      </c>
      <c r="H117" s="10">
        <f t="shared" si="67"/>
        <v>50</v>
      </c>
      <c r="I117" s="10">
        <f t="shared" si="67"/>
        <v>0</v>
      </c>
      <c r="J117" s="10">
        <f t="shared" si="67"/>
        <v>50</v>
      </c>
      <c r="K117" s="10">
        <f t="shared" si="67"/>
        <v>0</v>
      </c>
      <c r="L117" s="10">
        <f t="shared" ref="L117:M117" si="68">SUM(L118:L121)</f>
        <v>0</v>
      </c>
      <c r="M117" s="10">
        <f t="shared" si="68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69">E102+E105+E109+E114+E117</f>
        <v>21663</v>
      </c>
      <c r="F122" s="19">
        <f t="shared" si="69"/>
        <v>4078</v>
      </c>
      <c r="G122" s="19">
        <f t="shared" si="69"/>
        <v>2436</v>
      </c>
      <c r="H122" s="19">
        <f t="shared" si="69"/>
        <v>14191</v>
      </c>
      <c r="I122" s="19">
        <f t="shared" si="69"/>
        <v>16987</v>
      </c>
      <c r="J122" s="19">
        <f t="shared" si="69"/>
        <v>887</v>
      </c>
      <c r="K122" s="19">
        <f t="shared" si="69"/>
        <v>851</v>
      </c>
      <c r="L122" s="19">
        <f t="shared" ref="L122:M122" si="70">L102+L105+L109+L114+L117</f>
        <v>0</v>
      </c>
      <c r="M122" s="19">
        <f t="shared" si="70"/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71">E62+E73+E96+E101+E122</f>
        <v>91951</v>
      </c>
      <c r="F123" s="23">
        <f t="shared" si="71"/>
        <v>18240</v>
      </c>
      <c r="G123" s="23">
        <f t="shared" si="71"/>
        <v>17924</v>
      </c>
      <c r="H123" s="23">
        <f t="shared" si="71"/>
        <v>59194</v>
      </c>
      <c r="I123" s="23">
        <f t="shared" si="71"/>
        <v>63537</v>
      </c>
      <c r="J123" s="23">
        <f t="shared" si="71"/>
        <v>3937</v>
      </c>
      <c r="K123" s="23">
        <f t="shared" si="71"/>
        <v>4001</v>
      </c>
      <c r="L123" s="23">
        <f t="shared" ref="L123:M123" si="72">L62+L73+L96+L101+L122</f>
        <v>0</v>
      </c>
      <c r="M123" s="23">
        <f t="shared" si="72"/>
        <v>6489</v>
      </c>
    </row>
    <row r="124" spans="1:254" ht="14.1" customHeight="1" x14ac:dyDescent="0.2">
      <c r="A124" s="916" t="s">
        <v>291</v>
      </c>
      <c r="B124" s="917"/>
      <c r="C124" s="918"/>
      <c r="D124" s="28">
        <f>D39+D123</f>
        <v>124939</v>
      </c>
      <c r="E124" s="28">
        <f t="shared" ref="E124:K124" si="73">E39+E123</f>
        <v>141945</v>
      </c>
      <c r="F124" s="28">
        <f t="shared" si="73"/>
        <v>18437</v>
      </c>
      <c r="G124" s="28">
        <f t="shared" si="73"/>
        <v>18121</v>
      </c>
      <c r="H124" s="28">
        <f t="shared" si="73"/>
        <v>102444</v>
      </c>
      <c r="I124" s="28">
        <f t="shared" si="73"/>
        <v>111702</v>
      </c>
      <c r="J124" s="28">
        <f t="shared" si="73"/>
        <v>4058</v>
      </c>
      <c r="K124" s="28">
        <f t="shared" si="73"/>
        <v>4122</v>
      </c>
      <c r="L124" s="28">
        <f t="shared" ref="L124:M124" si="74">L39+L123</f>
        <v>0</v>
      </c>
      <c r="M124" s="28">
        <f t="shared" si="74"/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950" t="s">
        <v>608</v>
      </c>
      <c r="B128" s="951"/>
      <c r="C128" s="951"/>
      <c r="D128" s="951"/>
      <c r="E128" s="951"/>
      <c r="F128" s="951"/>
      <c r="G128" s="951"/>
      <c r="H128" s="951"/>
      <c r="I128" s="951"/>
      <c r="J128" s="951"/>
      <c r="K128" s="951"/>
      <c r="L128" s="951"/>
      <c r="M128" s="951"/>
    </row>
    <row r="129" spans="1:13" s="1" customFormat="1" ht="14.1" customHeight="1" x14ac:dyDescent="0.25">
      <c r="A129" s="913" t="s">
        <v>0</v>
      </c>
      <c r="B129" s="914" t="s">
        <v>1</v>
      </c>
      <c r="C129" s="913" t="s">
        <v>2</v>
      </c>
      <c r="D129" s="915" t="s">
        <v>260</v>
      </c>
      <c r="E129" s="905" t="s">
        <v>259</v>
      </c>
      <c r="F129" s="907" t="s">
        <v>603</v>
      </c>
      <c r="G129" s="908"/>
      <c r="H129" s="907" t="s">
        <v>604</v>
      </c>
      <c r="I129" s="908"/>
      <c r="J129" s="907" t="s">
        <v>605</v>
      </c>
      <c r="K129" s="908"/>
      <c r="L129" s="948" t="s">
        <v>1274</v>
      </c>
      <c r="M129" s="949"/>
    </row>
    <row r="130" spans="1:13" s="3" customFormat="1" ht="27" customHeight="1" x14ac:dyDescent="0.25">
      <c r="A130" s="913"/>
      <c r="B130" s="914"/>
      <c r="C130" s="913"/>
      <c r="D130" s="915"/>
      <c r="E130" s="906"/>
      <c r="F130" s="98" t="s">
        <v>263</v>
      </c>
      <c r="G130" s="98" t="s">
        <v>259</v>
      </c>
      <c r="H130" s="98" t="s">
        <v>260</v>
      </c>
      <c r="I130" s="98" t="s">
        <v>259</v>
      </c>
      <c r="J130" s="98" t="s">
        <v>260</v>
      </c>
      <c r="K130" s="98" t="s">
        <v>259</v>
      </c>
      <c r="L130" s="325" t="s">
        <v>260</v>
      </c>
      <c r="M130" s="325" t="s">
        <v>259</v>
      </c>
    </row>
    <row r="131" spans="1:13" ht="5.6" customHeight="1" x14ac:dyDescent="0.25"/>
    <row r="132" spans="1:13" ht="14.1" customHeight="1" x14ac:dyDescent="0.25">
      <c r="A132" s="912" t="s">
        <v>194</v>
      </c>
      <c r="B132" s="912"/>
      <c r="C132" s="912"/>
      <c r="D132" s="912"/>
      <c r="E132" s="912"/>
      <c r="F132" s="912"/>
      <c r="G132" s="912"/>
      <c r="H132" s="912"/>
      <c r="I132" s="912"/>
      <c r="J132" s="102"/>
      <c r="K132" s="102"/>
      <c r="L132" s="102"/>
      <c r="M132" s="102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75">F134+H134+J134</f>
        <v>0</v>
      </c>
      <c r="E134" s="26">
        <f t="shared" ref="E134:E145" si="76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75"/>
        <v>0</v>
      </c>
      <c r="E135" s="26">
        <f t="shared" si="76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75"/>
        <v>1100</v>
      </c>
      <c r="E136" s="26">
        <f t="shared" si="76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75"/>
        <v>0</v>
      </c>
      <c r="E137" s="26">
        <f t="shared" si="76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75"/>
        <v>0</v>
      </c>
      <c r="E138" s="26">
        <f t="shared" si="76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75"/>
        <v>0</v>
      </c>
      <c r="E139" s="26">
        <f t="shared" si="76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75"/>
        <v>297</v>
      </c>
      <c r="E140" s="26">
        <f t="shared" si="76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77">SUM(E133:E140)</f>
        <v>1334</v>
      </c>
      <c r="F141" s="23">
        <f t="shared" si="77"/>
        <v>1397</v>
      </c>
      <c r="G141" s="23">
        <f t="shared" si="77"/>
        <v>0</v>
      </c>
      <c r="H141" s="23">
        <f t="shared" si="77"/>
        <v>0</v>
      </c>
      <c r="I141" s="23">
        <f t="shared" si="77"/>
        <v>1334</v>
      </c>
      <c r="J141" s="23">
        <f t="shared" si="77"/>
        <v>0</v>
      </c>
      <c r="K141" s="23">
        <f t="shared" si="77"/>
        <v>0</v>
      </c>
      <c r="L141" s="23">
        <f t="shared" ref="L141:M141" si="78">SUM(L133:L140)</f>
        <v>0</v>
      </c>
      <c r="M141" s="23">
        <f t="shared" si="78"/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75"/>
        <v>0</v>
      </c>
      <c r="E142" s="26">
        <f t="shared" si="76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75"/>
        <v>0</v>
      </c>
      <c r="E143" s="26">
        <f t="shared" si="76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75"/>
        <v>0</v>
      </c>
      <c r="E144" s="26">
        <f t="shared" si="76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75"/>
        <v>0</v>
      </c>
      <c r="E145" s="26">
        <f t="shared" si="76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75"/>
        <v>0</v>
      </c>
      <c r="E146" s="26">
        <f t="shared" ref="E146" si="79"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80">SUM(E142:E146)</f>
        <v>0</v>
      </c>
      <c r="F147" s="23">
        <f t="shared" si="80"/>
        <v>0</v>
      </c>
      <c r="G147" s="23">
        <f t="shared" si="80"/>
        <v>0</v>
      </c>
      <c r="H147" s="23">
        <f t="shared" si="80"/>
        <v>0</v>
      </c>
      <c r="I147" s="23">
        <f t="shared" si="80"/>
        <v>0</v>
      </c>
      <c r="J147" s="23">
        <f t="shared" si="80"/>
        <v>0</v>
      </c>
      <c r="K147" s="23">
        <f t="shared" si="80"/>
        <v>0</v>
      </c>
      <c r="L147" s="23">
        <f t="shared" ref="L147:M147" si="81">SUM(L142:L146)</f>
        <v>0</v>
      </c>
      <c r="M147" s="23">
        <f t="shared" si="81"/>
        <v>0</v>
      </c>
    </row>
    <row r="148" spans="1:13" s="3" customFormat="1" ht="14.1" customHeight="1" x14ac:dyDescent="0.25">
      <c r="A148" s="916" t="s">
        <v>293</v>
      </c>
      <c r="B148" s="917"/>
      <c r="C148" s="918" t="s">
        <v>238</v>
      </c>
      <c r="D148" s="28">
        <f>D141+D147</f>
        <v>1397</v>
      </c>
      <c r="E148" s="28">
        <f t="shared" ref="E148:K148" si="82">E141+E147</f>
        <v>1334</v>
      </c>
      <c r="F148" s="28">
        <f t="shared" si="82"/>
        <v>1397</v>
      </c>
      <c r="G148" s="28">
        <f t="shared" si="82"/>
        <v>0</v>
      </c>
      <c r="H148" s="28">
        <f t="shared" si="82"/>
        <v>0</v>
      </c>
      <c r="I148" s="28">
        <f t="shared" si="82"/>
        <v>1334</v>
      </c>
      <c r="J148" s="28">
        <f t="shared" si="82"/>
        <v>0</v>
      </c>
      <c r="K148" s="28">
        <f t="shared" si="82"/>
        <v>0</v>
      </c>
      <c r="L148" s="28">
        <f t="shared" ref="L148:M148" si="83">L141+L147</f>
        <v>0</v>
      </c>
      <c r="M148" s="28">
        <f t="shared" si="83"/>
        <v>0</v>
      </c>
    </row>
    <row r="149" spans="1:13" ht="6.8" customHeight="1" x14ac:dyDescent="0.25"/>
    <row r="150" spans="1:13" ht="14.1" customHeight="1" x14ac:dyDescent="0.25">
      <c r="A150" s="909" t="s">
        <v>294</v>
      </c>
      <c r="B150" s="910"/>
      <c r="C150" s="911"/>
      <c r="D150" s="30">
        <f>D148+D124</f>
        <v>126336</v>
      </c>
      <c r="E150" s="30">
        <f t="shared" ref="E150:K150" si="84">E148+E124</f>
        <v>143279</v>
      </c>
      <c r="F150" s="30">
        <f t="shared" si="84"/>
        <v>19834</v>
      </c>
      <c r="G150" s="30">
        <f t="shared" si="84"/>
        <v>18121</v>
      </c>
      <c r="H150" s="30">
        <f t="shared" si="84"/>
        <v>102444</v>
      </c>
      <c r="I150" s="30">
        <f t="shared" si="84"/>
        <v>113036</v>
      </c>
      <c r="J150" s="30">
        <f t="shared" si="84"/>
        <v>4058</v>
      </c>
      <c r="K150" s="30">
        <f t="shared" si="84"/>
        <v>4122</v>
      </c>
      <c r="L150" s="30">
        <f t="shared" ref="L150:M150" si="85">L148+L124</f>
        <v>0</v>
      </c>
      <c r="M150" s="30">
        <f t="shared" si="85"/>
        <v>8000</v>
      </c>
    </row>
    <row r="155" spans="1:13" s="1" customFormat="1" ht="12.75" customHeight="1" x14ac:dyDescent="0.25">
      <c r="A155" s="950" t="s">
        <v>607</v>
      </c>
      <c r="B155" s="951"/>
      <c r="C155" s="951"/>
      <c r="D155" s="951"/>
      <c r="E155" s="951"/>
      <c r="F155" s="951"/>
      <c r="G155" s="951"/>
      <c r="H155" s="951"/>
      <c r="I155" s="951"/>
      <c r="J155" s="951"/>
      <c r="K155" s="951"/>
      <c r="L155" s="951"/>
      <c r="M155" s="951"/>
    </row>
    <row r="156" spans="1:13" s="1" customFormat="1" ht="14.1" customHeight="1" x14ac:dyDescent="0.25">
      <c r="A156" s="913" t="s">
        <v>0</v>
      </c>
      <c r="B156" s="914" t="s">
        <v>1</v>
      </c>
      <c r="C156" s="913" t="s">
        <v>2</v>
      </c>
      <c r="D156" s="915" t="s">
        <v>260</v>
      </c>
      <c r="E156" s="905" t="s">
        <v>259</v>
      </c>
      <c r="F156" s="907" t="s">
        <v>603</v>
      </c>
      <c r="G156" s="908"/>
      <c r="H156" s="907" t="s">
        <v>604</v>
      </c>
      <c r="I156" s="908"/>
      <c r="J156" s="907" t="s">
        <v>605</v>
      </c>
      <c r="K156" s="908"/>
      <c r="L156" s="948" t="s">
        <v>1274</v>
      </c>
      <c r="M156" s="949"/>
    </row>
    <row r="157" spans="1:13" s="3" customFormat="1" ht="23.3" customHeight="1" x14ac:dyDescent="0.25">
      <c r="A157" s="913"/>
      <c r="B157" s="914"/>
      <c r="C157" s="913"/>
      <c r="D157" s="915"/>
      <c r="E157" s="906"/>
      <c r="F157" s="98" t="s">
        <v>263</v>
      </c>
      <c r="G157" s="98" t="s">
        <v>259</v>
      </c>
      <c r="H157" s="98" t="s">
        <v>260</v>
      </c>
      <c r="I157" s="98" t="s">
        <v>259</v>
      </c>
      <c r="J157" s="98" t="s">
        <v>260</v>
      </c>
      <c r="K157" s="98" t="s">
        <v>259</v>
      </c>
      <c r="L157" s="325" t="s">
        <v>260</v>
      </c>
      <c r="M157" s="325" t="s">
        <v>259</v>
      </c>
    </row>
    <row r="158" spans="1:13" ht="5.6" customHeight="1" x14ac:dyDescent="0.25"/>
    <row r="159" spans="1:13" ht="14.1" customHeight="1" x14ac:dyDescent="0.25">
      <c r="A159" s="912" t="s">
        <v>239</v>
      </c>
      <c r="B159" s="912"/>
      <c r="C159" s="912"/>
      <c r="D159" s="912"/>
      <c r="E159" s="912"/>
      <c r="F159" s="912"/>
      <c r="G159" s="912"/>
      <c r="H159" s="912"/>
      <c r="I159" s="912"/>
      <c r="J159" s="102"/>
      <c r="K159" s="102"/>
      <c r="L159" s="102"/>
      <c r="M159" s="102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86">SUM(E161:E170)</f>
        <v>34002</v>
      </c>
      <c r="F160" s="23">
        <f t="shared" si="86"/>
        <v>14991</v>
      </c>
      <c r="G160" s="23">
        <f t="shared" si="86"/>
        <v>14991</v>
      </c>
      <c r="H160" s="23">
        <f t="shared" si="86"/>
        <v>19011</v>
      </c>
      <c r="I160" s="23">
        <f t="shared" si="86"/>
        <v>19011</v>
      </c>
      <c r="J160" s="23">
        <f t="shared" si="86"/>
        <v>0</v>
      </c>
      <c r="K160" s="23">
        <f t="shared" si="86"/>
        <v>0</v>
      </c>
      <c r="L160" s="23">
        <f t="shared" ref="L160:M160" si="87">SUM(L161:L170)</f>
        <v>0</v>
      </c>
      <c r="M160" s="23">
        <f t="shared" si="87"/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88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88"/>
        <v>22340</v>
      </c>
      <c r="E162" s="26">
        <f t="shared" ref="E162:E170" si="89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88"/>
        <v>4000</v>
      </c>
      <c r="E163" s="26">
        <f t="shared" si="89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88"/>
        <v>0</v>
      </c>
      <c r="E164" s="26">
        <f t="shared" si="89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88"/>
        <v>0</v>
      </c>
      <c r="E165" s="26">
        <f t="shared" si="89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88"/>
        <v>7112</v>
      </c>
      <c r="E166" s="26">
        <f t="shared" si="89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88"/>
        <v>0</v>
      </c>
      <c r="E167" s="26">
        <f t="shared" si="89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88"/>
        <v>50</v>
      </c>
      <c r="E168" s="26">
        <f t="shared" si="89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88"/>
        <v>0</v>
      </c>
      <c r="E169" s="26">
        <f t="shared" si="89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88"/>
        <v>500</v>
      </c>
      <c r="E170" s="26">
        <f t="shared" si="89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909" t="s">
        <v>295</v>
      </c>
      <c r="B172" s="910"/>
      <c r="C172" s="911"/>
      <c r="D172" s="30">
        <f>D160+D171</f>
        <v>34002</v>
      </c>
      <c r="E172" s="30">
        <f t="shared" ref="E172:K172" si="90">E160+E171</f>
        <v>34002</v>
      </c>
      <c r="F172" s="30">
        <f t="shared" si="90"/>
        <v>14991</v>
      </c>
      <c r="G172" s="30">
        <f t="shared" si="90"/>
        <v>14991</v>
      </c>
      <c r="H172" s="30">
        <f t="shared" si="90"/>
        <v>19011</v>
      </c>
      <c r="I172" s="30">
        <f t="shared" si="90"/>
        <v>19011</v>
      </c>
      <c r="J172" s="30">
        <f t="shared" si="90"/>
        <v>0</v>
      </c>
      <c r="K172" s="30">
        <f t="shared" si="90"/>
        <v>0</v>
      </c>
      <c r="L172" s="30">
        <f t="shared" ref="L172:M172" si="91">L160+L171</f>
        <v>0</v>
      </c>
      <c r="M172" s="30">
        <f t="shared" si="91"/>
        <v>0</v>
      </c>
    </row>
  </sheetData>
  <sheetProtection selectLockedCells="1" selectUnlockedCells="1"/>
  <mergeCells count="49">
    <mergeCell ref="A159:I159"/>
    <mergeCell ref="A172:C172"/>
    <mergeCell ref="A156:A157"/>
    <mergeCell ref="B156:B157"/>
    <mergeCell ref="C156:C157"/>
    <mergeCell ref="D156:D157"/>
    <mergeCell ref="E156:E157"/>
    <mergeCell ref="F156:G156"/>
    <mergeCell ref="A132:I132"/>
    <mergeCell ref="A148:C148"/>
    <mergeCell ref="A150:C150"/>
    <mergeCell ref="H156:I156"/>
    <mergeCell ref="J156:K156"/>
    <mergeCell ref="J41:K41"/>
    <mergeCell ref="A44:I44"/>
    <mergeCell ref="A124:C124"/>
    <mergeCell ref="A129:A130"/>
    <mergeCell ref="B129:B130"/>
    <mergeCell ref="C129:C130"/>
    <mergeCell ref="D129:D130"/>
    <mergeCell ref="E129:E130"/>
    <mergeCell ref="F129:G129"/>
    <mergeCell ref="H129:I129"/>
    <mergeCell ref="J129:K129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L2:M2"/>
    <mergeCell ref="L41:M41"/>
    <mergeCell ref="L129:M129"/>
    <mergeCell ref="L156:M156"/>
    <mergeCell ref="A1:M1"/>
    <mergeCell ref="A40:M40"/>
    <mergeCell ref="A128:M128"/>
    <mergeCell ref="A155:M155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1.62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9" width="12" style="6" customWidth="1"/>
    <col min="10" max="16384" width="11.625" style="5"/>
  </cols>
  <sheetData>
    <row r="1" spans="1:9" s="1" customFormat="1" ht="12.75" customHeight="1" x14ac:dyDescent="0.25">
      <c r="A1" s="913" t="s">
        <v>369</v>
      </c>
      <c r="B1" s="913"/>
      <c r="C1" s="913"/>
      <c r="D1" s="913"/>
      <c r="E1" s="913"/>
      <c r="F1" s="913"/>
      <c r="G1" s="913"/>
      <c r="H1" s="913"/>
      <c r="I1" s="913"/>
    </row>
    <row r="2" spans="1:9" s="1" customFormat="1" ht="14.1" customHeight="1" x14ac:dyDescent="0.25">
      <c r="A2" s="913" t="s">
        <v>0</v>
      </c>
      <c r="B2" s="914" t="s">
        <v>1</v>
      </c>
      <c r="C2" s="913" t="s">
        <v>2</v>
      </c>
      <c r="D2" s="915" t="s">
        <v>260</v>
      </c>
      <c r="E2" s="905" t="s">
        <v>259</v>
      </c>
      <c r="F2" s="907" t="s">
        <v>261</v>
      </c>
      <c r="G2" s="908"/>
      <c r="H2" s="907" t="s">
        <v>262</v>
      </c>
      <c r="I2" s="908"/>
    </row>
    <row r="3" spans="1:9" s="3" customFormat="1" ht="25.5" customHeight="1" x14ac:dyDescent="0.25">
      <c r="A3" s="913"/>
      <c r="B3" s="914"/>
      <c r="C3" s="913"/>
      <c r="D3" s="915"/>
      <c r="E3" s="906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" customHeight="1" x14ac:dyDescent="0.25"/>
    <row r="5" spans="1:9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" customHeight="1" x14ac:dyDescent="0.2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" customHeight="1" x14ac:dyDescent="0.2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" customHeight="1" x14ac:dyDescent="0.2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" customHeight="1" x14ac:dyDescent="0.2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" customHeight="1" x14ac:dyDescent="0.2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" customHeight="1" x14ac:dyDescent="0.2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" customHeight="1" x14ac:dyDescent="0.2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" customHeight="1" x14ac:dyDescent="0.2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" customHeight="1" x14ac:dyDescent="0.2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" customHeight="1" x14ac:dyDescent="0.2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" customHeight="1" x14ac:dyDescent="0.2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" customHeight="1" x14ac:dyDescent="0.2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" customHeight="1" x14ac:dyDescent="0.2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" customHeight="1" x14ac:dyDescent="0.2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" customHeight="1" x14ac:dyDescent="0.2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" customHeight="1" x14ac:dyDescent="0.2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" customHeight="1" x14ac:dyDescent="0.2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" customHeight="1" x14ac:dyDescent="0.2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" customHeight="1" x14ac:dyDescent="0.2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" customHeight="1" x14ac:dyDescent="0.2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" customHeight="1" x14ac:dyDescent="0.2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" customHeight="1" x14ac:dyDescent="0.2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" customHeight="1" x14ac:dyDescent="0.2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" customHeight="1" x14ac:dyDescent="0.2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" customHeight="1" x14ac:dyDescent="0.2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" customHeight="1" x14ac:dyDescent="0.2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" customHeight="1" x14ac:dyDescent="0.2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" customHeight="1" x14ac:dyDescent="0.2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" customHeight="1" x14ac:dyDescent="0.2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" customHeight="1" x14ac:dyDescent="0.2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" customHeight="1" x14ac:dyDescent="0.2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" customHeight="1" x14ac:dyDescent="0.25">
      <c r="A38" s="11"/>
      <c r="B38" s="11"/>
      <c r="C38" s="12" t="s">
        <v>1162</v>
      </c>
      <c r="D38" s="13"/>
      <c r="E38" s="13"/>
      <c r="F38" s="14"/>
      <c r="G38" s="14">
        <v>710</v>
      </c>
      <c r="H38" s="14"/>
      <c r="I38" s="14"/>
    </row>
    <row r="39" spans="1:9" s="15" customFormat="1" ht="11.4" customHeight="1" x14ac:dyDescent="0.25">
      <c r="A39" s="11"/>
      <c r="B39" s="11"/>
      <c r="C39" s="12" t="s">
        <v>1257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 t="shared" ref="I42" si="1">SUM(I43:I44)</f>
        <v>0</v>
      </c>
    </row>
    <row r="43" spans="1:9" s="15" customFormat="1" ht="11.4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2">F45+H45</f>
        <v>0</v>
      </c>
      <c r="E45" s="9">
        <f t="shared" si="2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2"/>
        <v>4038</v>
      </c>
      <c r="E46" s="9">
        <f t="shared" si="2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1259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2"/>
        <v>2976</v>
      </c>
      <c r="E49" s="9">
        <f t="shared" si="2"/>
        <v>2976</v>
      </c>
      <c r="F49" s="10">
        <v>2976</v>
      </c>
      <c r="G49" s="10">
        <f>G50</f>
        <v>2976</v>
      </c>
      <c r="H49" s="10">
        <v>0</v>
      </c>
      <c r="I49" s="10">
        <f t="shared" ref="I49" si="3">I50</f>
        <v>0</v>
      </c>
    </row>
    <row r="50" spans="1:9" s="15" customFormat="1" ht="11.4" customHeight="1" x14ac:dyDescent="0.2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4">F51+H51</f>
        <v>0</v>
      </c>
      <c r="E51" s="9">
        <f t="shared" si="4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4"/>
        <v>400</v>
      </c>
      <c r="E52" s="9">
        <f t="shared" si="4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4"/>
        <v>0</v>
      </c>
      <c r="E53" s="9">
        <f t="shared" si="4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1275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 t="shared" ref="G57:I57" si="5">G58</f>
        <v>334</v>
      </c>
      <c r="H57" s="10">
        <f t="shared" si="5"/>
        <v>0</v>
      </c>
      <c r="I57" s="10">
        <f t="shared" si="5"/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" customHeight="1" x14ac:dyDescent="0.25">
      <c r="A60" s="11"/>
      <c r="B60" s="11"/>
      <c r="C60" s="12" t="s">
        <v>1163</v>
      </c>
      <c r="D60" s="13"/>
      <c r="E60" s="13"/>
      <c r="F60" s="14"/>
      <c r="G60" s="14">
        <v>220</v>
      </c>
      <c r="H60" s="14"/>
      <c r="I60" s="14"/>
    </row>
    <row r="61" spans="1:9" s="15" customFormat="1" ht="11.4" customHeight="1" x14ac:dyDescent="0.25">
      <c r="A61" s="11"/>
      <c r="B61" s="11"/>
      <c r="C61" s="12" t="s">
        <v>1277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6">D6+D40+D41+D42+D45+D46+D49+D51+D52+D53+D56+D57+D59</f>
        <v>93666</v>
      </c>
      <c r="E62" s="18">
        <f t="shared" si="6"/>
        <v>93633</v>
      </c>
      <c r="F62" s="18">
        <f t="shared" si="6"/>
        <v>93666</v>
      </c>
      <c r="G62" s="18">
        <f t="shared" si="6"/>
        <v>93633</v>
      </c>
      <c r="H62" s="18">
        <f t="shared" si="6"/>
        <v>0</v>
      </c>
      <c r="I62" s="18">
        <f t="shared" si="6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 t="shared" ref="G64:I64" si="7">G65</f>
        <v>120</v>
      </c>
      <c r="H64" s="10">
        <f t="shared" si="7"/>
        <v>0</v>
      </c>
      <c r="I64" s="10">
        <f t="shared" si="7"/>
        <v>0</v>
      </c>
    </row>
    <row r="65" spans="1:9" s="15" customFormat="1" ht="11.4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 t="shared" ref="G66:I66" si="8">G67</f>
        <v>60</v>
      </c>
      <c r="H66" s="10">
        <f t="shared" si="8"/>
        <v>0</v>
      </c>
      <c r="I66" s="10">
        <f t="shared" si="8"/>
        <v>0</v>
      </c>
    </row>
    <row r="67" spans="1:9" s="15" customFormat="1" ht="11.4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>D63+D64+D66</f>
        <v>70</v>
      </c>
      <c r="E68" s="18">
        <f t="shared" ref="E68:I68" si="9">E63+E64+E66</f>
        <v>180</v>
      </c>
      <c r="F68" s="18">
        <f t="shared" si="9"/>
        <v>70</v>
      </c>
      <c r="G68" s="18">
        <f t="shared" si="9"/>
        <v>180</v>
      </c>
      <c r="H68" s="18">
        <f t="shared" si="9"/>
        <v>0</v>
      </c>
      <c r="I68" s="18">
        <f t="shared" si="9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>D62+D68</f>
        <v>93736</v>
      </c>
      <c r="E69" s="22">
        <f t="shared" ref="E69:I69" si="10">E62+E68</f>
        <v>93813</v>
      </c>
      <c r="F69" s="22">
        <f t="shared" si="10"/>
        <v>93736</v>
      </c>
      <c r="G69" s="22">
        <f t="shared" si="10"/>
        <v>93813</v>
      </c>
      <c r="H69" s="22">
        <f t="shared" si="10"/>
        <v>0</v>
      </c>
      <c r="I69" s="22">
        <f t="shared" si="10"/>
        <v>0</v>
      </c>
    </row>
    <row r="70" spans="1:9" s="15" customFormat="1" ht="11.4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" customHeight="1" x14ac:dyDescent="0.25">
      <c r="A71" s="11"/>
      <c r="B71" s="11"/>
      <c r="C71" s="12" t="s">
        <v>61</v>
      </c>
      <c r="D71" s="13">
        <f t="shared" ref="D71:E73" si="11">H71+F71</f>
        <v>518</v>
      </c>
      <c r="E71" s="13">
        <f t="shared" si="11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" customHeight="1" x14ac:dyDescent="0.25">
      <c r="A72" s="11"/>
      <c r="B72" s="11"/>
      <c r="C72" s="12" t="s">
        <v>62</v>
      </c>
      <c r="D72" s="13">
        <f t="shared" si="11"/>
        <v>1475</v>
      </c>
      <c r="E72" s="13">
        <f t="shared" si="11"/>
        <v>1475</v>
      </c>
      <c r="F72" s="14">
        <v>1475</v>
      </c>
      <c r="G72" s="14">
        <v>1475</v>
      </c>
      <c r="H72" s="14"/>
      <c r="I72" s="14"/>
    </row>
    <row r="73" spans="1:9" s="15" customFormat="1" ht="11.4" customHeight="1" x14ac:dyDescent="0.25">
      <c r="A73" s="11"/>
      <c r="B73" s="11"/>
      <c r="C73" s="12" t="s">
        <v>63</v>
      </c>
      <c r="D73" s="13">
        <f t="shared" si="11"/>
        <v>580</v>
      </c>
      <c r="E73" s="13">
        <f t="shared" si="11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>D70+D71+D72+D73</f>
        <v>26849</v>
      </c>
      <c r="E74" s="22">
        <f t="shared" ref="E74:I74" si="12">E70+E71+E72+E73</f>
        <v>27007</v>
      </c>
      <c r="F74" s="22">
        <f t="shared" si="12"/>
        <v>26849</v>
      </c>
      <c r="G74" s="22">
        <f t="shared" si="12"/>
        <v>27007</v>
      </c>
      <c r="H74" s="22">
        <f t="shared" si="12"/>
        <v>0</v>
      </c>
      <c r="I74" s="22">
        <f t="shared" si="12"/>
        <v>0</v>
      </c>
    </row>
    <row r="75" spans="1:9" s="3" customFormat="1" ht="14.1" customHeight="1" x14ac:dyDescent="0.25">
      <c r="A75" s="909" t="s">
        <v>66</v>
      </c>
      <c r="B75" s="910"/>
      <c r="C75" s="911"/>
      <c r="D75" s="30">
        <f>D69+D74</f>
        <v>120585</v>
      </c>
      <c r="E75" s="30">
        <f t="shared" ref="E75:I75" si="13">E69+E74</f>
        <v>120820</v>
      </c>
      <c r="F75" s="30">
        <f t="shared" si="13"/>
        <v>120585</v>
      </c>
      <c r="G75" s="30">
        <f t="shared" si="13"/>
        <v>120820</v>
      </c>
      <c r="H75" s="30">
        <f t="shared" si="13"/>
        <v>0</v>
      </c>
      <c r="I75" s="30">
        <f t="shared" si="13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913" t="s">
        <v>370</v>
      </c>
      <c r="B79" s="913"/>
      <c r="C79" s="913"/>
      <c r="D79" s="913"/>
      <c r="E79" s="913"/>
      <c r="F79" s="913"/>
      <c r="G79" s="913"/>
      <c r="H79" s="913"/>
      <c r="I79" s="913"/>
    </row>
    <row r="80" spans="1:9" s="1" customFormat="1" ht="14.1" customHeight="1" x14ac:dyDescent="0.25">
      <c r="A80" s="913" t="s">
        <v>0</v>
      </c>
      <c r="B80" s="914" t="s">
        <v>1</v>
      </c>
      <c r="C80" s="913" t="s">
        <v>2</v>
      </c>
      <c r="D80" s="915" t="s">
        <v>260</v>
      </c>
      <c r="E80" s="905" t="s">
        <v>259</v>
      </c>
      <c r="F80" s="907" t="s">
        <v>261</v>
      </c>
      <c r="G80" s="908"/>
      <c r="H80" s="907" t="s">
        <v>262</v>
      </c>
      <c r="I80" s="908"/>
    </row>
    <row r="81" spans="1:9" s="3" customFormat="1" ht="32.950000000000003" customHeight="1" x14ac:dyDescent="0.25">
      <c r="A81" s="913"/>
      <c r="B81" s="914"/>
      <c r="C81" s="913"/>
      <c r="D81" s="915"/>
      <c r="E81" s="906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" customHeight="1" x14ac:dyDescent="0.25"/>
    <row r="83" spans="1:9" ht="14.1" customHeight="1" x14ac:dyDescent="0.25">
      <c r="A83" s="912" t="s">
        <v>288</v>
      </c>
      <c r="B83" s="912"/>
      <c r="C83" s="912"/>
      <c r="D83" s="912"/>
      <c r="E83" s="912"/>
      <c r="F83" s="912"/>
      <c r="G83" s="912"/>
      <c r="H83" s="912"/>
      <c r="I83" s="912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 t="shared" ref="G84:I84" si="14">SUM(G85:G90)</f>
        <v>320</v>
      </c>
      <c r="H84" s="10">
        <f t="shared" si="14"/>
        <v>0</v>
      </c>
      <c r="I84" s="10">
        <f t="shared" si="14"/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 t="shared" ref="G98:I98" si="15">SUM(G99:G100)</f>
        <v>0</v>
      </c>
      <c r="H98" s="10">
        <f t="shared" si="15"/>
        <v>0</v>
      </c>
      <c r="I98" s="10">
        <f t="shared" si="15"/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>D84+D91</f>
        <v>3430</v>
      </c>
      <c r="E101" s="19">
        <f t="shared" ref="E101:I101" si="16">E84+E91</f>
        <v>3695</v>
      </c>
      <c r="F101" s="19">
        <f t="shared" si="16"/>
        <v>3430</v>
      </c>
      <c r="G101" s="19">
        <f t="shared" si="16"/>
        <v>3695</v>
      </c>
      <c r="H101" s="19">
        <f t="shared" si="16"/>
        <v>0</v>
      </c>
      <c r="I101" s="19">
        <f t="shared" si="16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 t="shared" ref="H102:I102" si="17">SUM(H103:H108)</f>
        <v>0</v>
      </c>
      <c r="I102" s="10">
        <f t="shared" si="17"/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 t="shared" ref="G109:I109" si="18">SUM(G110:G111)</f>
        <v>275</v>
      </c>
      <c r="H109" s="10">
        <f t="shared" si="18"/>
        <v>0</v>
      </c>
      <c r="I109" s="10">
        <f t="shared" si="18"/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>D102+D109</f>
        <v>422</v>
      </c>
      <c r="E112" s="19">
        <f t="shared" ref="E112:I112" si="19">E102+E109</f>
        <v>532</v>
      </c>
      <c r="F112" s="19">
        <f t="shared" si="19"/>
        <v>422</v>
      </c>
      <c r="G112" s="19">
        <f t="shared" si="19"/>
        <v>532</v>
      </c>
      <c r="H112" s="19">
        <f t="shared" si="19"/>
        <v>0</v>
      </c>
      <c r="I112" s="19">
        <f t="shared" si="19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 t="shared" ref="G113:I113" si="20">SUM(G114:G116)</f>
        <v>5450</v>
      </c>
      <c r="H113" s="10">
        <f t="shared" si="20"/>
        <v>0</v>
      </c>
      <c r="I113" s="10">
        <f t="shared" si="20"/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 t="shared" ref="G119:I119" si="21">SUM(G120:G121)</f>
        <v>0</v>
      </c>
      <c r="H119" s="10">
        <f t="shared" si="21"/>
        <v>0</v>
      </c>
      <c r="I119" s="10">
        <f t="shared" si="21"/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 t="shared" ref="G126:I126" si="22">SUM(G127:G129)</f>
        <v>50</v>
      </c>
      <c r="H126" s="10">
        <f t="shared" si="22"/>
        <v>0</v>
      </c>
      <c r="I126" s="10">
        <f t="shared" si="22"/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 t="shared" ref="G130:I130" si="23">SUM(G131:G134)</f>
        <v>1400</v>
      </c>
      <c r="H130" s="10">
        <f t="shared" si="23"/>
        <v>0</v>
      </c>
      <c r="I130" s="10">
        <f t="shared" si="23"/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>D113+D117+D119+D122+D123+D126+D130</f>
        <v>22930</v>
      </c>
      <c r="E135" s="19">
        <f t="shared" ref="E135:I135" si="24">E113+E117+E119+E122+E123+E126+E130</f>
        <v>20840</v>
      </c>
      <c r="F135" s="19">
        <f t="shared" si="24"/>
        <v>10490</v>
      </c>
      <c r="G135" s="19">
        <f t="shared" si="24"/>
        <v>8400</v>
      </c>
      <c r="H135" s="19">
        <f t="shared" si="24"/>
        <v>12440</v>
      </c>
      <c r="I135" s="19">
        <f t="shared" si="24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 t="shared" ref="G136:I136" si="25">SUM(G137:G138)</f>
        <v>50</v>
      </c>
      <c r="H136" s="10">
        <f t="shared" si="25"/>
        <v>0</v>
      </c>
      <c r="I136" s="10">
        <f t="shared" si="25"/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>D136+D139</f>
        <v>50</v>
      </c>
      <c r="E140" s="19">
        <f t="shared" ref="E140:I140" si="26">E136+E139</f>
        <v>50</v>
      </c>
      <c r="F140" s="19">
        <f t="shared" si="26"/>
        <v>50</v>
      </c>
      <c r="G140" s="19">
        <f t="shared" si="26"/>
        <v>50</v>
      </c>
      <c r="H140" s="19">
        <f t="shared" si="26"/>
        <v>0</v>
      </c>
      <c r="I140" s="19">
        <f t="shared" si="26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 t="shared" ref="G141:I141" si="27">SUM(G142:G143)</f>
        <v>3409</v>
      </c>
      <c r="H141" s="10">
        <f t="shared" si="27"/>
        <v>3359</v>
      </c>
      <c r="I141" s="10">
        <f t="shared" si="27"/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 t="shared" ref="G144:I144" si="28">SUM(G145:G147)</f>
        <v>0</v>
      </c>
      <c r="H144" s="10">
        <f t="shared" si="28"/>
        <v>0</v>
      </c>
      <c r="I144" s="10">
        <f t="shared" si="28"/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 t="shared" ref="G148:I148" si="29">SUM(G149:G152)</f>
        <v>0</v>
      </c>
      <c r="H148" s="10">
        <f t="shared" si="29"/>
        <v>0</v>
      </c>
      <c r="I148" s="10">
        <f t="shared" si="29"/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 t="shared" ref="G153:I153" si="30">SUM(G154:G155)</f>
        <v>0</v>
      </c>
      <c r="H153" s="10">
        <f t="shared" si="30"/>
        <v>0</v>
      </c>
      <c r="I153" s="10">
        <f t="shared" si="30"/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 t="shared" ref="G156:I156" si="31">SUM(G157:G160)</f>
        <v>300</v>
      </c>
      <c r="H156" s="10">
        <f t="shared" si="31"/>
        <v>0</v>
      </c>
      <c r="I156" s="10">
        <f t="shared" si="31"/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>D141+D144+D148+D153+D156</f>
        <v>7241</v>
      </c>
      <c r="E161" s="19">
        <f t="shared" ref="E161:I161" si="32">E141+E144+E148+E153+E156</f>
        <v>7068</v>
      </c>
      <c r="F161" s="19">
        <f t="shared" si="32"/>
        <v>3882</v>
      </c>
      <c r="G161" s="19">
        <f t="shared" si="32"/>
        <v>3709</v>
      </c>
      <c r="H161" s="19">
        <f t="shared" si="32"/>
        <v>3359</v>
      </c>
      <c r="I161" s="19">
        <f t="shared" si="32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>D101+D112+D135+D140+D161</f>
        <v>34073</v>
      </c>
      <c r="E162" s="23">
        <f t="shared" ref="E162:I162" si="33">E101+E112+E135+E140+E161</f>
        <v>32185</v>
      </c>
      <c r="F162" s="23">
        <f t="shared" si="33"/>
        <v>18274</v>
      </c>
      <c r="G162" s="23">
        <f t="shared" si="33"/>
        <v>16386</v>
      </c>
      <c r="H162" s="23">
        <f t="shared" si="33"/>
        <v>15799</v>
      </c>
      <c r="I162" s="23">
        <f t="shared" si="33"/>
        <v>15799</v>
      </c>
    </row>
    <row r="163" spans="1:252" ht="14.1" customHeight="1" x14ac:dyDescent="0.2">
      <c r="A163" s="916" t="s">
        <v>291</v>
      </c>
      <c r="B163" s="917"/>
      <c r="C163" s="918"/>
      <c r="D163" s="28">
        <f>D75+D162</f>
        <v>154658</v>
      </c>
      <c r="E163" s="28">
        <f t="shared" ref="E163:I163" si="34">E75+E162</f>
        <v>153005</v>
      </c>
      <c r="F163" s="28">
        <f t="shared" si="34"/>
        <v>138859</v>
      </c>
      <c r="G163" s="28">
        <f t="shared" si="34"/>
        <v>137206</v>
      </c>
      <c r="H163" s="28">
        <f t="shared" si="34"/>
        <v>15799</v>
      </c>
      <c r="I163" s="28">
        <f t="shared" si="34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913" t="s">
        <v>371</v>
      </c>
      <c r="B167" s="913"/>
      <c r="C167" s="913"/>
      <c r="D167" s="913"/>
      <c r="E167" s="913"/>
      <c r="F167" s="913"/>
      <c r="G167" s="913"/>
      <c r="H167" s="913"/>
      <c r="I167" s="913"/>
    </row>
    <row r="168" spans="1:252" s="1" customFormat="1" ht="14.1" customHeight="1" x14ac:dyDescent="0.25">
      <c r="A168" s="913" t="s">
        <v>0</v>
      </c>
      <c r="B168" s="914" t="s">
        <v>1</v>
      </c>
      <c r="C168" s="913" t="s">
        <v>2</v>
      </c>
      <c r="D168" s="915" t="s">
        <v>260</v>
      </c>
      <c r="E168" s="905" t="s">
        <v>259</v>
      </c>
      <c r="F168" s="907" t="s">
        <v>261</v>
      </c>
      <c r="G168" s="908"/>
      <c r="H168" s="907" t="s">
        <v>262</v>
      </c>
      <c r="I168" s="908"/>
    </row>
    <row r="169" spans="1:252" s="3" customFormat="1" ht="27" customHeight="1" x14ac:dyDescent="0.25">
      <c r="A169" s="913"/>
      <c r="B169" s="914"/>
      <c r="C169" s="913"/>
      <c r="D169" s="915"/>
      <c r="E169" s="906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" customHeight="1" x14ac:dyDescent="0.25"/>
    <row r="171" spans="1:252" ht="14.1" customHeight="1" x14ac:dyDescent="0.25">
      <c r="A171" s="912" t="s">
        <v>194</v>
      </c>
      <c r="B171" s="912"/>
      <c r="C171" s="912"/>
      <c r="D171" s="912"/>
      <c r="E171" s="912"/>
      <c r="F171" s="912"/>
      <c r="G171" s="912"/>
      <c r="H171" s="912"/>
      <c r="I171" s="912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35">F173+H173</f>
        <v>0</v>
      </c>
      <c r="E173" s="26">
        <f t="shared" si="35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35"/>
        <v>150</v>
      </c>
      <c r="E174" s="26">
        <f t="shared" si="35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35"/>
        <v>200</v>
      </c>
      <c r="E175" s="26">
        <f t="shared" si="35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35"/>
        <v>0</v>
      </c>
      <c r="E176" s="26">
        <f t="shared" si="35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35"/>
        <v>0</v>
      </c>
      <c r="E177" s="26">
        <f t="shared" si="35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35"/>
        <v>0</v>
      </c>
      <c r="E178" s="26">
        <f t="shared" si="35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35"/>
        <v>95</v>
      </c>
      <c r="E179" s="26">
        <f t="shared" si="35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>SUM(D172:D179)</f>
        <v>445</v>
      </c>
      <c r="E180" s="23">
        <f t="shared" ref="E180:I180" si="36">SUM(E172:E179)</f>
        <v>406</v>
      </c>
      <c r="F180" s="23">
        <f t="shared" si="36"/>
        <v>445</v>
      </c>
      <c r="G180" s="23">
        <f t="shared" si="36"/>
        <v>406</v>
      </c>
      <c r="H180" s="23">
        <f t="shared" si="36"/>
        <v>0</v>
      </c>
      <c r="I180" s="23">
        <f t="shared" si="36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>F181+H181</f>
        <v>0</v>
      </c>
      <c r="E181" s="26">
        <f t="shared" ref="E181:E185" si="37">G181+I181</f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ref="D182:D185" si="38">F182+H182</f>
        <v>0</v>
      </c>
      <c r="E182" s="26">
        <f t="shared" si="37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38"/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38"/>
        <v>0</v>
      </c>
      <c r="E184" s="26">
        <f t="shared" si="37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38"/>
        <v>0</v>
      </c>
      <c r="E185" s="26">
        <f t="shared" si="37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>SUM(D181:D185)</f>
        <v>0</v>
      </c>
      <c r="E186" s="23">
        <f t="shared" ref="E186:I186" si="39">SUM(E181:E185)</f>
        <v>0</v>
      </c>
      <c r="F186" s="23">
        <f t="shared" si="39"/>
        <v>0</v>
      </c>
      <c r="G186" s="23">
        <f t="shared" si="39"/>
        <v>0</v>
      </c>
      <c r="H186" s="23">
        <f t="shared" si="39"/>
        <v>0</v>
      </c>
      <c r="I186" s="23">
        <f t="shared" si="39"/>
        <v>0</v>
      </c>
    </row>
    <row r="187" spans="1:9" s="3" customFormat="1" ht="14.1" customHeight="1" x14ac:dyDescent="0.25">
      <c r="A187" s="916" t="s">
        <v>293</v>
      </c>
      <c r="B187" s="917"/>
      <c r="C187" s="918" t="s">
        <v>238</v>
      </c>
      <c r="D187" s="28">
        <f>D180+D186</f>
        <v>445</v>
      </c>
      <c r="E187" s="28">
        <f t="shared" ref="E187:I187" si="40">E180+E186</f>
        <v>406</v>
      </c>
      <c r="F187" s="28">
        <f t="shared" si="40"/>
        <v>445</v>
      </c>
      <c r="G187" s="28">
        <f t="shared" si="40"/>
        <v>406</v>
      </c>
      <c r="H187" s="28">
        <f t="shared" si="40"/>
        <v>0</v>
      </c>
      <c r="I187" s="28">
        <f t="shared" si="40"/>
        <v>0</v>
      </c>
    </row>
    <row r="188" spans="1:9" ht="6.8" customHeight="1" x14ac:dyDescent="0.25"/>
    <row r="189" spans="1:9" ht="14.1" customHeight="1" x14ac:dyDescent="0.25">
      <c r="A189" s="909" t="s">
        <v>294</v>
      </c>
      <c r="B189" s="910"/>
      <c r="C189" s="911"/>
      <c r="D189" s="30">
        <f>D187+D163</f>
        <v>155103</v>
      </c>
      <c r="E189" s="30">
        <f t="shared" ref="E189:I189" si="41">E187+E163</f>
        <v>153411</v>
      </c>
      <c r="F189" s="30">
        <f t="shared" si="41"/>
        <v>139304</v>
      </c>
      <c r="G189" s="30">
        <f t="shared" si="41"/>
        <v>137612</v>
      </c>
      <c r="H189" s="30">
        <f t="shared" si="41"/>
        <v>15799</v>
      </c>
      <c r="I189" s="30">
        <f t="shared" si="41"/>
        <v>15799</v>
      </c>
    </row>
    <row r="194" spans="1:9" s="1" customFormat="1" ht="12.75" customHeight="1" x14ac:dyDescent="0.25">
      <c r="A194" s="913" t="s">
        <v>370</v>
      </c>
      <c r="B194" s="913"/>
      <c r="C194" s="913"/>
      <c r="D194" s="913"/>
      <c r="E194" s="913"/>
      <c r="F194" s="913"/>
      <c r="G194" s="913"/>
      <c r="H194" s="913"/>
      <c r="I194" s="913"/>
    </row>
    <row r="195" spans="1:9" s="1" customFormat="1" ht="14.1" customHeight="1" x14ac:dyDescent="0.25">
      <c r="A195" s="913" t="s">
        <v>0</v>
      </c>
      <c r="B195" s="914" t="s">
        <v>1</v>
      </c>
      <c r="C195" s="913" t="s">
        <v>2</v>
      </c>
      <c r="D195" s="915" t="s">
        <v>260</v>
      </c>
      <c r="E195" s="905" t="s">
        <v>259</v>
      </c>
      <c r="F195" s="907" t="s">
        <v>261</v>
      </c>
      <c r="G195" s="908"/>
      <c r="H195" s="907" t="s">
        <v>262</v>
      </c>
      <c r="I195" s="908"/>
    </row>
    <row r="196" spans="1:9" s="3" customFormat="1" ht="23.3" customHeight="1" x14ac:dyDescent="0.25">
      <c r="A196" s="913"/>
      <c r="B196" s="914"/>
      <c r="C196" s="913"/>
      <c r="D196" s="915"/>
      <c r="E196" s="906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" customHeight="1" x14ac:dyDescent="0.25"/>
    <row r="198" spans="1:9" ht="14.1" customHeight="1" x14ac:dyDescent="0.25">
      <c r="A198" s="912" t="s">
        <v>239</v>
      </c>
      <c r="B198" s="912"/>
      <c r="C198" s="912"/>
      <c r="D198" s="912"/>
      <c r="E198" s="912"/>
      <c r="F198" s="912"/>
      <c r="G198" s="912"/>
      <c r="H198" s="912"/>
      <c r="I198" s="912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>SUM(D200:D209)</f>
        <v>10088</v>
      </c>
      <c r="E199" s="23">
        <f t="shared" ref="E199:I199" si="42">SUM(E200:E209)</f>
        <v>3759</v>
      </c>
      <c r="F199" s="23">
        <f t="shared" si="42"/>
        <v>0</v>
      </c>
      <c r="G199" s="23">
        <f t="shared" si="42"/>
        <v>0</v>
      </c>
      <c r="H199" s="23">
        <f t="shared" si="42"/>
        <v>10088</v>
      </c>
      <c r="I199" s="23">
        <f t="shared" si="4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43">F201+H201</f>
        <v>0</v>
      </c>
      <c r="E201" s="26">
        <f t="shared" si="4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43"/>
        <v>0</v>
      </c>
      <c r="E202" s="26">
        <f t="shared" si="4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43"/>
        <v>0</v>
      </c>
      <c r="E203" s="26">
        <f t="shared" si="4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43"/>
        <v>7628</v>
      </c>
      <c r="E204" s="26">
        <f t="shared" si="4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43"/>
        <v>2060</v>
      </c>
      <c r="E205" s="26">
        <f t="shared" si="4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43"/>
        <v>400</v>
      </c>
      <c r="E206" s="26">
        <f t="shared" si="4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43"/>
        <v>0</v>
      </c>
      <c r="E207" s="26">
        <f t="shared" si="4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43"/>
        <v>0</v>
      </c>
      <c r="E208" s="26">
        <f t="shared" si="4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43"/>
        <v>0</v>
      </c>
      <c r="E209" s="26">
        <f t="shared" si="4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909" t="s">
        <v>295</v>
      </c>
      <c r="B211" s="910"/>
      <c r="C211" s="911"/>
      <c r="D211" s="30">
        <f>D199+D210</f>
        <v>10088</v>
      </c>
      <c r="E211" s="30">
        <f t="shared" ref="E211:I211" si="44">E199+E210</f>
        <v>3759</v>
      </c>
      <c r="F211" s="30">
        <f t="shared" si="44"/>
        <v>0</v>
      </c>
      <c r="G211" s="30">
        <f t="shared" si="44"/>
        <v>0</v>
      </c>
      <c r="H211" s="30">
        <f t="shared" si="44"/>
        <v>10088</v>
      </c>
      <c r="I211" s="30">
        <f t="shared" si="44"/>
        <v>3759</v>
      </c>
    </row>
  </sheetData>
  <sheetProtection selectLockedCells="1" selectUnlockedCells="1"/>
  <mergeCells count="41"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75:C75"/>
    <mergeCell ref="A79:I79"/>
    <mergeCell ref="A80:A81"/>
    <mergeCell ref="B80:B81"/>
    <mergeCell ref="C80:C81"/>
    <mergeCell ref="D80:D81"/>
    <mergeCell ref="E80:E81"/>
    <mergeCell ref="F80:G80"/>
    <mergeCell ref="H80:I80"/>
    <mergeCell ref="A83:I83"/>
    <mergeCell ref="A163:C163"/>
    <mergeCell ref="A167:I167"/>
    <mergeCell ref="A168:A169"/>
    <mergeCell ref="B168:B169"/>
    <mergeCell ref="C168:C169"/>
    <mergeCell ref="D168:D169"/>
    <mergeCell ref="E168:E169"/>
    <mergeCell ref="F168:G168"/>
    <mergeCell ref="H168:I168"/>
    <mergeCell ref="H195:I195"/>
    <mergeCell ref="A198:I198"/>
    <mergeCell ref="A211:C211"/>
    <mergeCell ref="A171:I171"/>
    <mergeCell ref="A187:C187"/>
    <mergeCell ref="A189:C189"/>
    <mergeCell ref="A194:I194"/>
    <mergeCell ref="A195:A196"/>
    <mergeCell ref="B195:B196"/>
    <mergeCell ref="C195:C196"/>
    <mergeCell ref="D195:D196"/>
    <mergeCell ref="E195:E196"/>
    <mergeCell ref="F195:G195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1.62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9" width="12" style="6" customWidth="1"/>
    <col min="10" max="16384" width="11.625" style="5"/>
  </cols>
  <sheetData>
    <row r="1" spans="1:9" s="1" customFormat="1" ht="12.75" customHeight="1" x14ac:dyDescent="0.25">
      <c r="A1" s="913" t="s">
        <v>404</v>
      </c>
      <c r="B1" s="913"/>
      <c r="C1" s="913"/>
      <c r="D1" s="913"/>
      <c r="E1" s="913"/>
      <c r="F1" s="913"/>
      <c r="G1" s="913"/>
      <c r="H1" s="913"/>
      <c r="I1" s="913"/>
    </row>
    <row r="2" spans="1:9" s="1" customFormat="1" ht="14.1" customHeight="1" x14ac:dyDescent="0.25">
      <c r="A2" s="913" t="s">
        <v>0</v>
      </c>
      <c r="B2" s="914" t="s">
        <v>1</v>
      </c>
      <c r="C2" s="913" t="s">
        <v>2</v>
      </c>
      <c r="D2" s="915" t="s">
        <v>260</v>
      </c>
      <c r="E2" s="905" t="s">
        <v>259</v>
      </c>
      <c r="F2" s="907" t="s">
        <v>261</v>
      </c>
      <c r="G2" s="908"/>
      <c r="H2" s="907" t="s">
        <v>262</v>
      </c>
      <c r="I2" s="908"/>
    </row>
    <row r="3" spans="1:9" s="3" customFormat="1" ht="25.5" customHeight="1" x14ac:dyDescent="0.25">
      <c r="A3" s="913"/>
      <c r="B3" s="914"/>
      <c r="C3" s="913"/>
      <c r="D3" s="915"/>
      <c r="E3" s="906"/>
      <c r="F3" s="29" t="s">
        <v>263</v>
      </c>
      <c r="G3" s="29" t="s">
        <v>259</v>
      </c>
      <c r="H3" s="29" t="s">
        <v>260</v>
      </c>
      <c r="I3" s="29" t="s">
        <v>259</v>
      </c>
    </row>
    <row r="4" spans="1:9" ht="5.6" customHeight="1" x14ac:dyDescent="0.25"/>
    <row r="5" spans="1:9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" customHeight="1" x14ac:dyDescent="0.25">
      <c r="A7" s="11"/>
      <c r="B7" s="11"/>
      <c r="C7" s="12" t="s">
        <v>1164</v>
      </c>
      <c r="D7" s="13"/>
      <c r="E7" s="13"/>
      <c r="F7" s="14"/>
      <c r="G7" s="14">
        <v>145029</v>
      </c>
      <c r="H7" s="14"/>
      <c r="I7" s="14"/>
    </row>
    <row r="8" spans="1:9" s="15" customFormat="1" ht="11.4" customHeight="1" x14ac:dyDescent="0.25">
      <c r="A8" s="11"/>
      <c r="B8" s="11"/>
      <c r="C8" s="12" t="s">
        <v>1165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 t="shared" ref="I11" si="1">SUM(I12:I13)</f>
        <v>0</v>
      </c>
    </row>
    <row r="12" spans="1:9" s="15" customFormat="1" ht="11.4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2">F14+H14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2"/>
        <v>2124</v>
      </c>
      <c r="E15" s="9">
        <f t="shared" si="2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1166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1167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2"/>
        <v>5376</v>
      </c>
      <c r="E18" s="9">
        <f t="shared" si="2"/>
        <v>5376</v>
      </c>
      <c r="F18" s="10">
        <v>5376</v>
      </c>
      <c r="G18" s="10">
        <f>G19</f>
        <v>5376</v>
      </c>
      <c r="H18" s="10">
        <v>0</v>
      </c>
      <c r="I18" s="10">
        <f t="shared" ref="I18" si="3">I19</f>
        <v>0</v>
      </c>
    </row>
    <row r="19" spans="1:9" s="15" customFormat="1" ht="11.4" customHeight="1" x14ac:dyDescent="0.2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4">F20+H20</f>
        <v>100</v>
      </c>
      <c r="E20" s="9">
        <f t="shared" si="4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4"/>
        <v>1080</v>
      </c>
      <c r="E21" s="9">
        <f t="shared" si="4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4"/>
        <v>0</v>
      </c>
      <c r="E22" s="9">
        <f t="shared" si="4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1275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 t="shared" ref="G26:I26" si="5">G27</f>
        <v>582</v>
      </c>
      <c r="H26" s="10">
        <f t="shared" si="5"/>
        <v>0</v>
      </c>
      <c r="I26" s="10">
        <f t="shared" si="5"/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" customHeight="1" x14ac:dyDescent="0.2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" customHeight="1" x14ac:dyDescent="0.25">
      <c r="A30" s="11"/>
      <c r="B30" s="11"/>
      <c r="C30" s="12" t="s">
        <v>1277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6">D6+D9+D10+D11+D14+D15+D18+D20+D21+D22+D25+D26+D28</f>
        <v>144713</v>
      </c>
      <c r="E31" s="18">
        <f t="shared" si="6"/>
        <v>160143</v>
      </c>
      <c r="F31" s="18">
        <f t="shared" si="6"/>
        <v>144713</v>
      </c>
      <c r="G31" s="18">
        <f t="shared" si="6"/>
        <v>160143</v>
      </c>
      <c r="H31" s="18">
        <f t="shared" si="6"/>
        <v>0</v>
      </c>
      <c r="I31" s="18">
        <f t="shared" si="6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 t="shared" ref="G33:I33" si="7">G34</f>
        <v>300</v>
      </c>
      <c r="H33" s="10">
        <f t="shared" si="7"/>
        <v>0</v>
      </c>
      <c r="I33" s="10">
        <f t="shared" si="7"/>
        <v>0</v>
      </c>
    </row>
    <row r="34" spans="1:9" s="15" customFormat="1" ht="11.4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 t="shared" ref="G35:I35" si="8">G36</f>
        <v>60</v>
      </c>
      <c r="H35" s="10">
        <f t="shared" si="8"/>
        <v>0</v>
      </c>
      <c r="I35" s="10">
        <f t="shared" si="8"/>
        <v>0</v>
      </c>
    </row>
    <row r="36" spans="1:9" s="15" customFormat="1" ht="11.4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>D32+D33+D35</f>
        <v>500</v>
      </c>
      <c r="E37" s="18">
        <f t="shared" ref="E37:I37" si="9">E32+E33+E35</f>
        <v>360</v>
      </c>
      <c r="F37" s="18">
        <f t="shared" si="9"/>
        <v>500</v>
      </c>
      <c r="G37" s="18">
        <f t="shared" si="9"/>
        <v>360</v>
      </c>
      <c r="H37" s="18">
        <f t="shared" si="9"/>
        <v>0</v>
      </c>
      <c r="I37" s="18">
        <f t="shared" si="9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>D31+D37</f>
        <v>145213</v>
      </c>
      <c r="E38" s="22">
        <f t="shared" ref="E38:I38" si="10">E31+E37</f>
        <v>160503</v>
      </c>
      <c r="F38" s="22">
        <f t="shared" si="10"/>
        <v>145213</v>
      </c>
      <c r="G38" s="22">
        <f t="shared" si="10"/>
        <v>160503</v>
      </c>
      <c r="H38" s="22">
        <f t="shared" si="10"/>
        <v>0</v>
      </c>
      <c r="I38" s="22">
        <f t="shared" si="10"/>
        <v>0</v>
      </c>
    </row>
    <row r="39" spans="1:9" s="15" customFormat="1" ht="11.4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" customHeight="1" x14ac:dyDescent="0.25">
      <c r="A40" s="11"/>
      <c r="B40" s="11"/>
      <c r="C40" s="12" t="s">
        <v>61</v>
      </c>
      <c r="D40" s="13">
        <f t="shared" ref="D40:E42" si="11">H40+F40</f>
        <v>928</v>
      </c>
      <c r="E40" s="13">
        <f t="shared" si="11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" customHeight="1" x14ac:dyDescent="0.25">
      <c r="A41" s="11"/>
      <c r="B41" s="11"/>
      <c r="C41" s="12" t="s">
        <v>62</v>
      </c>
      <c r="D41" s="13">
        <f t="shared" si="11"/>
        <v>2675</v>
      </c>
      <c r="E41" s="13">
        <f t="shared" si="11"/>
        <v>2675</v>
      </c>
      <c r="F41" s="14">
        <v>2675</v>
      </c>
      <c r="G41" s="14">
        <v>2675</v>
      </c>
      <c r="H41" s="14"/>
      <c r="I41" s="14"/>
    </row>
    <row r="42" spans="1:9" s="15" customFormat="1" ht="11.4" customHeight="1" x14ac:dyDescent="0.25">
      <c r="A42" s="11"/>
      <c r="B42" s="11"/>
      <c r="C42" s="12" t="s">
        <v>63</v>
      </c>
      <c r="D42" s="13">
        <f t="shared" si="11"/>
        <v>1043</v>
      </c>
      <c r="E42" s="13">
        <f t="shared" si="11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>D39+D40+D41+D42</f>
        <v>41877</v>
      </c>
      <c r="E43" s="22">
        <f t="shared" ref="E43:I43" si="12">E39+E40+E41+E42</f>
        <v>45955</v>
      </c>
      <c r="F43" s="22">
        <f t="shared" si="12"/>
        <v>41877</v>
      </c>
      <c r="G43" s="22">
        <f t="shared" si="12"/>
        <v>45955</v>
      </c>
      <c r="H43" s="22">
        <f t="shared" si="12"/>
        <v>0</v>
      </c>
      <c r="I43" s="22">
        <f t="shared" si="12"/>
        <v>0</v>
      </c>
    </row>
    <row r="44" spans="1:9" s="3" customFormat="1" ht="14.1" customHeight="1" x14ac:dyDescent="0.25">
      <c r="A44" s="909" t="s">
        <v>66</v>
      </c>
      <c r="B44" s="910"/>
      <c r="C44" s="911"/>
      <c r="D44" s="30">
        <f>D38+D43</f>
        <v>187090</v>
      </c>
      <c r="E44" s="30">
        <f t="shared" ref="E44:I44" si="13">E38+E43</f>
        <v>206458</v>
      </c>
      <c r="F44" s="30">
        <f t="shared" si="13"/>
        <v>187090</v>
      </c>
      <c r="G44" s="30">
        <f t="shared" si="13"/>
        <v>206458</v>
      </c>
      <c r="H44" s="30">
        <f t="shared" si="13"/>
        <v>0</v>
      </c>
      <c r="I44" s="30">
        <f t="shared" si="13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913" t="s">
        <v>405</v>
      </c>
      <c r="B48" s="913"/>
      <c r="C48" s="913"/>
      <c r="D48" s="913"/>
      <c r="E48" s="913"/>
      <c r="F48" s="913"/>
      <c r="G48" s="913"/>
      <c r="H48" s="913"/>
      <c r="I48" s="913"/>
    </row>
    <row r="49" spans="1:9" s="1" customFormat="1" ht="14.1" customHeight="1" x14ac:dyDescent="0.25">
      <c r="A49" s="913" t="s">
        <v>0</v>
      </c>
      <c r="B49" s="914" t="s">
        <v>1</v>
      </c>
      <c r="C49" s="913" t="s">
        <v>2</v>
      </c>
      <c r="D49" s="915" t="s">
        <v>260</v>
      </c>
      <c r="E49" s="905" t="s">
        <v>259</v>
      </c>
      <c r="F49" s="907" t="s">
        <v>261</v>
      </c>
      <c r="G49" s="908"/>
      <c r="H49" s="907" t="s">
        <v>262</v>
      </c>
      <c r="I49" s="908"/>
    </row>
    <row r="50" spans="1:9" s="3" customFormat="1" ht="32.950000000000003" customHeight="1" x14ac:dyDescent="0.25">
      <c r="A50" s="913"/>
      <c r="B50" s="914"/>
      <c r="C50" s="913"/>
      <c r="D50" s="915"/>
      <c r="E50" s="906"/>
      <c r="F50" s="29" t="s">
        <v>260</v>
      </c>
      <c r="G50" s="29" t="s">
        <v>259</v>
      </c>
      <c r="H50" s="29" t="s">
        <v>260</v>
      </c>
      <c r="I50" s="29" t="s">
        <v>259</v>
      </c>
    </row>
    <row r="51" spans="1:9" ht="5.6" customHeight="1" x14ac:dyDescent="0.25"/>
    <row r="52" spans="1:9" ht="14.1" customHeight="1" x14ac:dyDescent="0.25">
      <c r="A52" s="912" t="s">
        <v>288</v>
      </c>
      <c r="B52" s="912"/>
      <c r="C52" s="912"/>
      <c r="D52" s="912"/>
      <c r="E52" s="912"/>
      <c r="F52" s="912"/>
      <c r="G52" s="912"/>
      <c r="H52" s="912"/>
      <c r="I52" s="912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 t="shared" ref="G53:I53" si="14">SUM(G54:G59)</f>
        <v>320</v>
      </c>
      <c r="H53" s="10">
        <f t="shared" si="14"/>
        <v>0</v>
      </c>
      <c r="I53" s="10">
        <f t="shared" si="14"/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 t="shared" ref="G67:I67" si="15">SUM(G68:G69)</f>
        <v>0</v>
      </c>
      <c r="H67" s="10">
        <f t="shared" si="15"/>
        <v>0</v>
      </c>
      <c r="I67" s="10">
        <f t="shared" si="15"/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>D53+D60</f>
        <v>4545</v>
      </c>
      <c r="E70" s="19">
        <f t="shared" ref="E70:I70" si="16">E53+E60</f>
        <v>3655</v>
      </c>
      <c r="F70" s="19">
        <f t="shared" si="16"/>
        <v>4545</v>
      </c>
      <c r="G70" s="19">
        <f t="shared" si="16"/>
        <v>3655</v>
      </c>
      <c r="H70" s="19">
        <f t="shared" si="16"/>
        <v>0</v>
      </c>
      <c r="I70" s="19">
        <f t="shared" si="16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 t="shared" ref="H71:I71" si="17">SUM(H72:H77)</f>
        <v>0</v>
      </c>
      <c r="I71" s="10">
        <f t="shared" si="17"/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 t="shared" ref="G78:I78" si="18">SUM(G79:G80)</f>
        <v>250</v>
      </c>
      <c r="H78" s="10">
        <f t="shared" si="18"/>
        <v>0</v>
      </c>
      <c r="I78" s="10">
        <f t="shared" si="18"/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>D71+D78</f>
        <v>500</v>
      </c>
      <c r="E81" s="19">
        <f t="shared" ref="E81:I81" si="19">E71+E78</f>
        <v>650</v>
      </c>
      <c r="F81" s="19">
        <f t="shared" si="19"/>
        <v>500</v>
      </c>
      <c r="G81" s="19">
        <f t="shared" si="19"/>
        <v>650</v>
      </c>
      <c r="H81" s="19">
        <f t="shared" si="19"/>
        <v>0</v>
      </c>
      <c r="I81" s="19">
        <f t="shared" si="19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 t="shared" ref="G82:I82" si="20">SUM(G83:G85)</f>
        <v>9150</v>
      </c>
      <c r="H82" s="10">
        <f t="shared" si="20"/>
        <v>0</v>
      </c>
      <c r="I82" s="10">
        <f t="shared" si="20"/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 t="shared" ref="G88:I88" si="21">SUM(G89:G90)</f>
        <v>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 t="shared" ref="G95:I95" si="22">SUM(G96:G98)</f>
        <v>170</v>
      </c>
      <c r="H95" s="10">
        <f t="shared" si="22"/>
        <v>0</v>
      </c>
      <c r="I95" s="10">
        <f t="shared" si="22"/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 t="shared" ref="G99:I99" si="23">SUM(G100:G103)</f>
        <v>10010</v>
      </c>
      <c r="H99" s="10">
        <f t="shared" si="23"/>
        <v>0</v>
      </c>
      <c r="I99" s="10">
        <f t="shared" si="23"/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>D82+D86+D88+D91+D92+D95+D99</f>
        <v>42963</v>
      </c>
      <c r="E104" s="19">
        <f t="shared" ref="E104:I104" si="24">E82+E86+E88+E91+E92+E95+E99</f>
        <v>41190</v>
      </c>
      <c r="F104" s="19">
        <f t="shared" si="24"/>
        <v>24300</v>
      </c>
      <c r="G104" s="19">
        <f t="shared" si="24"/>
        <v>22530</v>
      </c>
      <c r="H104" s="19">
        <f t="shared" si="24"/>
        <v>18663</v>
      </c>
      <c r="I104" s="19">
        <f t="shared" si="24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 t="shared" ref="G105:I105" si="25">SUM(G106:G107)</f>
        <v>50</v>
      </c>
      <c r="H105" s="10">
        <f t="shared" si="25"/>
        <v>0</v>
      </c>
      <c r="I105" s="10">
        <f t="shared" si="25"/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>D105+D108</f>
        <v>100</v>
      </c>
      <c r="E109" s="19">
        <f t="shared" ref="E109:I109" si="26">E105+E108</f>
        <v>50</v>
      </c>
      <c r="F109" s="19">
        <f t="shared" si="26"/>
        <v>100</v>
      </c>
      <c r="G109" s="19">
        <f t="shared" si="26"/>
        <v>50</v>
      </c>
      <c r="H109" s="19">
        <f t="shared" si="26"/>
        <v>0</v>
      </c>
      <c r="I109" s="19">
        <f t="shared" si="26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 t="shared" ref="G110:I110" si="27">SUM(G111:G112)</f>
        <v>7245</v>
      </c>
      <c r="H110" s="10">
        <f t="shared" si="27"/>
        <v>5039</v>
      </c>
      <c r="I110" s="10">
        <f t="shared" si="27"/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 t="shared" ref="G113:I113" si="28">SUM(G114:G116)</f>
        <v>0</v>
      </c>
      <c r="H113" s="10">
        <f t="shared" si="28"/>
        <v>0</v>
      </c>
      <c r="I113" s="10">
        <f t="shared" si="28"/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 t="shared" ref="G117:I117" si="29">SUM(G118:G121)</f>
        <v>0</v>
      </c>
      <c r="H117" s="10">
        <f t="shared" si="29"/>
        <v>0</v>
      </c>
      <c r="I117" s="10">
        <f t="shared" si="29"/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 t="shared" ref="G122:I122" si="30">SUM(G123:G124)</f>
        <v>0</v>
      </c>
      <c r="H122" s="10">
        <f t="shared" si="30"/>
        <v>0</v>
      </c>
      <c r="I122" s="10">
        <f t="shared" si="30"/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 t="shared" ref="G125:I125" si="31">SUM(G126:G129)</f>
        <v>300</v>
      </c>
      <c r="H125" s="10">
        <f t="shared" si="31"/>
        <v>0</v>
      </c>
      <c r="I125" s="10">
        <f t="shared" si="31"/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>D110+D113+D117+D122+D125</f>
        <v>12992</v>
      </c>
      <c r="E130" s="19">
        <f t="shared" ref="E130:I130" si="32">E110+E113+E117+E122+E125</f>
        <v>12583</v>
      </c>
      <c r="F130" s="19">
        <f t="shared" si="32"/>
        <v>7953</v>
      </c>
      <c r="G130" s="19">
        <f t="shared" si="32"/>
        <v>7545</v>
      </c>
      <c r="H130" s="19">
        <f t="shared" si="32"/>
        <v>5039</v>
      </c>
      <c r="I130" s="19">
        <f t="shared" si="32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>D70+D81+D104+D109+D130</f>
        <v>61100</v>
      </c>
      <c r="E131" s="23">
        <f t="shared" ref="E131:I131" si="33">E70+E81+E104+E109+E130</f>
        <v>58128</v>
      </c>
      <c r="F131" s="23">
        <f t="shared" si="33"/>
        <v>37398</v>
      </c>
      <c r="G131" s="23">
        <f t="shared" si="33"/>
        <v>34430</v>
      </c>
      <c r="H131" s="23">
        <f t="shared" si="33"/>
        <v>23702</v>
      </c>
      <c r="I131" s="23">
        <f t="shared" si="33"/>
        <v>23698</v>
      </c>
    </row>
    <row r="132" spans="1:252" ht="14.1" customHeight="1" x14ac:dyDescent="0.2">
      <c r="A132" s="916" t="s">
        <v>291</v>
      </c>
      <c r="B132" s="917"/>
      <c r="C132" s="918"/>
      <c r="D132" s="28">
        <f>D44+D131</f>
        <v>248190</v>
      </c>
      <c r="E132" s="28">
        <f t="shared" ref="E132:I132" si="34">E44+E131</f>
        <v>264586</v>
      </c>
      <c r="F132" s="28">
        <f t="shared" si="34"/>
        <v>224488</v>
      </c>
      <c r="G132" s="28">
        <f t="shared" si="34"/>
        <v>240888</v>
      </c>
      <c r="H132" s="28">
        <f t="shared" si="34"/>
        <v>23702</v>
      </c>
      <c r="I132" s="28">
        <f t="shared" si="34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913" t="s">
        <v>406</v>
      </c>
      <c r="B136" s="913"/>
      <c r="C136" s="913"/>
      <c r="D136" s="913"/>
      <c r="E136" s="913"/>
      <c r="F136" s="913"/>
      <c r="G136" s="913"/>
      <c r="H136" s="913"/>
      <c r="I136" s="913"/>
    </row>
    <row r="137" spans="1:252" s="1" customFormat="1" ht="14.1" customHeight="1" x14ac:dyDescent="0.25">
      <c r="A137" s="913" t="s">
        <v>0</v>
      </c>
      <c r="B137" s="914" t="s">
        <v>1</v>
      </c>
      <c r="C137" s="913" t="s">
        <v>2</v>
      </c>
      <c r="D137" s="915" t="s">
        <v>260</v>
      </c>
      <c r="E137" s="905" t="s">
        <v>259</v>
      </c>
      <c r="F137" s="907" t="s">
        <v>261</v>
      </c>
      <c r="G137" s="908"/>
      <c r="H137" s="907" t="s">
        <v>262</v>
      </c>
      <c r="I137" s="908"/>
    </row>
    <row r="138" spans="1:252" s="3" customFormat="1" ht="27" customHeight="1" x14ac:dyDescent="0.25">
      <c r="A138" s="913"/>
      <c r="B138" s="914"/>
      <c r="C138" s="913"/>
      <c r="D138" s="915"/>
      <c r="E138" s="906"/>
      <c r="F138" s="29" t="s">
        <v>260</v>
      </c>
      <c r="G138" s="29" t="s">
        <v>259</v>
      </c>
      <c r="H138" s="29" t="s">
        <v>260</v>
      </c>
      <c r="I138" s="29" t="s">
        <v>259</v>
      </c>
    </row>
    <row r="139" spans="1:252" ht="5.6" customHeight="1" x14ac:dyDescent="0.25"/>
    <row r="140" spans="1:252" ht="14.1" customHeight="1" x14ac:dyDescent="0.25">
      <c r="A140" s="912" t="s">
        <v>194</v>
      </c>
      <c r="B140" s="912"/>
      <c r="C140" s="912"/>
      <c r="D140" s="912"/>
      <c r="E140" s="912"/>
      <c r="F140" s="912"/>
      <c r="G140" s="912"/>
      <c r="H140" s="912"/>
      <c r="I140" s="912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35">F142+H142</f>
        <v>0</v>
      </c>
      <c r="E142" s="26">
        <f t="shared" si="35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35"/>
        <v>150</v>
      </c>
      <c r="E143" s="26">
        <f t="shared" si="35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35"/>
        <v>200</v>
      </c>
      <c r="E144" s="26">
        <f t="shared" si="35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35"/>
        <v>0</v>
      </c>
      <c r="E145" s="26">
        <f t="shared" si="35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35"/>
        <v>0</v>
      </c>
      <c r="E146" s="26">
        <f t="shared" si="35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35"/>
        <v>0</v>
      </c>
      <c r="E147" s="26">
        <f t="shared" si="35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35"/>
        <v>95</v>
      </c>
      <c r="E148" s="26">
        <f t="shared" si="35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>SUM(D141:D148)</f>
        <v>445</v>
      </c>
      <c r="E149" s="23">
        <f t="shared" ref="E149:I149" si="36">SUM(E141:E148)</f>
        <v>254</v>
      </c>
      <c r="F149" s="23">
        <f t="shared" si="36"/>
        <v>445</v>
      </c>
      <c r="G149" s="23">
        <f t="shared" si="36"/>
        <v>254</v>
      </c>
      <c r="H149" s="23">
        <f t="shared" si="36"/>
        <v>0</v>
      </c>
      <c r="I149" s="23">
        <f t="shared" si="36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>F150+H150</f>
        <v>0</v>
      </c>
      <c r="E150" s="26">
        <f t="shared" ref="E150:E154" si="37">G150+I150</f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ref="D151:D154" si="38">F151+H151</f>
        <v>0</v>
      </c>
      <c r="E151" s="26">
        <f t="shared" si="37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38"/>
        <v>0</v>
      </c>
      <c r="E152" s="26">
        <f>G152+I152</f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38"/>
        <v>0</v>
      </c>
      <c r="E153" s="26">
        <f t="shared" si="37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38"/>
        <v>0</v>
      </c>
      <c r="E154" s="26">
        <f t="shared" si="37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>SUM(D150:D154)</f>
        <v>0</v>
      </c>
      <c r="E155" s="23">
        <f t="shared" ref="E155:I155" si="39">SUM(E150:E154)</f>
        <v>0</v>
      </c>
      <c r="F155" s="23">
        <f t="shared" si="39"/>
        <v>0</v>
      </c>
      <c r="G155" s="23">
        <f t="shared" si="39"/>
        <v>0</v>
      </c>
      <c r="H155" s="23">
        <f t="shared" si="39"/>
        <v>0</v>
      </c>
      <c r="I155" s="23">
        <f t="shared" si="39"/>
        <v>0</v>
      </c>
    </row>
    <row r="156" spans="1:9" s="3" customFormat="1" ht="14.1" customHeight="1" x14ac:dyDescent="0.25">
      <c r="A156" s="916" t="s">
        <v>293</v>
      </c>
      <c r="B156" s="917"/>
      <c r="C156" s="918" t="s">
        <v>238</v>
      </c>
      <c r="D156" s="28">
        <f>D149+D155</f>
        <v>445</v>
      </c>
      <c r="E156" s="28">
        <f t="shared" ref="E156:I156" si="40">E149+E155</f>
        <v>254</v>
      </c>
      <c r="F156" s="28">
        <f t="shared" si="40"/>
        <v>445</v>
      </c>
      <c r="G156" s="28">
        <f t="shared" si="40"/>
        <v>254</v>
      </c>
      <c r="H156" s="28">
        <f t="shared" si="40"/>
        <v>0</v>
      </c>
      <c r="I156" s="28">
        <f t="shared" si="40"/>
        <v>0</v>
      </c>
    </row>
    <row r="157" spans="1:9" ht="6.8" customHeight="1" x14ac:dyDescent="0.25"/>
    <row r="158" spans="1:9" ht="14.1" customHeight="1" x14ac:dyDescent="0.25">
      <c r="A158" s="909" t="s">
        <v>294</v>
      </c>
      <c r="B158" s="910"/>
      <c r="C158" s="911"/>
      <c r="D158" s="30">
        <f>D156+D132</f>
        <v>248635</v>
      </c>
      <c r="E158" s="30">
        <f t="shared" ref="E158:I158" si="41">E156+E132</f>
        <v>264840</v>
      </c>
      <c r="F158" s="30">
        <f t="shared" si="41"/>
        <v>224933</v>
      </c>
      <c r="G158" s="30">
        <f t="shared" si="41"/>
        <v>241142</v>
      </c>
      <c r="H158" s="30">
        <f t="shared" si="41"/>
        <v>23702</v>
      </c>
      <c r="I158" s="30">
        <f t="shared" si="41"/>
        <v>23698</v>
      </c>
    </row>
    <row r="163" spans="1:9" s="1" customFormat="1" ht="12.75" customHeight="1" x14ac:dyDescent="0.25">
      <c r="A163" s="913" t="s">
        <v>405</v>
      </c>
      <c r="B163" s="913"/>
      <c r="C163" s="913"/>
      <c r="D163" s="913"/>
      <c r="E163" s="913"/>
      <c r="F163" s="913"/>
      <c r="G163" s="913"/>
      <c r="H163" s="913"/>
      <c r="I163" s="913"/>
    </row>
    <row r="164" spans="1:9" s="1" customFormat="1" ht="14.1" customHeight="1" x14ac:dyDescent="0.25">
      <c r="A164" s="913" t="s">
        <v>0</v>
      </c>
      <c r="B164" s="914" t="s">
        <v>1</v>
      </c>
      <c r="C164" s="913" t="s">
        <v>2</v>
      </c>
      <c r="D164" s="915" t="s">
        <v>260</v>
      </c>
      <c r="E164" s="905" t="s">
        <v>259</v>
      </c>
      <c r="F164" s="907" t="s">
        <v>261</v>
      </c>
      <c r="G164" s="908"/>
      <c r="H164" s="907" t="s">
        <v>262</v>
      </c>
      <c r="I164" s="908"/>
    </row>
    <row r="165" spans="1:9" s="3" customFormat="1" ht="23.3" customHeight="1" x14ac:dyDescent="0.25">
      <c r="A165" s="913"/>
      <c r="B165" s="914"/>
      <c r="C165" s="913"/>
      <c r="D165" s="915"/>
      <c r="E165" s="906"/>
      <c r="F165" s="29" t="s">
        <v>260</v>
      </c>
      <c r="G165" s="29" t="s">
        <v>259</v>
      </c>
      <c r="H165" s="29" t="s">
        <v>260</v>
      </c>
      <c r="I165" s="29" t="s">
        <v>259</v>
      </c>
    </row>
    <row r="166" spans="1:9" ht="5.6" customHeight="1" x14ac:dyDescent="0.25"/>
    <row r="167" spans="1:9" ht="14.1" customHeight="1" x14ac:dyDescent="0.25">
      <c r="A167" s="912" t="s">
        <v>239</v>
      </c>
      <c r="B167" s="912"/>
      <c r="C167" s="912"/>
      <c r="D167" s="912"/>
      <c r="E167" s="912"/>
      <c r="F167" s="912"/>
      <c r="G167" s="912"/>
      <c r="H167" s="912"/>
      <c r="I167" s="912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>SUM(D169:D178)</f>
        <v>14338</v>
      </c>
      <c r="E168" s="23">
        <f t="shared" ref="E168:I168" si="42">SUM(E169:E178)</f>
        <v>7684</v>
      </c>
      <c r="F168" s="23">
        <f t="shared" si="42"/>
        <v>0</v>
      </c>
      <c r="G168" s="23">
        <f t="shared" si="42"/>
        <v>0</v>
      </c>
      <c r="H168" s="23">
        <f t="shared" si="42"/>
        <v>14338</v>
      </c>
      <c r="I168" s="23">
        <f t="shared" si="4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43">F170+H170</f>
        <v>0</v>
      </c>
      <c r="E170" s="26">
        <f t="shared" si="4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43"/>
        <v>0</v>
      </c>
      <c r="E171" s="26">
        <f t="shared" si="4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43"/>
        <v>0</v>
      </c>
      <c r="E172" s="26">
        <f t="shared" si="4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43"/>
        <v>11290</v>
      </c>
      <c r="E173" s="26">
        <f t="shared" si="4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43"/>
        <v>3048</v>
      </c>
      <c r="E174" s="26">
        <f t="shared" si="4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43"/>
        <v>0</v>
      </c>
      <c r="E175" s="26">
        <f t="shared" si="4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43"/>
        <v>0</v>
      </c>
      <c r="E176" s="26">
        <f t="shared" si="4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43"/>
        <v>0</v>
      </c>
      <c r="E177" s="26">
        <f t="shared" si="4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43"/>
        <v>0</v>
      </c>
      <c r="E178" s="26">
        <f t="shared" si="4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909" t="s">
        <v>295</v>
      </c>
      <c r="B180" s="910"/>
      <c r="C180" s="911"/>
      <c r="D180" s="30">
        <f>D168+D179</f>
        <v>14338</v>
      </c>
      <c r="E180" s="30">
        <f t="shared" ref="E180:I180" si="44">E168+E179</f>
        <v>7684</v>
      </c>
      <c r="F180" s="30">
        <f t="shared" si="44"/>
        <v>0</v>
      </c>
      <c r="G180" s="30">
        <f t="shared" si="44"/>
        <v>0</v>
      </c>
      <c r="H180" s="30">
        <f t="shared" si="44"/>
        <v>14338</v>
      </c>
      <c r="I180" s="30">
        <f t="shared" si="44"/>
        <v>7684</v>
      </c>
    </row>
  </sheetData>
  <sheetProtection selectLockedCells="1" selectUnlockedCells="1"/>
  <mergeCells count="41">
    <mergeCell ref="H164:I164"/>
    <mergeCell ref="A167:I167"/>
    <mergeCell ref="A180:C180"/>
    <mergeCell ref="A140:I140"/>
    <mergeCell ref="A156:C156"/>
    <mergeCell ref="A158:C158"/>
    <mergeCell ref="A163:I163"/>
    <mergeCell ref="A164:A165"/>
    <mergeCell ref="B164:B165"/>
    <mergeCell ref="C164:C165"/>
    <mergeCell ref="D164:D165"/>
    <mergeCell ref="E164:E165"/>
    <mergeCell ref="F164:G164"/>
    <mergeCell ref="A52:I52"/>
    <mergeCell ref="A132:C132"/>
    <mergeCell ref="A136:I136"/>
    <mergeCell ref="A137:A138"/>
    <mergeCell ref="B137:B138"/>
    <mergeCell ref="C137:C138"/>
    <mergeCell ref="D137:D138"/>
    <mergeCell ref="E137:E138"/>
    <mergeCell ref="F137:G137"/>
    <mergeCell ref="H137:I137"/>
    <mergeCell ref="A5:I5"/>
    <mergeCell ref="A44:C44"/>
    <mergeCell ref="A48:I48"/>
    <mergeCell ref="A49:A50"/>
    <mergeCell ref="B49:B50"/>
    <mergeCell ref="C49:C50"/>
    <mergeCell ref="D49:D50"/>
    <mergeCell ref="E49:E50"/>
    <mergeCell ref="F49:G49"/>
    <mergeCell ref="H49:I49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D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1.62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21" width="12" style="6" customWidth="1"/>
    <col min="22" max="16384" width="11.625" style="5"/>
  </cols>
  <sheetData>
    <row r="1" spans="1:21" s="1" customFormat="1" ht="12.75" customHeight="1" x14ac:dyDescent="0.25">
      <c r="A1" s="913" t="s">
        <v>410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 t="s">
        <v>410</v>
      </c>
      <c r="M1" s="913"/>
      <c r="N1" s="913"/>
      <c r="O1" s="913"/>
      <c r="P1" s="913"/>
      <c r="Q1" s="913"/>
      <c r="R1" s="913"/>
      <c r="S1" s="913"/>
      <c r="T1" s="913"/>
      <c r="U1" s="913"/>
    </row>
    <row r="2" spans="1:21" s="1" customFormat="1" ht="14.1" customHeight="1" x14ac:dyDescent="0.25">
      <c r="A2" s="955" t="s">
        <v>0</v>
      </c>
      <c r="B2" s="954" t="s">
        <v>1</v>
      </c>
      <c r="C2" s="955" t="s">
        <v>2</v>
      </c>
      <c r="D2" s="906" t="s">
        <v>260</v>
      </c>
      <c r="E2" s="956" t="s">
        <v>259</v>
      </c>
      <c r="F2" s="952" t="s">
        <v>411</v>
      </c>
      <c r="G2" s="957"/>
      <c r="H2" s="952" t="s">
        <v>412</v>
      </c>
      <c r="I2" s="953"/>
      <c r="J2" s="966" t="s">
        <v>413</v>
      </c>
      <c r="K2" s="960"/>
      <c r="L2" s="966" t="s">
        <v>414</v>
      </c>
      <c r="M2" s="966"/>
      <c r="N2" s="960" t="s">
        <v>415</v>
      </c>
      <c r="O2" s="962"/>
      <c r="P2" s="958" t="s">
        <v>416</v>
      </c>
      <c r="Q2" s="959"/>
      <c r="R2" s="958" t="s">
        <v>417</v>
      </c>
      <c r="S2" s="959"/>
      <c r="T2" s="958"/>
      <c r="U2" s="959"/>
    </row>
    <row r="3" spans="1:21" s="3" customFormat="1" ht="25.5" customHeight="1" x14ac:dyDescent="0.25">
      <c r="A3" s="913"/>
      <c r="B3" s="914"/>
      <c r="C3" s="913"/>
      <c r="D3" s="915"/>
      <c r="E3" s="906"/>
      <c r="F3" s="50" t="s">
        <v>263</v>
      </c>
      <c r="G3" s="50" t="s">
        <v>259</v>
      </c>
      <c r="H3" s="50" t="s">
        <v>260</v>
      </c>
      <c r="I3" s="49" t="s">
        <v>259</v>
      </c>
      <c r="J3" s="62" t="s">
        <v>260</v>
      </c>
      <c r="K3" s="77" t="s">
        <v>259</v>
      </c>
      <c r="L3" s="62" t="s">
        <v>260</v>
      </c>
      <c r="M3" s="62" t="s">
        <v>259</v>
      </c>
      <c r="N3" s="83" t="s">
        <v>260</v>
      </c>
      <c r="O3" s="48" t="s">
        <v>259</v>
      </c>
      <c r="P3" s="84" t="s">
        <v>260</v>
      </c>
      <c r="Q3" s="85" t="s">
        <v>259</v>
      </c>
      <c r="R3" s="84" t="s">
        <v>260</v>
      </c>
      <c r="S3" s="85" t="s">
        <v>259</v>
      </c>
      <c r="T3" s="84"/>
      <c r="U3" s="85"/>
    </row>
    <row r="4" spans="1:21" ht="5.6" customHeight="1" x14ac:dyDescent="0.25">
      <c r="J4" s="63"/>
      <c r="K4" s="78"/>
      <c r="L4" s="63"/>
      <c r="M4" s="63"/>
    </row>
    <row r="5" spans="1:21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2">
        <f>SUM(I7:I27)</f>
        <v>12350</v>
      </c>
      <c r="J6" s="65">
        <v>0</v>
      </c>
      <c r="K6" s="65">
        <v>0</v>
      </c>
      <c r="L6" s="65">
        <v>45989</v>
      </c>
      <c r="M6" s="52">
        <f>SUM(M7:M54)-M45</f>
        <v>52585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/>
      <c r="T6" s="65"/>
      <c r="U6" s="65"/>
    </row>
    <row r="7" spans="1:21" s="15" customFormat="1" ht="11.4" customHeight="1" x14ac:dyDescent="0.2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15" customFormat="1" ht="11.4" customHeight="1" x14ac:dyDescent="0.2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3"/>
      <c r="J8" s="66"/>
      <c r="K8" s="81"/>
      <c r="L8" s="66"/>
      <c r="M8" s="81"/>
      <c r="N8" s="66"/>
      <c r="O8" s="66"/>
      <c r="P8" s="66"/>
      <c r="Q8" s="66"/>
      <c r="R8" s="66"/>
      <c r="S8" s="66"/>
      <c r="T8" s="66"/>
      <c r="U8" s="66"/>
    </row>
    <row r="9" spans="1:21" s="15" customFormat="1" ht="11.4" customHeight="1" x14ac:dyDescent="0.2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3"/>
      <c r="J9" s="66"/>
      <c r="K9" s="81"/>
      <c r="L9" s="66"/>
      <c r="M9" s="81"/>
      <c r="N9" s="66"/>
      <c r="O9" s="66"/>
      <c r="P9" s="66"/>
      <c r="Q9" s="66"/>
      <c r="R9" s="66"/>
      <c r="S9" s="66"/>
      <c r="T9" s="66"/>
      <c r="U9" s="66"/>
    </row>
    <row r="10" spans="1:21" s="15" customFormat="1" ht="11.4" customHeight="1" x14ac:dyDescent="0.2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3"/>
      <c r="J10" s="66"/>
      <c r="K10" s="81"/>
      <c r="L10" s="66"/>
      <c r="M10" s="81"/>
      <c r="N10" s="66"/>
      <c r="O10" s="66"/>
      <c r="P10" s="66"/>
      <c r="Q10" s="66"/>
      <c r="R10" s="66"/>
      <c r="S10" s="66"/>
      <c r="T10" s="66"/>
      <c r="U10" s="66"/>
    </row>
    <row r="11" spans="1:21" s="15" customFormat="1" ht="11.4" customHeight="1" x14ac:dyDescent="0.2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3"/>
      <c r="J11" s="66"/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" customHeight="1" x14ac:dyDescent="0.2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15" customFormat="1" ht="11.4" customHeight="1" x14ac:dyDescent="0.2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3"/>
      <c r="J13" s="66"/>
      <c r="K13" s="81"/>
      <c r="L13" s="66"/>
      <c r="M13" s="81"/>
      <c r="N13" s="66"/>
      <c r="O13" s="66"/>
      <c r="P13" s="66"/>
      <c r="Q13" s="66"/>
      <c r="R13" s="66"/>
      <c r="S13" s="66"/>
      <c r="T13" s="66"/>
      <c r="U13" s="66"/>
    </row>
    <row r="14" spans="1:21" s="15" customFormat="1" ht="11.4" customHeight="1" x14ac:dyDescent="0.2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3"/>
      <c r="J14" s="66"/>
      <c r="K14" s="81"/>
      <c r="L14" s="66"/>
      <c r="M14" s="81"/>
      <c r="N14" s="66"/>
      <c r="O14" s="66"/>
      <c r="P14" s="66"/>
      <c r="Q14" s="66"/>
      <c r="R14" s="66"/>
      <c r="S14" s="66"/>
      <c r="T14" s="66"/>
      <c r="U14" s="66"/>
    </row>
    <row r="15" spans="1:21" s="15" customFormat="1" ht="11.4" customHeight="1" x14ac:dyDescent="0.2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15" customFormat="1" ht="11.4" customHeight="1" x14ac:dyDescent="0.2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3"/>
      <c r="J16" s="66"/>
      <c r="K16" s="81"/>
      <c r="L16" s="66"/>
      <c r="M16" s="81"/>
      <c r="N16" s="66"/>
      <c r="O16" s="66"/>
      <c r="P16" s="66"/>
      <c r="Q16" s="66"/>
      <c r="R16" s="66"/>
      <c r="S16" s="66"/>
      <c r="T16" s="66"/>
      <c r="U16" s="66"/>
    </row>
    <row r="17" spans="1:21" s="15" customFormat="1" ht="11.4" customHeight="1" x14ac:dyDescent="0.2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3"/>
      <c r="J17" s="66"/>
      <c r="K17" s="81"/>
      <c r="L17" s="66"/>
      <c r="M17" s="81"/>
      <c r="N17" s="66"/>
      <c r="O17" s="66"/>
      <c r="P17" s="66"/>
      <c r="Q17" s="66"/>
      <c r="R17" s="66"/>
      <c r="S17" s="66"/>
      <c r="T17" s="66"/>
      <c r="U17" s="66"/>
    </row>
    <row r="18" spans="1:21" s="15" customFormat="1" ht="11.4" customHeight="1" x14ac:dyDescent="0.2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3"/>
      <c r="J18" s="66"/>
      <c r="K18" s="81"/>
      <c r="L18" s="66"/>
      <c r="M18" s="81"/>
      <c r="N18" s="66"/>
      <c r="O18" s="66"/>
      <c r="P18" s="66"/>
      <c r="Q18" s="66"/>
      <c r="R18" s="66"/>
      <c r="S18" s="66"/>
      <c r="T18" s="66"/>
      <c r="U18" s="66"/>
    </row>
    <row r="19" spans="1:21" s="15" customFormat="1" ht="11.4" customHeight="1" x14ac:dyDescent="0.2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3"/>
      <c r="J19" s="66"/>
      <c r="K19" s="81"/>
      <c r="L19" s="66"/>
      <c r="M19" s="81"/>
      <c r="N19" s="66"/>
      <c r="O19" s="66"/>
      <c r="P19" s="66"/>
      <c r="Q19" s="66"/>
      <c r="R19" s="66"/>
      <c r="S19" s="66"/>
      <c r="T19" s="66"/>
      <c r="U19" s="66"/>
    </row>
    <row r="20" spans="1:21" s="15" customFormat="1" ht="11.4" customHeight="1" x14ac:dyDescent="0.2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3"/>
      <c r="J20" s="66"/>
      <c r="K20" s="81"/>
      <c r="L20" s="66"/>
      <c r="M20" s="81"/>
      <c r="N20" s="66"/>
      <c r="O20" s="66"/>
      <c r="P20" s="66"/>
      <c r="Q20" s="66"/>
      <c r="R20" s="66"/>
      <c r="S20" s="66"/>
      <c r="T20" s="66"/>
      <c r="U20" s="66"/>
    </row>
    <row r="21" spans="1:21" s="15" customFormat="1" ht="11.4" customHeight="1" x14ac:dyDescent="0.2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3"/>
      <c r="J21" s="66"/>
      <c r="K21" s="81"/>
      <c r="L21" s="66"/>
      <c r="M21" s="81"/>
      <c r="N21" s="66"/>
      <c r="O21" s="66"/>
      <c r="P21" s="66"/>
      <c r="Q21" s="66"/>
      <c r="R21" s="66"/>
      <c r="S21" s="66"/>
      <c r="T21" s="66"/>
      <c r="U21" s="66"/>
    </row>
    <row r="22" spans="1:21" s="15" customFormat="1" ht="11.4" customHeight="1" x14ac:dyDescent="0.25">
      <c r="A22" s="11"/>
      <c r="B22" s="11"/>
      <c r="C22" s="12" t="s">
        <v>436</v>
      </c>
      <c r="D22" s="13"/>
      <c r="E22" s="13"/>
      <c r="F22" s="14"/>
      <c r="G22" s="14"/>
      <c r="H22" s="14"/>
      <c r="I22" s="53">
        <v>2292</v>
      </c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15" customFormat="1" ht="11.4" customHeight="1" x14ac:dyDescent="0.25">
      <c r="A23" s="11"/>
      <c r="B23" s="11"/>
      <c r="C23" s="12" t="s">
        <v>437</v>
      </c>
      <c r="D23" s="13"/>
      <c r="E23" s="13"/>
      <c r="F23" s="14"/>
      <c r="G23" s="14"/>
      <c r="H23" s="14"/>
      <c r="I23" s="53">
        <v>2151</v>
      </c>
      <c r="J23" s="66"/>
      <c r="K23" s="81"/>
      <c r="L23" s="66"/>
      <c r="M23" s="81"/>
      <c r="N23" s="66"/>
      <c r="O23" s="66"/>
      <c r="P23" s="66"/>
      <c r="Q23" s="66"/>
      <c r="R23" s="66"/>
      <c r="S23" s="66"/>
      <c r="T23" s="66"/>
      <c r="U23" s="66"/>
    </row>
    <row r="24" spans="1:21" s="15" customFormat="1" ht="11.4" customHeight="1" x14ac:dyDescent="0.25">
      <c r="A24" s="11"/>
      <c r="B24" s="11"/>
      <c r="C24" s="12" t="s">
        <v>438</v>
      </c>
      <c r="D24" s="13"/>
      <c r="E24" s="13"/>
      <c r="F24" s="14"/>
      <c r="G24" s="14"/>
      <c r="H24" s="14"/>
      <c r="I24" s="53">
        <v>1907</v>
      </c>
      <c r="J24" s="66"/>
      <c r="K24" s="81"/>
      <c r="L24" s="66"/>
      <c r="M24" s="81"/>
      <c r="N24" s="66"/>
      <c r="O24" s="66"/>
      <c r="P24" s="66"/>
      <c r="Q24" s="66"/>
      <c r="R24" s="66"/>
      <c r="S24" s="66"/>
      <c r="T24" s="66"/>
      <c r="U24" s="66"/>
    </row>
    <row r="25" spans="1:21" s="15" customFormat="1" ht="11.4" customHeight="1" x14ac:dyDescent="0.25">
      <c r="A25" s="11"/>
      <c r="B25" s="11"/>
      <c r="C25" s="12" t="s">
        <v>439</v>
      </c>
      <c r="D25" s="13"/>
      <c r="E25" s="13"/>
      <c r="F25" s="14"/>
      <c r="G25" s="14"/>
      <c r="H25" s="14"/>
      <c r="I25" s="53">
        <v>2028</v>
      </c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15" customFormat="1" ht="11.4" customHeight="1" x14ac:dyDescent="0.25">
      <c r="A26" s="11"/>
      <c r="B26" s="11"/>
      <c r="C26" s="12" t="s">
        <v>440</v>
      </c>
      <c r="D26" s="13"/>
      <c r="E26" s="13"/>
      <c r="F26" s="14"/>
      <c r="G26" s="14"/>
      <c r="H26" s="14"/>
      <c r="I26" s="53">
        <f>1843+7*12</f>
        <v>1927</v>
      </c>
      <c r="J26" s="66"/>
      <c r="K26" s="81"/>
      <c r="L26" s="66"/>
      <c r="M26" s="81"/>
      <c r="N26" s="66"/>
      <c r="O26" s="66"/>
      <c r="P26" s="66"/>
      <c r="Q26" s="66"/>
      <c r="R26" s="66"/>
      <c r="S26" s="66"/>
      <c r="T26" s="66"/>
      <c r="U26" s="66"/>
    </row>
    <row r="27" spans="1:21" s="15" customFormat="1" ht="11.4" customHeight="1" x14ac:dyDescent="0.25">
      <c r="A27" s="11"/>
      <c r="B27" s="11"/>
      <c r="C27" s="12" t="s">
        <v>441</v>
      </c>
      <c r="D27" s="13"/>
      <c r="E27" s="13"/>
      <c r="F27" s="14"/>
      <c r="G27" s="14"/>
      <c r="H27" s="14"/>
      <c r="I27" s="53">
        <v>2045</v>
      </c>
      <c r="J27" s="66"/>
      <c r="K27" s="81"/>
      <c r="L27" s="66"/>
      <c r="M27" s="81"/>
      <c r="N27" s="66"/>
      <c r="O27" s="66"/>
      <c r="P27" s="66"/>
      <c r="Q27" s="66"/>
      <c r="R27" s="66"/>
      <c r="S27" s="66"/>
      <c r="T27" s="66"/>
      <c r="U27" s="66"/>
    </row>
    <row r="28" spans="1:21" s="15" customFormat="1" ht="11.4" customHeight="1" x14ac:dyDescent="0.25">
      <c r="A28" s="11"/>
      <c r="B28" s="11"/>
      <c r="C28" s="12" t="s">
        <v>442</v>
      </c>
      <c r="D28" s="13"/>
      <c r="E28" s="13"/>
      <c r="F28" s="14"/>
      <c r="G28" s="14"/>
      <c r="H28" s="14"/>
      <c r="I28" s="53"/>
      <c r="J28" s="66"/>
      <c r="K28" s="81"/>
      <c r="L28" s="66"/>
      <c r="M28" s="81">
        <v>1901</v>
      </c>
      <c r="N28" s="66"/>
      <c r="O28" s="66"/>
      <c r="P28" s="66"/>
      <c r="Q28" s="66"/>
      <c r="R28" s="66"/>
      <c r="S28" s="66"/>
      <c r="T28" s="66"/>
      <c r="U28" s="66"/>
    </row>
    <row r="29" spans="1:21" s="15" customFormat="1" ht="11.4" customHeight="1" x14ac:dyDescent="0.25">
      <c r="A29" s="11"/>
      <c r="B29" s="11"/>
      <c r="C29" s="12" t="s">
        <v>443</v>
      </c>
      <c r="D29" s="13"/>
      <c r="E29" s="13"/>
      <c r="F29" s="14"/>
      <c r="G29" s="14"/>
      <c r="H29" s="14"/>
      <c r="I29" s="53"/>
      <c r="J29" s="66"/>
      <c r="K29" s="81"/>
      <c r="L29" s="66"/>
      <c r="M29" s="81">
        <v>1883</v>
      </c>
      <c r="N29" s="66"/>
      <c r="O29" s="66"/>
      <c r="P29" s="66"/>
      <c r="Q29" s="66"/>
      <c r="R29" s="66"/>
      <c r="S29" s="66"/>
      <c r="T29" s="66"/>
      <c r="U29" s="66"/>
    </row>
    <row r="30" spans="1:21" s="15" customFormat="1" ht="11.4" customHeight="1" x14ac:dyDescent="0.25">
      <c r="A30" s="11"/>
      <c r="B30" s="11"/>
      <c r="C30" s="12" t="s">
        <v>444</v>
      </c>
      <c r="D30" s="13"/>
      <c r="E30" s="13"/>
      <c r="F30" s="14"/>
      <c r="G30" s="14"/>
      <c r="H30" s="14"/>
      <c r="I30" s="53"/>
      <c r="J30" s="66"/>
      <c r="K30" s="81"/>
      <c r="L30" s="66"/>
      <c r="M30" s="81">
        <v>1883</v>
      </c>
      <c r="N30" s="66"/>
      <c r="O30" s="66"/>
      <c r="P30" s="66"/>
      <c r="Q30" s="66"/>
      <c r="R30" s="66"/>
      <c r="S30" s="66"/>
      <c r="T30" s="66"/>
      <c r="U30" s="66"/>
    </row>
    <row r="31" spans="1:21" s="15" customFormat="1" ht="11.4" customHeight="1" x14ac:dyDescent="0.25">
      <c r="A31" s="11"/>
      <c r="B31" s="11"/>
      <c r="C31" s="12" t="s">
        <v>445</v>
      </c>
      <c r="D31" s="13"/>
      <c r="E31" s="13"/>
      <c r="F31" s="14"/>
      <c r="G31" s="14"/>
      <c r="H31" s="14"/>
      <c r="I31" s="53"/>
      <c r="J31" s="66"/>
      <c r="K31" s="81"/>
      <c r="L31" s="66"/>
      <c r="M31" s="81">
        <v>1730</v>
      </c>
      <c r="N31" s="66"/>
      <c r="O31" s="66"/>
      <c r="P31" s="66"/>
      <c r="Q31" s="66"/>
      <c r="R31" s="66"/>
      <c r="S31" s="66"/>
      <c r="T31" s="66"/>
      <c r="U31" s="66"/>
    </row>
    <row r="32" spans="1:21" s="15" customFormat="1" ht="11.4" customHeight="1" x14ac:dyDescent="0.25">
      <c r="A32" s="11"/>
      <c r="B32" s="11"/>
      <c r="C32" s="12" t="s">
        <v>446</v>
      </c>
      <c r="D32" s="13"/>
      <c r="E32" s="13"/>
      <c r="F32" s="14"/>
      <c r="G32" s="14"/>
      <c r="H32" s="14"/>
      <c r="I32" s="53"/>
      <c r="J32" s="66"/>
      <c r="K32" s="81"/>
      <c r="L32" s="66"/>
      <c r="M32" s="81">
        <v>1830</v>
      </c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" customHeight="1" x14ac:dyDescent="0.25">
      <c r="A33" s="11"/>
      <c r="B33" s="11"/>
      <c r="C33" s="12" t="s">
        <v>447</v>
      </c>
      <c r="D33" s="13"/>
      <c r="E33" s="13"/>
      <c r="F33" s="14"/>
      <c r="G33" s="14"/>
      <c r="H33" s="14"/>
      <c r="I33" s="53"/>
      <c r="J33" s="66"/>
      <c r="K33" s="81"/>
      <c r="L33" s="66"/>
      <c r="M33" s="81">
        <v>2113</v>
      </c>
      <c r="N33" s="66"/>
      <c r="O33" s="66"/>
      <c r="P33" s="66"/>
      <c r="Q33" s="66"/>
      <c r="R33" s="66"/>
      <c r="S33" s="66"/>
      <c r="T33" s="66"/>
      <c r="U33" s="66"/>
    </row>
    <row r="34" spans="1:21" s="15" customFormat="1" ht="11.4" customHeight="1" x14ac:dyDescent="0.25">
      <c r="A34" s="11"/>
      <c r="B34" s="11"/>
      <c r="C34" s="12" t="s">
        <v>448</v>
      </c>
      <c r="D34" s="13"/>
      <c r="E34" s="13"/>
      <c r="F34" s="14"/>
      <c r="G34" s="14"/>
      <c r="H34" s="14"/>
      <c r="I34" s="53"/>
      <c r="J34" s="66"/>
      <c r="K34" s="81"/>
      <c r="L34" s="66"/>
      <c r="M34" s="81">
        <v>1865</v>
      </c>
      <c r="N34" s="66"/>
      <c r="O34" s="66"/>
      <c r="P34" s="66"/>
      <c r="Q34" s="66"/>
      <c r="R34" s="66"/>
      <c r="S34" s="66"/>
      <c r="T34" s="66"/>
      <c r="U34" s="66"/>
    </row>
    <row r="35" spans="1:21" s="15" customFormat="1" ht="11.4" customHeight="1" x14ac:dyDescent="0.25">
      <c r="A35" s="11"/>
      <c r="B35" s="11"/>
      <c r="C35" s="12" t="s">
        <v>449</v>
      </c>
      <c r="D35" s="13"/>
      <c r="E35" s="13"/>
      <c r="F35" s="14"/>
      <c r="G35" s="14"/>
      <c r="H35" s="14"/>
      <c r="I35" s="53"/>
      <c r="J35" s="66"/>
      <c r="K35" s="81"/>
      <c r="L35" s="66"/>
      <c r="M35" s="81">
        <v>1541</v>
      </c>
      <c r="N35" s="66"/>
      <c r="O35" s="66"/>
      <c r="P35" s="66"/>
      <c r="Q35" s="66"/>
      <c r="R35" s="66"/>
      <c r="S35" s="66"/>
      <c r="T35" s="66"/>
      <c r="U35" s="66"/>
    </row>
    <row r="36" spans="1:21" s="15" customFormat="1" ht="11.4" customHeight="1" x14ac:dyDescent="0.25">
      <c r="A36" s="11"/>
      <c r="B36" s="11"/>
      <c r="C36" s="12" t="s">
        <v>450</v>
      </c>
      <c r="D36" s="13"/>
      <c r="E36" s="13"/>
      <c r="F36" s="14"/>
      <c r="G36" s="14"/>
      <c r="H36" s="14"/>
      <c r="I36" s="53"/>
      <c r="J36" s="66"/>
      <c r="K36" s="81"/>
      <c r="L36" s="66"/>
      <c r="M36" s="81">
        <v>1768</v>
      </c>
      <c r="N36" s="66"/>
      <c r="O36" s="66"/>
      <c r="P36" s="66"/>
      <c r="Q36" s="66"/>
      <c r="R36" s="66"/>
      <c r="S36" s="66"/>
      <c r="T36" s="66"/>
      <c r="U36" s="66"/>
    </row>
    <row r="37" spans="1:21" s="15" customFormat="1" ht="11.4" customHeight="1" x14ac:dyDescent="0.25">
      <c r="A37" s="11"/>
      <c r="B37" s="11"/>
      <c r="C37" s="12" t="s">
        <v>451</v>
      </c>
      <c r="D37" s="13"/>
      <c r="E37" s="13"/>
      <c r="F37" s="14"/>
      <c r="G37" s="14"/>
      <c r="H37" s="14"/>
      <c r="I37" s="53"/>
      <c r="J37" s="66"/>
      <c r="K37" s="81"/>
      <c r="L37" s="66"/>
      <c r="M37" s="81">
        <v>1676</v>
      </c>
      <c r="N37" s="66"/>
      <c r="O37" s="66"/>
      <c r="P37" s="66"/>
      <c r="Q37" s="66"/>
      <c r="R37" s="66"/>
      <c r="S37" s="66"/>
      <c r="T37" s="66"/>
      <c r="U37" s="66"/>
    </row>
    <row r="38" spans="1:21" s="15" customFormat="1" ht="11.4" customHeight="1" x14ac:dyDescent="0.25">
      <c r="A38" s="11"/>
      <c r="B38" s="11"/>
      <c r="C38" s="12" t="s">
        <v>452</v>
      </c>
      <c r="D38" s="13"/>
      <c r="E38" s="13"/>
      <c r="F38" s="14"/>
      <c r="G38" s="14"/>
      <c r="H38" s="14"/>
      <c r="I38" s="53"/>
      <c r="J38" s="66"/>
      <c r="K38" s="81"/>
      <c r="L38" s="66"/>
      <c r="M38" s="81">
        <v>1761</v>
      </c>
      <c r="N38" s="66"/>
      <c r="O38" s="66"/>
      <c r="P38" s="66"/>
      <c r="Q38" s="66"/>
      <c r="R38" s="66"/>
      <c r="S38" s="66"/>
      <c r="T38" s="66"/>
      <c r="U38" s="66"/>
    </row>
    <row r="39" spans="1:21" s="15" customFormat="1" ht="11.4" customHeight="1" x14ac:dyDescent="0.25">
      <c r="A39" s="11"/>
      <c r="B39" s="11"/>
      <c r="C39" s="12" t="s">
        <v>453</v>
      </c>
      <c r="D39" s="13"/>
      <c r="E39" s="13"/>
      <c r="F39" s="14"/>
      <c r="G39" s="14"/>
      <c r="H39" s="14"/>
      <c r="I39" s="53"/>
      <c r="J39" s="66"/>
      <c r="K39" s="81"/>
      <c r="L39" s="66"/>
      <c r="M39" s="81">
        <v>2875</v>
      </c>
      <c r="N39" s="66"/>
      <c r="O39" s="66"/>
      <c r="P39" s="66"/>
      <c r="Q39" s="66"/>
      <c r="R39" s="66"/>
      <c r="S39" s="66"/>
      <c r="T39" s="66"/>
      <c r="U39" s="66"/>
    </row>
    <row r="40" spans="1:21" s="15" customFormat="1" ht="11.4" customHeight="1" x14ac:dyDescent="0.25">
      <c r="A40" s="11"/>
      <c r="B40" s="11"/>
      <c r="C40" s="12" t="s">
        <v>454</v>
      </c>
      <c r="D40" s="13"/>
      <c r="E40" s="13"/>
      <c r="F40" s="14"/>
      <c r="G40" s="14"/>
      <c r="H40" s="14"/>
      <c r="I40" s="53"/>
      <c r="J40" s="66"/>
      <c r="K40" s="81"/>
      <c r="L40" s="66"/>
      <c r="M40" s="81">
        <v>3111</v>
      </c>
      <c r="N40" s="66"/>
      <c r="O40" s="66"/>
      <c r="P40" s="66"/>
      <c r="Q40" s="66"/>
      <c r="R40" s="66"/>
      <c r="S40" s="66"/>
      <c r="T40" s="66"/>
      <c r="U40" s="66"/>
    </row>
    <row r="41" spans="1:21" s="15" customFormat="1" ht="11.4" customHeight="1" x14ac:dyDescent="0.25">
      <c r="A41" s="11"/>
      <c r="B41" s="11"/>
      <c r="C41" s="12" t="s">
        <v>455</v>
      </c>
      <c r="D41" s="13"/>
      <c r="E41" s="13"/>
      <c r="F41" s="14"/>
      <c r="G41" s="14"/>
      <c r="H41" s="14"/>
      <c r="I41" s="53"/>
      <c r="J41" s="66"/>
      <c r="K41" s="81"/>
      <c r="L41" s="66"/>
      <c r="M41" s="81">
        <v>1786</v>
      </c>
      <c r="N41" s="66"/>
      <c r="O41" s="66"/>
      <c r="P41" s="66"/>
      <c r="Q41" s="66"/>
      <c r="R41" s="66"/>
      <c r="S41" s="66"/>
      <c r="T41" s="66"/>
      <c r="U41" s="66"/>
    </row>
    <row r="42" spans="1:21" s="15" customFormat="1" ht="11.4" customHeight="1" x14ac:dyDescent="0.25">
      <c r="A42" s="11"/>
      <c r="B42" s="11"/>
      <c r="C42" s="12" t="s">
        <v>456</v>
      </c>
      <c r="D42" s="13"/>
      <c r="E42" s="13"/>
      <c r="F42" s="14"/>
      <c r="G42" s="14"/>
      <c r="H42" s="14"/>
      <c r="I42" s="53"/>
      <c r="J42" s="66"/>
      <c r="K42" s="81"/>
      <c r="L42" s="66"/>
      <c r="M42" s="81">
        <v>2574</v>
      </c>
      <c r="N42" s="66"/>
      <c r="O42" s="66"/>
      <c r="P42" s="66"/>
      <c r="Q42" s="66"/>
      <c r="R42" s="66"/>
      <c r="S42" s="66"/>
      <c r="T42" s="66"/>
      <c r="U42" s="66"/>
    </row>
    <row r="43" spans="1:21" s="15" customFormat="1" ht="11.4" customHeight="1" x14ac:dyDescent="0.25">
      <c r="A43" s="11"/>
      <c r="B43" s="11"/>
      <c r="C43" s="12" t="s">
        <v>457</v>
      </c>
      <c r="D43" s="13"/>
      <c r="E43" s="13"/>
      <c r="F43" s="14"/>
      <c r="G43" s="14"/>
      <c r="H43" s="14"/>
      <c r="I43" s="53"/>
      <c r="J43" s="66"/>
      <c r="K43" s="81"/>
      <c r="L43" s="66"/>
      <c r="M43" s="81">
        <v>2484</v>
      </c>
      <c r="N43" s="66"/>
      <c r="O43" s="66"/>
      <c r="P43" s="66"/>
      <c r="Q43" s="66"/>
      <c r="R43" s="66"/>
      <c r="S43" s="66"/>
      <c r="T43" s="66"/>
      <c r="U43" s="66"/>
    </row>
    <row r="44" spans="1:21" s="15" customFormat="1" ht="11.4" customHeight="1" x14ac:dyDescent="0.25">
      <c r="A44" s="11"/>
      <c r="B44" s="11"/>
      <c r="C44" s="12" t="s">
        <v>458</v>
      </c>
      <c r="D44" s="13"/>
      <c r="E44" s="13"/>
      <c r="F44" s="14"/>
      <c r="G44" s="14"/>
      <c r="H44" s="14"/>
      <c r="I44" s="53"/>
      <c r="J44" s="66"/>
      <c r="K44" s="81"/>
      <c r="L44" s="66"/>
      <c r="M44" s="81">
        <v>0</v>
      </c>
      <c r="N44" s="66"/>
      <c r="O44" s="66"/>
      <c r="P44" s="66"/>
      <c r="Q44" s="66"/>
      <c r="R44" s="66"/>
      <c r="S44" s="66"/>
      <c r="T44" s="66"/>
      <c r="U44" s="66"/>
    </row>
    <row r="45" spans="1:21" s="15" customFormat="1" ht="11.4" customHeight="1" x14ac:dyDescent="0.25">
      <c r="A45" s="11"/>
      <c r="B45" s="11"/>
      <c r="C45" s="12" t="s">
        <v>459</v>
      </c>
      <c r="D45" s="13"/>
      <c r="E45" s="13"/>
      <c r="F45" s="14"/>
      <c r="G45" s="14"/>
      <c r="H45" s="14"/>
      <c r="I45" s="53"/>
      <c r="J45" s="66"/>
      <c r="K45" s="81"/>
      <c r="L45" s="66"/>
      <c r="M45" s="81">
        <v>1687</v>
      </c>
      <c r="N45" s="66"/>
      <c r="O45" s="66"/>
      <c r="P45" s="66"/>
      <c r="Q45" s="66"/>
      <c r="R45" s="66"/>
      <c r="S45" s="66"/>
      <c r="T45" s="66"/>
      <c r="U45" s="66"/>
    </row>
    <row r="46" spans="1:21" s="15" customFormat="1" ht="11.4" customHeight="1" x14ac:dyDescent="0.25">
      <c r="A46" s="11"/>
      <c r="B46" s="11"/>
      <c r="C46" s="12" t="s">
        <v>461</v>
      </c>
      <c r="D46" s="13"/>
      <c r="E46" s="13"/>
      <c r="F46" s="14"/>
      <c r="G46" s="14"/>
      <c r="H46" s="14"/>
      <c r="I46" s="53"/>
      <c r="J46" s="66"/>
      <c r="K46" s="81"/>
      <c r="L46" s="66"/>
      <c r="M46" s="81">
        <v>2392</v>
      </c>
      <c r="N46" s="66"/>
      <c r="O46" s="66"/>
      <c r="P46" s="66"/>
      <c r="Q46" s="66"/>
      <c r="R46" s="66"/>
      <c r="S46" s="66"/>
      <c r="T46" s="66"/>
      <c r="U46" s="66"/>
    </row>
    <row r="47" spans="1:21" s="15" customFormat="1" ht="11.4" customHeight="1" x14ac:dyDescent="0.25">
      <c r="A47" s="11"/>
      <c r="B47" s="11"/>
      <c r="C47" s="12" t="s">
        <v>462</v>
      </c>
      <c r="D47" s="13"/>
      <c r="E47" s="13"/>
      <c r="F47" s="14"/>
      <c r="G47" s="14"/>
      <c r="H47" s="14"/>
      <c r="I47" s="53"/>
      <c r="J47" s="66"/>
      <c r="K47" s="81"/>
      <c r="L47" s="66"/>
      <c r="M47" s="81">
        <v>1717</v>
      </c>
      <c r="N47" s="66"/>
      <c r="O47" s="66"/>
      <c r="P47" s="66"/>
      <c r="Q47" s="66"/>
      <c r="R47" s="66"/>
      <c r="S47" s="66"/>
      <c r="T47" s="66"/>
      <c r="U47" s="66"/>
    </row>
    <row r="48" spans="1:21" s="15" customFormat="1" ht="11.4" customHeight="1" x14ac:dyDescent="0.25">
      <c r="A48" s="11"/>
      <c r="B48" s="11"/>
      <c r="C48" s="12" t="s">
        <v>460</v>
      </c>
      <c r="D48" s="13"/>
      <c r="E48" s="13"/>
      <c r="F48" s="14"/>
      <c r="G48" s="14"/>
      <c r="H48" s="14"/>
      <c r="I48" s="53"/>
      <c r="J48" s="66"/>
      <c r="K48" s="81"/>
      <c r="L48" s="66"/>
      <c r="M48" s="81">
        <v>1797</v>
      </c>
      <c r="N48" s="66"/>
      <c r="O48" s="66"/>
      <c r="P48" s="66"/>
      <c r="Q48" s="66"/>
      <c r="R48" s="66"/>
      <c r="S48" s="66"/>
      <c r="T48" s="66"/>
      <c r="U48" s="66"/>
    </row>
    <row r="49" spans="1:21" s="15" customFormat="1" ht="11.4" customHeight="1" x14ac:dyDescent="0.25">
      <c r="A49" s="11"/>
      <c r="B49" s="11"/>
      <c r="C49" s="12" t="s">
        <v>463</v>
      </c>
      <c r="D49" s="13"/>
      <c r="E49" s="13"/>
      <c r="F49" s="14"/>
      <c r="G49" s="14"/>
      <c r="H49" s="14"/>
      <c r="I49" s="53"/>
      <c r="J49" s="66"/>
      <c r="K49" s="81"/>
      <c r="L49" s="66"/>
      <c r="M49" s="81">
        <v>1830</v>
      </c>
      <c r="N49" s="66"/>
      <c r="O49" s="66"/>
      <c r="P49" s="66"/>
      <c r="Q49" s="66"/>
      <c r="R49" s="66"/>
      <c r="S49" s="66"/>
      <c r="T49" s="66"/>
      <c r="U49" s="66"/>
    </row>
    <row r="50" spans="1:21" s="15" customFormat="1" ht="11.4" customHeight="1" x14ac:dyDescent="0.25">
      <c r="A50" s="11"/>
      <c r="B50" s="11"/>
      <c r="C50" s="12" t="s">
        <v>464</v>
      </c>
      <c r="D50" s="13"/>
      <c r="E50" s="13"/>
      <c r="F50" s="14"/>
      <c r="G50" s="14"/>
      <c r="H50" s="14"/>
      <c r="I50" s="53"/>
      <c r="J50" s="66"/>
      <c r="K50" s="81"/>
      <c r="L50" s="66"/>
      <c r="M50" s="81">
        <v>2156</v>
      </c>
      <c r="N50" s="66"/>
      <c r="O50" s="66"/>
      <c r="P50" s="66"/>
      <c r="Q50" s="66"/>
      <c r="R50" s="66"/>
      <c r="S50" s="66"/>
      <c r="T50" s="66"/>
      <c r="U50" s="66"/>
    </row>
    <row r="51" spans="1:21" s="15" customFormat="1" ht="11.4" customHeight="1" x14ac:dyDescent="0.25">
      <c r="A51" s="11"/>
      <c r="B51" s="11"/>
      <c r="C51" s="12" t="s">
        <v>465</v>
      </c>
      <c r="D51" s="13"/>
      <c r="E51" s="13"/>
      <c r="F51" s="14"/>
      <c r="G51" s="14"/>
      <c r="H51" s="14"/>
      <c r="I51" s="53"/>
      <c r="J51" s="66"/>
      <c r="K51" s="81"/>
      <c r="L51" s="66"/>
      <c r="M51" s="81">
        <v>2264</v>
      </c>
      <c r="N51" s="66"/>
      <c r="O51" s="66"/>
      <c r="P51" s="66"/>
      <c r="Q51" s="66"/>
      <c r="R51" s="66"/>
      <c r="S51" s="66"/>
      <c r="T51" s="66"/>
      <c r="U51" s="66"/>
    </row>
    <row r="52" spans="1:21" s="15" customFormat="1" ht="11.4" customHeight="1" x14ac:dyDescent="0.25">
      <c r="A52" s="11"/>
      <c r="B52" s="11"/>
      <c r="C52" s="12" t="s">
        <v>466</v>
      </c>
      <c r="D52" s="13"/>
      <c r="E52" s="13"/>
      <c r="F52" s="14"/>
      <c r="G52" s="14"/>
      <c r="H52" s="14"/>
      <c r="I52" s="53"/>
      <c r="J52" s="66"/>
      <c r="K52" s="81"/>
      <c r="L52" s="66"/>
      <c r="M52" s="81">
        <v>1888</v>
      </c>
      <c r="N52" s="66"/>
      <c r="O52" s="66"/>
      <c r="P52" s="66"/>
      <c r="Q52" s="66"/>
      <c r="R52" s="66"/>
      <c r="S52" s="66"/>
      <c r="T52" s="66"/>
      <c r="U52" s="66"/>
    </row>
    <row r="53" spans="1:21" s="15" customFormat="1" ht="11.4" customHeight="1" x14ac:dyDescent="0.25">
      <c r="A53" s="11"/>
      <c r="B53" s="11"/>
      <c r="C53" s="12" t="s">
        <v>467</v>
      </c>
      <c r="D53" s="13"/>
      <c r="E53" s="13"/>
      <c r="F53" s="14"/>
      <c r="G53" s="14"/>
      <c r="H53" s="14"/>
      <c r="I53" s="53"/>
      <c r="J53" s="66"/>
      <c r="K53" s="81"/>
      <c r="L53" s="66"/>
      <c r="M53" s="81">
        <v>3600</v>
      </c>
      <c r="N53" s="66"/>
      <c r="O53" s="66"/>
      <c r="P53" s="66"/>
      <c r="Q53" s="66"/>
      <c r="R53" s="66"/>
      <c r="S53" s="66"/>
      <c r="T53" s="66"/>
      <c r="U53" s="66"/>
    </row>
    <row r="54" spans="1:21" s="15" customFormat="1" ht="11.4" customHeight="1" x14ac:dyDescent="0.25">
      <c r="A54" s="11"/>
      <c r="B54" s="11"/>
      <c r="C54" s="12" t="s">
        <v>1258</v>
      </c>
      <c r="D54" s="13"/>
      <c r="E54" s="13"/>
      <c r="F54" s="14"/>
      <c r="G54" s="14"/>
      <c r="H54" s="14"/>
      <c r="I54" s="53"/>
      <c r="J54" s="66"/>
      <c r="K54" s="81"/>
      <c r="L54" s="66"/>
      <c r="M54" s="81">
        <f>60*3*12</f>
        <v>2160</v>
      </c>
      <c r="N54" s="66"/>
      <c r="O54" s="66"/>
      <c r="P54" s="66"/>
      <c r="Q54" s="66"/>
      <c r="R54" s="66"/>
      <c r="S54" s="66"/>
      <c r="T54" s="66"/>
      <c r="U54" s="66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2">
        <v>0</v>
      </c>
      <c r="J55" s="65">
        <v>0</v>
      </c>
      <c r="K55" s="65">
        <v>0</v>
      </c>
      <c r="L55" s="65">
        <v>0</v>
      </c>
      <c r="M55" s="80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5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2">
        <v>0</v>
      </c>
      <c r="J56" s="65">
        <v>0</v>
      </c>
      <c r="K56" s="65">
        <v>0</v>
      </c>
      <c r="L56" s="65">
        <v>0</v>
      </c>
      <c r="M56" s="80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/>
      <c r="T56" s="65"/>
      <c r="U56" s="65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2">
        <f t="shared" ref="I57:P57" si="1">SUM(I58:I59)</f>
        <v>700</v>
      </c>
      <c r="J57" s="52">
        <f t="shared" si="1"/>
        <v>0</v>
      </c>
      <c r="K57" s="52">
        <f t="shared" si="1"/>
        <v>0</v>
      </c>
      <c r="L57" s="52">
        <f t="shared" si="1"/>
        <v>1000</v>
      </c>
      <c r="M57" s="52">
        <f t="shared" si="1"/>
        <v>900</v>
      </c>
      <c r="N57" s="52">
        <f t="shared" si="1"/>
        <v>0</v>
      </c>
      <c r="O57" s="52">
        <f t="shared" si="1"/>
        <v>0</v>
      </c>
      <c r="P57" s="52">
        <f t="shared" si="1"/>
        <v>0</v>
      </c>
      <c r="Q57" s="65">
        <v>0</v>
      </c>
      <c r="R57" s="52">
        <f t="shared" ref="R57" si="2">SUM(R58:R59)</f>
        <v>0</v>
      </c>
      <c r="S57" s="65"/>
      <c r="T57" s="52"/>
      <c r="U57" s="65"/>
    </row>
    <row r="58" spans="1:21" s="15" customFormat="1" ht="11.4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3">
        <v>500</v>
      </c>
      <c r="J58" s="66"/>
      <c r="K58" s="81"/>
      <c r="L58" s="66">
        <v>800</v>
      </c>
      <c r="M58" s="81">
        <v>800</v>
      </c>
      <c r="N58" s="66"/>
      <c r="O58" s="66"/>
      <c r="P58" s="66"/>
      <c r="Q58" s="66"/>
      <c r="R58" s="66"/>
      <c r="S58" s="66"/>
      <c r="T58" s="66"/>
      <c r="U58" s="66"/>
    </row>
    <row r="59" spans="1:21" s="15" customFormat="1" ht="11.4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3">
        <v>200</v>
      </c>
      <c r="J59" s="66"/>
      <c r="K59" s="81"/>
      <c r="L59" s="66">
        <v>200</v>
      </c>
      <c r="M59" s="81">
        <v>100</v>
      </c>
      <c r="N59" s="66"/>
      <c r="O59" s="66"/>
      <c r="P59" s="66"/>
      <c r="Q59" s="66"/>
      <c r="R59" s="66"/>
      <c r="S59" s="66"/>
      <c r="T59" s="66"/>
      <c r="U59" s="66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2">
        <v>0</v>
      </c>
      <c r="J60" s="65">
        <v>0</v>
      </c>
      <c r="K60" s="65">
        <v>0</v>
      </c>
      <c r="L60" s="65">
        <v>0</v>
      </c>
      <c r="M60" s="80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/>
      <c r="T60" s="65"/>
      <c r="U60" s="65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2">
        <f>SUM(I62:I64)</f>
        <v>1000</v>
      </c>
      <c r="J61" s="65">
        <v>0</v>
      </c>
      <c r="K61" s="65">
        <v>0</v>
      </c>
      <c r="L61" s="65">
        <f>SUM(L62:L63)</f>
        <v>3000</v>
      </c>
      <c r="M61" s="65">
        <f>SUM(M62:M65)</f>
        <v>1000</v>
      </c>
      <c r="N61" s="65">
        <f>SUM(N62:N63)</f>
        <v>0</v>
      </c>
      <c r="O61" s="65">
        <v>0</v>
      </c>
      <c r="P61" s="65">
        <f>SUM(P62:P63)</f>
        <v>0</v>
      </c>
      <c r="Q61" s="65">
        <v>0</v>
      </c>
      <c r="R61" s="65">
        <f>SUM(R62:R63)</f>
        <v>0</v>
      </c>
      <c r="S61" s="65"/>
      <c r="T61" s="65"/>
      <c r="U61" s="65"/>
    </row>
    <row r="62" spans="1:21" s="3" customFormat="1" ht="12.75" customHeight="1" x14ac:dyDescent="0.25">
      <c r="A62" s="11"/>
      <c r="B62" s="11"/>
      <c r="C62" s="12" t="s">
        <v>1278</v>
      </c>
      <c r="D62" s="13"/>
      <c r="E62" s="13"/>
      <c r="F62" s="14"/>
      <c r="G62" s="14">
        <v>290</v>
      </c>
      <c r="H62" s="14"/>
      <c r="I62" s="53"/>
      <c r="J62" s="66"/>
      <c r="K62" s="81"/>
      <c r="L62" s="66">
        <v>3000</v>
      </c>
      <c r="M62" s="81"/>
      <c r="N62" s="66"/>
      <c r="O62" s="66"/>
      <c r="P62" s="66"/>
      <c r="Q62" s="66"/>
      <c r="R62" s="66"/>
      <c r="S62" s="66"/>
      <c r="T62" s="66"/>
      <c r="U62" s="66"/>
    </row>
    <row r="63" spans="1:21" s="3" customFormat="1" ht="12.75" customHeight="1" x14ac:dyDescent="0.25">
      <c r="A63" s="11"/>
      <c r="B63" s="11"/>
      <c r="C63" s="12" t="s">
        <v>418</v>
      </c>
      <c r="D63" s="13"/>
      <c r="E63" s="13"/>
      <c r="F63" s="14"/>
      <c r="G63" s="14"/>
      <c r="H63" s="14"/>
      <c r="I63" s="53">
        <v>1000</v>
      </c>
      <c r="J63" s="66"/>
      <c r="K63" s="81"/>
      <c r="L63" s="66"/>
      <c r="M63" s="81"/>
      <c r="N63" s="66"/>
      <c r="O63" s="66"/>
      <c r="P63" s="66"/>
      <c r="Q63" s="66"/>
      <c r="R63" s="66"/>
      <c r="S63" s="66"/>
      <c r="T63" s="66"/>
      <c r="U63" s="66"/>
    </row>
    <row r="64" spans="1:21" s="3" customFormat="1" ht="12.75" hidden="1" customHeight="1" x14ac:dyDescent="0.25">
      <c r="A64" s="11"/>
      <c r="B64" s="11"/>
      <c r="C64" s="12" t="s">
        <v>419</v>
      </c>
      <c r="D64" s="13"/>
      <c r="E64" s="13"/>
      <c r="F64" s="14"/>
      <c r="G64" s="14"/>
      <c r="H64" s="53"/>
      <c r="I64" s="53">
        <v>0</v>
      </c>
      <c r="J64" s="90"/>
      <c r="K64" s="81"/>
      <c r="L64" s="90"/>
      <c r="M64" s="81"/>
      <c r="N64" s="90"/>
      <c r="O64" s="66"/>
      <c r="P64" s="90"/>
      <c r="Q64" s="66"/>
      <c r="R64" s="90"/>
      <c r="S64" s="66"/>
      <c r="T64" s="90"/>
      <c r="U64" s="66"/>
    </row>
    <row r="65" spans="1:21" s="3" customFormat="1" ht="12.75" customHeight="1" x14ac:dyDescent="0.25">
      <c r="A65" s="11"/>
      <c r="B65" s="11"/>
      <c r="C65" s="12" t="s">
        <v>1279</v>
      </c>
      <c r="D65" s="13"/>
      <c r="E65" s="13"/>
      <c r="F65" s="14"/>
      <c r="G65" s="14"/>
      <c r="H65" s="53"/>
      <c r="I65" s="53"/>
      <c r="J65" s="90"/>
      <c r="K65" s="90"/>
      <c r="L65" s="90"/>
      <c r="M65" s="81">
        <v>1000</v>
      </c>
      <c r="N65" s="90"/>
      <c r="O65" s="66"/>
      <c r="P65" s="90"/>
      <c r="Q65" s="66"/>
      <c r="R65" s="90"/>
      <c r="S65" s="66"/>
      <c r="T65" s="90"/>
      <c r="U65" s="66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2">
        <f t="shared" ref="H66:R66" si="3">H67</f>
        <v>576</v>
      </c>
      <c r="I66" s="52">
        <f t="shared" si="3"/>
        <v>576</v>
      </c>
      <c r="J66" s="52">
        <f t="shared" si="3"/>
        <v>0</v>
      </c>
      <c r="K66" s="52">
        <f t="shared" si="3"/>
        <v>0</v>
      </c>
      <c r="L66" s="52">
        <f t="shared" si="3"/>
        <v>2304</v>
      </c>
      <c r="M66" s="52">
        <f t="shared" si="3"/>
        <v>2304</v>
      </c>
      <c r="N66" s="52">
        <f t="shared" si="3"/>
        <v>0</v>
      </c>
      <c r="O66" s="65">
        <v>0</v>
      </c>
      <c r="P66" s="52">
        <f t="shared" si="3"/>
        <v>0</v>
      </c>
      <c r="Q66" s="65">
        <v>0</v>
      </c>
      <c r="R66" s="52">
        <f t="shared" si="3"/>
        <v>0</v>
      </c>
      <c r="S66" s="65"/>
      <c r="T66" s="52"/>
      <c r="U66" s="65"/>
    </row>
    <row r="67" spans="1:21" s="15" customFormat="1" ht="11.4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3">
        <v>576</v>
      </c>
      <c r="J67" s="66"/>
      <c r="K67" s="81"/>
      <c r="L67" s="66">
        <v>2304</v>
      </c>
      <c r="M67" s="81">
        <v>2304</v>
      </c>
      <c r="N67" s="66"/>
      <c r="O67" s="66"/>
      <c r="P67" s="66"/>
      <c r="Q67" s="66"/>
      <c r="R67" s="66"/>
      <c r="S67" s="66"/>
      <c r="T67" s="66"/>
      <c r="U67" s="66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4">F68+H68+J68+L68+N68+P68+R68</f>
        <v>0</v>
      </c>
      <c r="E68" s="9">
        <f t="shared" si="4"/>
        <v>0</v>
      </c>
      <c r="F68" s="10">
        <v>0</v>
      </c>
      <c r="G68" s="10">
        <v>0</v>
      </c>
      <c r="H68" s="10">
        <v>0</v>
      </c>
      <c r="I68" s="52">
        <v>0</v>
      </c>
      <c r="J68" s="65">
        <v>0</v>
      </c>
      <c r="K68" s="80">
        <v>0</v>
      </c>
      <c r="L68" s="65">
        <v>0</v>
      </c>
      <c r="M68" s="80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/>
      <c r="T68" s="65"/>
      <c r="U68" s="65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4"/>
        <v>1480</v>
      </c>
      <c r="E69" s="9">
        <f t="shared" si="4"/>
        <v>1670</v>
      </c>
      <c r="F69" s="10">
        <v>600</v>
      </c>
      <c r="G69" s="10">
        <v>850</v>
      </c>
      <c r="H69" s="10">
        <v>100</v>
      </c>
      <c r="I69" s="52">
        <v>70</v>
      </c>
      <c r="J69" s="65">
        <v>0</v>
      </c>
      <c r="K69" s="80">
        <v>0</v>
      </c>
      <c r="L69" s="65">
        <v>780</v>
      </c>
      <c r="M69" s="80">
        <v>750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/>
      <c r="T69" s="65"/>
      <c r="U69" s="65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4"/>
        <v>700</v>
      </c>
      <c r="E70" s="9">
        <f t="shared" si="4"/>
        <v>792</v>
      </c>
      <c r="F70" s="10">
        <v>180</v>
      </c>
      <c r="G70" s="10">
        <f>G71+G72</f>
        <v>372</v>
      </c>
      <c r="H70" s="10">
        <v>120</v>
      </c>
      <c r="I70" s="52">
        <f>I71+I72</f>
        <v>132</v>
      </c>
      <c r="J70" s="65">
        <v>0</v>
      </c>
      <c r="K70" s="80">
        <v>0</v>
      </c>
      <c r="L70" s="65">
        <v>400</v>
      </c>
      <c r="M70" s="80">
        <f>M71+M72</f>
        <v>288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/>
      <c r="T70" s="65"/>
      <c r="U70" s="65"/>
    </row>
    <row r="71" spans="1:21" s="3" customFormat="1" ht="12.75" customHeight="1" x14ac:dyDescent="0.2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3">
        <v>60</v>
      </c>
      <c r="J71" s="66"/>
      <c r="K71" s="81"/>
      <c r="L71" s="66"/>
      <c r="M71" s="81"/>
      <c r="N71" s="66"/>
      <c r="O71" s="66"/>
      <c r="P71" s="66"/>
      <c r="Q71" s="66"/>
      <c r="R71" s="66"/>
      <c r="S71" s="66"/>
      <c r="T71" s="66"/>
      <c r="U71" s="66"/>
    </row>
    <row r="72" spans="1:21" s="3" customFormat="1" ht="12.75" customHeight="1" x14ac:dyDescent="0.25">
      <c r="A72" s="11"/>
      <c r="B72" s="11"/>
      <c r="C72" s="12" t="s">
        <v>1275</v>
      </c>
      <c r="D72" s="13"/>
      <c r="E72" s="13"/>
      <c r="F72" s="14"/>
      <c r="G72" s="14">
        <v>132</v>
      </c>
      <c r="H72" s="14"/>
      <c r="I72" s="53">
        <v>72</v>
      </c>
      <c r="J72" s="66"/>
      <c r="K72" s="81"/>
      <c r="L72" s="66"/>
      <c r="M72" s="81">
        <v>288</v>
      </c>
      <c r="N72" s="66"/>
      <c r="O72" s="66"/>
      <c r="P72" s="66"/>
      <c r="Q72" s="66"/>
      <c r="R72" s="66"/>
      <c r="S72" s="66"/>
      <c r="T72" s="66"/>
      <c r="U72" s="66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2">
        <v>0</v>
      </c>
      <c r="J73" s="65">
        <v>0</v>
      </c>
      <c r="K73" s="80">
        <v>0</v>
      </c>
      <c r="L73" s="65">
        <v>0</v>
      </c>
      <c r="M73" s="80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/>
      <c r="T73" s="65"/>
      <c r="U73" s="65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 t="shared" ref="G74:I74" si="5">G75</f>
        <v>130</v>
      </c>
      <c r="H74" s="10">
        <v>60</v>
      </c>
      <c r="I74" s="52">
        <f t="shared" si="5"/>
        <v>50</v>
      </c>
      <c r="J74" s="65">
        <v>0</v>
      </c>
      <c r="K74" s="80">
        <v>0</v>
      </c>
      <c r="L74" s="65">
        <v>250</v>
      </c>
      <c r="M74" s="80">
        <f>M75</f>
        <v>210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/>
      <c r="T74" s="65"/>
      <c r="U74" s="65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6"/>
      <c r="K75" s="81"/>
      <c r="L75" s="66"/>
      <c r="M75" s="14">
        <f>ROUND(M6*0.004,0)</f>
        <v>210</v>
      </c>
      <c r="N75" s="66"/>
      <c r="O75" s="66"/>
      <c r="P75" s="66"/>
      <c r="Q75" s="66"/>
      <c r="R75" s="66"/>
      <c r="S75" s="66"/>
      <c r="T75" s="66"/>
      <c r="U75" s="66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2">
        <f>I77+I78</f>
        <v>371</v>
      </c>
      <c r="J76" s="65">
        <v>0</v>
      </c>
      <c r="K76" s="80">
        <v>0</v>
      </c>
      <c r="L76" s="65">
        <v>300</v>
      </c>
      <c r="M76" s="52">
        <f>M77+M78</f>
        <v>1878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/>
      <c r="T76" s="65"/>
      <c r="U76" s="65"/>
    </row>
    <row r="77" spans="1:21" s="15" customFormat="1" ht="11.4" customHeight="1" x14ac:dyDescent="0.2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3"/>
      <c r="J77" s="66"/>
      <c r="K77" s="81"/>
      <c r="L77" s="66"/>
      <c r="M77" s="81">
        <v>300</v>
      </c>
      <c r="N77" s="66"/>
      <c r="O77" s="66"/>
      <c r="P77" s="66"/>
      <c r="Q77" s="66"/>
      <c r="R77" s="66"/>
      <c r="S77" s="66"/>
      <c r="T77" s="66"/>
      <c r="U77" s="66"/>
    </row>
    <row r="78" spans="1:21" s="15" customFormat="1" ht="11.4" customHeight="1" x14ac:dyDescent="0.25">
      <c r="A78" s="11"/>
      <c r="B78" s="11"/>
      <c r="C78" s="12" t="s">
        <v>1277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90"/>
      <c r="K78" s="90"/>
      <c r="L78" s="90"/>
      <c r="M78" s="14">
        <f>ROUND(M6*0.03,0)</f>
        <v>1578</v>
      </c>
      <c r="N78" s="90"/>
      <c r="O78" s="90"/>
      <c r="P78" s="90"/>
      <c r="Q78" s="90"/>
      <c r="R78" s="90"/>
      <c r="S78" s="66"/>
      <c r="T78" s="90"/>
      <c r="U78" s="66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6">D6+D55+D56+D57+D60+D61+D66+D68+D69+D70+D73+D74+D76</f>
        <v>99017</v>
      </c>
      <c r="E79" s="18">
        <f t="shared" si="6"/>
        <v>112162</v>
      </c>
      <c r="F79" s="18">
        <f t="shared" si="6"/>
        <v>31096</v>
      </c>
      <c r="G79" s="18">
        <f t="shared" si="6"/>
        <v>36998</v>
      </c>
      <c r="H79" s="18">
        <f t="shared" si="6"/>
        <v>13898</v>
      </c>
      <c r="I79" s="54">
        <f t="shared" si="6"/>
        <v>15249</v>
      </c>
      <c r="J79" s="54">
        <f t="shared" si="6"/>
        <v>0</v>
      </c>
      <c r="K79" s="54">
        <f t="shared" si="6"/>
        <v>0</v>
      </c>
      <c r="L79" s="54">
        <f t="shared" si="6"/>
        <v>54023</v>
      </c>
      <c r="M79" s="54">
        <f t="shared" si="6"/>
        <v>59915</v>
      </c>
      <c r="N79" s="54">
        <f t="shared" si="6"/>
        <v>0</v>
      </c>
      <c r="O79" s="54">
        <f t="shared" si="6"/>
        <v>0</v>
      </c>
      <c r="P79" s="54">
        <f t="shared" si="6"/>
        <v>0</v>
      </c>
      <c r="Q79" s="54">
        <f t="shared" si="6"/>
        <v>0</v>
      </c>
      <c r="R79" s="54">
        <f>R6+R55+R56+R57+R60+R61+R66+R68+R69+R70+R73+R74+R76</f>
        <v>0</v>
      </c>
      <c r="S79" s="67"/>
      <c r="T79" s="54"/>
      <c r="U79" s="67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2">
        <v>0</v>
      </c>
      <c r="J80" s="65">
        <v>0</v>
      </c>
      <c r="K80" s="80">
        <v>0</v>
      </c>
      <c r="L80" s="65">
        <v>0</v>
      </c>
      <c r="M80" s="80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/>
      <c r="T80" s="65"/>
      <c r="U80" s="65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 t="shared" ref="G81:I81" si="7">G82</f>
        <v>5000</v>
      </c>
      <c r="H81" s="10">
        <f t="shared" si="7"/>
        <v>0</v>
      </c>
      <c r="I81" s="52">
        <f t="shared" si="7"/>
        <v>0</v>
      </c>
      <c r="J81" s="65">
        <v>0</v>
      </c>
      <c r="K81" s="80">
        <v>0</v>
      </c>
      <c r="L81" s="65">
        <f>L82</f>
        <v>1576</v>
      </c>
      <c r="M81" s="65">
        <f>M82</f>
        <v>1000</v>
      </c>
      <c r="N81" s="65">
        <f>N82</f>
        <v>0</v>
      </c>
      <c r="O81" s="65">
        <v>0</v>
      </c>
      <c r="P81" s="65">
        <f>P82</f>
        <v>0</v>
      </c>
      <c r="Q81" s="65">
        <v>0</v>
      </c>
      <c r="R81" s="65">
        <f>R82</f>
        <v>0</v>
      </c>
      <c r="S81" s="65"/>
      <c r="T81" s="65"/>
      <c r="U81" s="65"/>
    </row>
    <row r="82" spans="1:21" s="15" customFormat="1" ht="11.4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3"/>
      <c r="J82" s="66"/>
      <c r="K82" s="81"/>
      <c r="L82" s="66">
        <v>1576</v>
      </c>
      <c r="M82" s="81">
        <v>1000</v>
      </c>
      <c r="N82" s="66"/>
      <c r="O82" s="66"/>
      <c r="P82" s="66"/>
      <c r="Q82" s="66"/>
      <c r="R82" s="66"/>
      <c r="S82" s="66"/>
      <c r="T82" s="66"/>
      <c r="U82" s="66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 t="shared" ref="G83:I83" si="8">G84</f>
        <v>0</v>
      </c>
      <c r="H83" s="10">
        <f t="shared" si="8"/>
        <v>20</v>
      </c>
      <c r="I83" s="52">
        <f t="shared" si="8"/>
        <v>0</v>
      </c>
      <c r="J83" s="65">
        <v>0</v>
      </c>
      <c r="K83" s="80">
        <v>0</v>
      </c>
      <c r="L83" s="65">
        <f>L84</f>
        <v>20</v>
      </c>
      <c r="M83" s="65">
        <f>M84</f>
        <v>0</v>
      </c>
      <c r="N83" s="65">
        <f>N84</f>
        <v>0</v>
      </c>
      <c r="O83" s="65">
        <v>0</v>
      </c>
      <c r="P83" s="65">
        <f>P84</f>
        <v>0</v>
      </c>
      <c r="Q83" s="65">
        <f>Q84</f>
        <v>0</v>
      </c>
      <c r="R83" s="65">
        <f>R84</f>
        <v>0</v>
      </c>
      <c r="S83" s="65"/>
      <c r="T83" s="65"/>
      <c r="U83" s="65"/>
    </row>
    <row r="84" spans="1:21" s="15" customFormat="1" ht="11.4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3"/>
      <c r="J84" s="66"/>
      <c r="K84" s="81"/>
      <c r="L84" s="66">
        <v>20</v>
      </c>
      <c r="M84" s="81">
        <v>0</v>
      </c>
      <c r="N84" s="66"/>
      <c r="O84" s="66"/>
      <c r="P84" s="66"/>
      <c r="Q84" s="66"/>
      <c r="R84" s="66"/>
      <c r="S84" s="66"/>
      <c r="T84" s="66"/>
      <c r="U84" s="66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9">E80+E81+E83</f>
        <v>6000</v>
      </c>
      <c r="F85" s="18">
        <f t="shared" si="9"/>
        <v>5150</v>
      </c>
      <c r="G85" s="18">
        <f t="shared" si="9"/>
        <v>5000</v>
      </c>
      <c r="H85" s="18">
        <f t="shared" si="9"/>
        <v>20</v>
      </c>
      <c r="I85" s="54">
        <f t="shared" si="9"/>
        <v>0</v>
      </c>
      <c r="J85" s="54">
        <f t="shared" si="9"/>
        <v>0</v>
      </c>
      <c r="K85" s="54">
        <f t="shared" si="9"/>
        <v>0</v>
      </c>
      <c r="L85" s="54">
        <f t="shared" si="9"/>
        <v>1596</v>
      </c>
      <c r="M85" s="54">
        <f t="shared" si="9"/>
        <v>1000</v>
      </c>
      <c r="N85" s="54">
        <f t="shared" si="9"/>
        <v>0</v>
      </c>
      <c r="O85" s="54">
        <f t="shared" si="9"/>
        <v>0</v>
      </c>
      <c r="P85" s="54">
        <f t="shared" si="9"/>
        <v>0</v>
      </c>
      <c r="Q85" s="54">
        <f t="shared" si="9"/>
        <v>0</v>
      </c>
      <c r="R85" s="54">
        <f t="shared" ref="R85" si="10">R80+R81+R83</f>
        <v>0</v>
      </c>
      <c r="S85" s="67"/>
      <c r="T85" s="54"/>
      <c r="U85" s="67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11">E79+E85</f>
        <v>118162</v>
      </c>
      <c r="F86" s="22">
        <f t="shared" si="11"/>
        <v>36246</v>
      </c>
      <c r="G86" s="22">
        <f t="shared" si="11"/>
        <v>41998</v>
      </c>
      <c r="H86" s="22">
        <f t="shared" si="11"/>
        <v>13918</v>
      </c>
      <c r="I86" s="55">
        <f t="shared" si="11"/>
        <v>15249</v>
      </c>
      <c r="J86" s="55">
        <f t="shared" si="11"/>
        <v>0</v>
      </c>
      <c r="K86" s="55">
        <f t="shared" si="11"/>
        <v>0</v>
      </c>
      <c r="L86" s="55">
        <f t="shared" si="11"/>
        <v>55619</v>
      </c>
      <c r="M86" s="55">
        <f t="shared" si="11"/>
        <v>60915</v>
      </c>
      <c r="N86" s="55">
        <f t="shared" si="11"/>
        <v>0</v>
      </c>
      <c r="O86" s="55">
        <f t="shared" si="11"/>
        <v>0</v>
      </c>
      <c r="P86" s="55">
        <f t="shared" si="11"/>
        <v>0</v>
      </c>
      <c r="Q86" s="55">
        <f t="shared" si="11"/>
        <v>0</v>
      </c>
      <c r="R86" s="55">
        <f t="shared" ref="R86" si="12">R79+R85</f>
        <v>0</v>
      </c>
      <c r="S86" s="68"/>
      <c r="T86" s="55"/>
      <c r="U86" s="68"/>
    </row>
    <row r="87" spans="1:21" s="15" customFormat="1" ht="11.4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6">
        <f>ROUND((I6+I55+I56+I57+I60+I61+I81)*0.27,0)</f>
        <v>3794</v>
      </c>
      <c r="J87" s="69"/>
      <c r="K87" s="56">
        <f>ROUND((K6+K55+K56+K57+K60+K61+K81)*0.27,0)</f>
        <v>0</v>
      </c>
      <c r="L87" s="69">
        <v>13928</v>
      </c>
      <c r="M87" s="13">
        <f>ROUND((M6+M55+M56+M57+M60+M61+M74+M76+M81)*0.27,0)</f>
        <v>15545</v>
      </c>
      <c r="N87" s="69"/>
      <c r="O87" s="69"/>
      <c r="P87" s="69"/>
      <c r="Q87" s="69"/>
      <c r="R87" s="69"/>
      <c r="S87" s="69"/>
      <c r="T87" s="69"/>
      <c r="U87" s="69"/>
    </row>
    <row r="88" spans="1:21" s="15" customFormat="1" ht="11.4" customHeight="1" x14ac:dyDescent="0.25">
      <c r="A88" s="11"/>
      <c r="B88" s="11"/>
      <c r="C88" s="12" t="s">
        <v>61</v>
      </c>
      <c r="D88" s="13">
        <f t="shared" ref="D88:E90" si="13">H88+F88+L88+N88+P88+R88+J88</f>
        <v>716</v>
      </c>
      <c r="E88" s="13">
        <f t="shared" si="13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6"/>
      <c r="K88" s="13">
        <f>ROUND(K66*1.19*0.14+(K83)*1.19*0.27,0)</f>
        <v>0</v>
      </c>
      <c r="L88" s="66">
        <v>390</v>
      </c>
      <c r="M88" s="13">
        <f>ROUND(M66*1.19*0.14+(M83)*1.19*0.27,0)</f>
        <v>384</v>
      </c>
      <c r="N88" s="66"/>
      <c r="O88" s="66"/>
      <c r="P88" s="66"/>
      <c r="Q88" s="66"/>
      <c r="R88" s="66"/>
      <c r="S88" s="66"/>
      <c r="T88" s="66"/>
      <c r="U88" s="66"/>
    </row>
    <row r="89" spans="1:21" s="15" customFormat="1" ht="11.4" customHeight="1" x14ac:dyDescent="0.25">
      <c r="A89" s="11"/>
      <c r="B89" s="11"/>
      <c r="C89" s="12" t="s">
        <v>62</v>
      </c>
      <c r="D89" s="13">
        <f t="shared" si="13"/>
        <v>2000</v>
      </c>
      <c r="E89" s="13">
        <f t="shared" si="13"/>
        <v>2000</v>
      </c>
      <c r="F89" s="14">
        <v>2000</v>
      </c>
      <c r="G89" s="14">
        <v>2000</v>
      </c>
      <c r="H89" s="14"/>
      <c r="I89" s="53"/>
      <c r="J89" s="66"/>
      <c r="K89" s="81"/>
      <c r="L89" s="66">
        <v>0</v>
      </c>
      <c r="M89" s="81">
        <v>0</v>
      </c>
      <c r="N89" s="66"/>
      <c r="O89" s="66"/>
      <c r="P89" s="66"/>
      <c r="Q89" s="66"/>
      <c r="R89" s="66"/>
      <c r="S89" s="66"/>
      <c r="T89" s="66"/>
      <c r="U89" s="66"/>
    </row>
    <row r="90" spans="1:21" s="15" customFormat="1" ht="11.4" customHeight="1" x14ac:dyDescent="0.25">
      <c r="A90" s="11"/>
      <c r="B90" s="11"/>
      <c r="C90" s="12" t="s">
        <v>63</v>
      </c>
      <c r="D90" s="13">
        <f t="shared" si="13"/>
        <v>785</v>
      </c>
      <c r="E90" s="13">
        <f t="shared" si="13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6"/>
      <c r="K90" s="14">
        <f>ROUND((K84+K67)*1.19*0.16,0)</f>
        <v>0</v>
      </c>
      <c r="L90" s="66">
        <v>442</v>
      </c>
      <c r="M90" s="14">
        <f>ROUND((M84+M67)*1.19*0.16,0)</f>
        <v>439</v>
      </c>
      <c r="N90" s="66"/>
      <c r="O90" s="66"/>
      <c r="P90" s="66"/>
      <c r="Q90" s="66"/>
      <c r="R90" s="66"/>
      <c r="S90" s="66"/>
      <c r="T90" s="66"/>
      <c r="U90" s="66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14">E87+E88+E89+E90</f>
        <v>33469</v>
      </c>
      <c r="F91" s="22">
        <f t="shared" si="14"/>
        <v>11650</v>
      </c>
      <c r="G91" s="22">
        <f t="shared" si="14"/>
        <v>13101</v>
      </c>
      <c r="H91" s="22">
        <f t="shared" si="14"/>
        <v>3742</v>
      </c>
      <c r="I91" s="55">
        <f t="shared" si="14"/>
        <v>4000</v>
      </c>
      <c r="J91" s="55">
        <f t="shared" si="14"/>
        <v>0</v>
      </c>
      <c r="K91" s="55">
        <f t="shared" si="14"/>
        <v>0</v>
      </c>
      <c r="L91" s="22">
        <f t="shared" si="14"/>
        <v>14760</v>
      </c>
      <c r="M91" s="22">
        <f t="shared" si="14"/>
        <v>16368</v>
      </c>
      <c r="N91" s="22">
        <f t="shared" si="14"/>
        <v>0</v>
      </c>
      <c r="O91" s="22">
        <f t="shared" si="14"/>
        <v>0</v>
      </c>
      <c r="P91" s="22">
        <f t="shared" si="14"/>
        <v>0</v>
      </c>
      <c r="Q91" s="22">
        <f t="shared" si="14"/>
        <v>0</v>
      </c>
      <c r="R91" s="22">
        <f t="shared" ref="R91" si="15">R87+R88+R89+R90</f>
        <v>0</v>
      </c>
      <c r="S91" s="68"/>
      <c r="T91" s="22"/>
      <c r="U91" s="68"/>
    </row>
    <row r="92" spans="1:21" s="3" customFormat="1" ht="14.1" customHeight="1" x14ac:dyDescent="0.25">
      <c r="A92" s="963" t="s">
        <v>66</v>
      </c>
      <c r="B92" s="964"/>
      <c r="C92" s="965"/>
      <c r="D92" s="86">
        <f>D86+D91</f>
        <v>135935</v>
      </c>
      <c r="E92" s="86">
        <f t="shared" ref="E92:Q92" si="16">E86+E91</f>
        <v>151631</v>
      </c>
      <c r="F92" s="86">
        <f t="shared" si="16"/>
        <v>47896</v>
      </c>
      <c r="G92" s="86">
        <f t="shared" si="16"/>
        <v>55099</v>
      </c>
      <c r="H92" s="86">
        <f t="shared" si="16"/>
        <v>17660</v>
      </c>
      <c r="I92" s="87">
        <f t="shared" si="16"/>
        <v>19249</v>
      </c>
      <c r="J92" s="87">
        <f t="shared" si="16"/>
        <v>0</v>
      </c>
      <c r="K92" s="87">
        <f t="shared" si="16"/>
        <v>0</v>
      </c>
      <c r="L92" s="86">
        <f t="shared" si="16"/>
        <v>70379</v>
      </c>
      <c r="M92" s="86">
        <f t="shared" si="16"/>
        <v>77283</v>
      </c>
      <c r="N92" s="86">
        <f t="shared" si="16"/>
        <v>0</v>
      </c>
      <c r="O92" s="86">
        <f t="shared" si="16"/>
        <v>0</v>
      </c>
      <c r="P92" s="86">
        <f t="shared" si="16"/>
        <v>0</v>
      </c>
      <c r="Q92" s="86">
        <f t="shared" si="16"/>
        <v>0</v>
      </c>
      <c r="R92" s="86">
        <f t="shared" ref="R92" si="17">R86+R91</f>
        <v>0</v>
      </c>
      <c r="S92" s="88"/>
      <c r="T92" s="86"/>
      <c r="U92" s="88"/>
    </row>
    <row r="93" spans="1:21" s="3" customFormat="1" ht="14.1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3" customFormat="1" ht="14.1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3" customFormat="1" ht="14.1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s="1" customFormat="1" ht="12.75" customHeight="1" x14ac:dyDescent="0.25">
      <c r="A96" s="913" t="s">
        <v>410</v>
      </c>
      <c r="B96" s="913"/>
      <c r="C96" s="913"/>
      <c r="D96" s="913"/>
      <c r="E96" s="913"/>
      <c r="F96" s="913"/>
      <c r="G96" s="913"/>
      <c r="H96" s="913"/>
      <c r="I96" s="913"/>
      <c r="J96" s="913"/>
      <c r="K96" s="913"/>
      <c r="L96" s="913" t="s">
        <v>410</v>
      </c>
      <c r="M96" s="913"/>
      <c r="N96" s="913"/>
      <c r="O96" s="913"/>
      <c r="P96" s="913"/>
      <c r="Q96" s="913"/>
      <c r="R96" s="913"/>
      <c r="S96" s="913"/>
      <c r="T96" s="913"/>
      <c r="U96" s="913"/>
    </row>
    <row r="97" spans="1:21" s="1" customFormat="1" ht="14.1" customHeight="1" x14ac:dyDescent="0.25">
      <c r="A97" s="955" t="s">
        <v>0</v>
      </c>
      <c r="B97" s="954" t="s">
        <v>1</v>
      </c>
      <c r="C97" s="955" t="s">
        <v>2</v>
      </c>
      <c r="D97" s="906" t="s">
        <v>260</v>
      </c>
      <c r="E97" s="956" t="s">
        <v>259</v>
      </c>
      <c r="F97" s="952" t="s">
        <v>411</v>
      </c>
      <c r="G97" s="957"/>
      <c r="H97" s="952" t="s">
        <v>412</v>
      </c>
      <c r="I97" s="953"/>
      <c r="J97" s="960" t="s">
        <v>413</v>
      </c>
      <c r="K97" s="961"/>
      <c r="L97" s="960" t="s">
        <v>414</v>
      </c>
      <c r="M97" s="961"/>
      <c r="N97" s="960" t="s">
        <v>415</v>
      </c>
      <c r="O97" s="962"/>
      <c r="P97" s="958" t="s">
        <v>416</v>
      </c>
      <c r="Q97" s="959"/>
      <c r="R97" s="958" t="s">
        <v>417</v>
      </c>
      <c r="S97" s="959"/>
      <c r="T97" s="958"/>
      <c r="U97" s="959"/>
    </row>
    <row r="98" spans="1:21" s="3" customFormat="1" ht="32.950000000000003" customHeight="1" x14ac:dyDescent="0.25">
      <c r="A98" s="913"/>
      <c r="B98" s="914"/>
      <c r="C98" s="913"/>
      <c r="D98" s="915"/>
      <c r="E98" s="906"/>
      <c r="F98" s="50" t="s">
        <v>260</v>
      </c>
      <c r="G98" s="50" t="s">
        <v>259</v>
      </c>
      <c r="H98" s="50" t="s">
        <v>260</v>
      </c>
      <c r="I98" s="49" t="s">
        <v>259</v>
      </c>
      <c r="J98" s="50" t="s">
        <v>260</v>
      </c>
      <c r="K98" s="49" t="s">
        <v>259</v>
      </c>
      <c r="L98" s="62" t="s">
        <v>260</v>
      </c>
      <c r="M98" s="77" t="s">
        <v>259</v>
      </c>
      <c r="N98" s="83" t="s">
        <v>260</v>
      </c>
      <c r="O98" s="48" t="s">
        <v>259</v>
      </c>
      <c r="P98" s="84" t="s">
        <v>260</v>
      </c>
      <c r="Q98" s="85" t="s">
        <v>259</v>
      </c>
      <c r="R98" s="84" t="s">
        <v>260</v>
      </c>
      <c r="S98" s="85" t="s">
        <v>259</v>
      </c>
      <c r="T98" s="84"/>
      <c r="U98" s="85"/>
    </row>
    <row r="99" spans="1:21" ht="5.6" customHeight="1" x14ac:dyDescent="0.25">
      <c r="J99" s="63"/>
      <c r="K99" s="78"/>
      <c r="L99" s="63"/>
      <c r="M99" s="78"/>
      <c r="N99" s="63"/>
      <c r="O99" s="63"/>
      <c r="P99" s="63"/>
      <c r="Q99" s="63"/>
      <c r="R99" s="63"/>
      <c r="S99" s="63"/>
      <c r="T99" s="63"/>
      <c r="U99" s="63"/>
    </row>
    <row r="100" spans="1:21" ht="14.1" customHeight="1" x14ac:dyDescent="0.25">
      <c r="A100" s="912" t="s">
        <v>288</v>
      </c>
      <c r="B100" s="912"/>
      <c r="C100" s="912"/>
      <c r="D100" s="912"/>
      <c r="E100" s="912"/>
      <c r="F100" s="912"/>
      <c r="G100" s="912"/>
      <c r="H100" s="912"/>
      <c r="I100" s="912"/>
      <c r="J100" s="64"/>
      <c r="K100" s="79"/>
      <c r="L100" s="64"/>
      <c r="M100" s="79"/>
      <c r="N100" s="64"/>
      <c r="O100" s="64"/>
      <c r="P100" s="64"/>
      <c r="Q100" s="64"/>
      <c r="R100" s="64"/>
      <c r="S100" s="64"/>
      <c r="T100" s="64"/>
      <c r="U100" s="64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>SUM(F102:F107)</f>
        <v>100</v>
      </c>
      <c r="G101" s="10">
        <f t="shared" ref="G101:K101" si="18">SUM(G102:G107)</f>
        <v>100</v>
      </c>
      <c r="H101" s="10">
        <f t="shared" si="18"/>
        <v>10</v>
      </c>
      <c r="I101" s="52">
        <f t="shared" si="18"/>
        <v>25</v>
      </c>
      <c r="J101" s="52">
        <f t="shared" si="18"/>
        <v>0</v>
      </c>
      <c r="K101" s="52">
        <f t="shared" si="18"/>
        <v>0</v>
      </c>
      <c r="L101" s="65">
        <f>SUM(L102:L107)</f>
        <v>100</v>
      </c>
      <c r="M101" s="65">
        <f>SUM(M102:M107)</f>
        <v>100</v>
      </c>
      <c r="N101" s="65">
        <f>SUM(N102:N107)</f>
        <v>0</v>
      </c>
      <c r="O101" s="65">
        <f>SUM(O102:O107)</f>
        <v>0</v>
      </c>
      <c r="P101" s="65">
        <f>SUM(P102:P107)</f>
        <v>0</v>
      </c>
      <c r="Q101" s="65">
        <v>0</v>
      </c>
      <c r="R101" s="65">
        <f>SUM(R102:R107)</f>
        <v>0</v>
      </c>
      <c r="S101" s="65"/>
      <c r="T101" s="65"/>
      <c r="U101" s="65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8"/>
      <c r="J102" s="63"/>
      <c r="K102" s="78"/>
      <c r="L102" s="63">
        <v>40</v>
      </c>
      <c r="M102" s="78">
        <v>10</v>
      </c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8"/>
      <c r="J104" s="63"/>
      <c r="K104" s="78"/>
      <c r="L104" s="63">
        <v>50</v>
      </c>
      <c r="M104" s="78">
        <v>50</v>
      </c>
      <c r="N104" s="63"/>
      <c r="O104" s="63"/>
      <c r="P104" s="63"/>
      <c r="Q104" s="63"/>
      <c r="R104" s="63"/>
      <c r="S104" s="63"/>
      <c r="T104" s="63"/>
      <c r="U104" s="63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8"/>
      <c r="J105" s="63"/>
      <c r="K105" s="78"/>
      <c r="L105" s="63">
        <v>10</v>
      </c>
      <c r="M105" s="78">
        <v>10</v>
      </c>
      <c r="N105" s="63"/>
      <c r="O105" s="63"/>
      <c r="P105" s="63"/>
      <c r="Q105" s="63"/>
      <c r="R105" s="63"/>
      <c r="S105" s="63"/>
      <c r="T105" s="63"/>
      <c r="U105" s="63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8"/>
      <c r="J106" s="63"/>
      <c r="K106" s="78"/>
      <c r="L106" s="63"/>
      <c r="M106" s="78"/>
      <c r="N106" s="63"/>
      <c r="O106" s="63"/>
      <c r="P106" s="63"/>
      <c r="Q106" s="63"/>
      <c r="R106" s="63"/>
      <c r="S106" s="63"/>
      <c r="T106" s="63"/>
      <c r="U106" s="63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8">
        <v>25</v>
      </c>
      <c r="J107" s="63"/>
      <c r="K107" s="78"/>
      <c r="L107" s="63"/>
      <c r="M107" s="78">
        <v>30</v>
      </c>
      <c r="N107" s="63"/>
      <c r="O107" s="63"/>
      <c r="P107" s="63"/>
      <c r="Q107" s="63"/>
      <c r="R107" s="63"/>
      <c r="S107" s="63"/>
      <c r="T107" s="63"/>
      <c r="U107" s="63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9">SUM(F109:F114)</f>
        <v>1100</v>
      </c>
      <c r="G108" s="10">
        <f t="shared" si="19"/>
        <v>1500</v>
      </c>
      <c r="H108" s="10">
        <f t="shared" si="19"/>
        <v>405</v>
      </c>
      <c r="I108" s="52">
        <f t="shared" si="19"/>
        <v>405</v>
      </c>
      <c r="J108" s="52">
        <f t="shared" si="19"/>
        <v>650</v>
      </c>
      <c r="K108" s="52">
        <f t="shared" si="19"/>
        <v>500</v>
      </c>
      <c r="L108" s="65">
        <f t="shared" si="19"/>
        <v>2365</v>
      </c>
      <c r="M108" s="65">
        <f t="shared" si="19"/>
        <v>2565</v>
      </c>
      <c r="N108" s="65">
        <f t="shared" si="19"/>
        <v>5935</v>
      </c>
      <c r="O108" s="65">
        <f t="shared" si="19"/>
        <v>6435</v>
      </c>
      <c r="P108" s="65">
        <f t="shared" si="19"/>
        <v>0</v>
      </c>
      <c r="Q108" s="65">
        <v>0</v>
      </c>
      <c r="R108" s="65">
        <f>SUM(R109:R114)</f>
        <v>0</v>
      </c>
      <c r="S108" s="65"/>
      <c r="T108" s="65"/>
      <c r="U108" s="65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8"/>
      <c r="J109" s="63"/>
      <c r="K109" s="78"/>
      <c r="L109" s="63"/>
      <c r="M109" s="78"/>
      <c r="N109" s="63">
        <v>5935</v>
      </c>
      <c r="O109" s="63">
        <v>5935</v>
      </c>
      <c r="P109" s="63"/>
      <c r="Q109" s="63"/>
      <c r="R109" s="63"/>
      <c r="S109" s="63"/>
      <c r="T109" s="63"/>
      <c r="U109" s="63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8">
        <v>100</v>
      </c>
      <c r="J110" s="63"/>
      <c r="K110" s="78"/>
      <c r="L110" s="63">
        <v>200</v>
      </c>
      <c r="M110" s="78">
        <v>200</v>
      </c>
      <c r="N110" s="63"/>
      <c r="O110" s="63"/>
      <c r="P110" s="63"/>
      <c r="Q110" s="63"/>
      <c r="R110" s="63"/>
      <c r="S110" s="63"/>
      <c r="T110" s="63"/>
      <c r="U110" s="63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8"/>
      <c r="J111" s="63"/>
      <c r="K111" s="78"/>
      <c r="L111" s="63"/>
      <c r="M111" s="78"/>
      <c r="N111" s="63"/>
      <c r="O111" s="63"/>
      <c r="P111" s="63"/>
      <c r="Q111" s="63"/>
      <c r="R111" s="63"/>
      <c r="S111" s="63"/>
      <c r="T111" s="63"/>
      <c r="U111" s="63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8">
        <v>5</v>
      </c>
      <c r="J112" s="63">
        <v>600</v>
      </c>
      <c r="K112" s="78">
        <v>450</v>
      </c>
      <c r="L112" s="63">
        <v>15</v>
      </c>
      <c r="M112" s="78">
        <v>15</v>
      </c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8"/>
      <c r="J113" s="63"/>
      <c r="K113" s="78"/>
      <c r="L113" s="63">
        <v>150</v>
      </c>
      <c r="M113" s="78">
        <v>600</v>
      </c>
      <c r="N113" s="63"/>
      <c r="O113" s="63"/>
      <c r="P113" s="63"/>
      <c r="Q113" s="63"/>
      <c r="R113" s="63"/>
      <c r="S113" s="63"/>
      <c r="T113" s="63"/>
      <c r="U113" s="63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8">
        <v>300</v>
      </c>
      <c r="J114" s="63">
        <v>50</v>
      </c>
      <c r="K114" s="78">
        <v>50</v>
      </c>
      <c r="L114" s="63">
        <v>2000</v>
      </c>
      <c r="M114" s="78">
        <v>1750</v>
      </c>
      <c r="N114" s="63"/>
      <c r="O114" s="63">
        <v>500</v>
      </c>
      <c r="P114" s="63"/>
      <c r="Q114" s="63"/>
      <c r="R114" s="63"/>
      <c r="S114" s="63"/>
      <c r="T114" s="63"/>
      <c r="U114" s="63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20">SUM(G116:G117)</f>
        <v>0</v>
      </c>
      <c r="H115" s="10">
        <f t="shared" si="20"/>
        <v>0</v>
      </c>
      <c r="I115" s="52">
        <f t="shared" si="20"/>
        <v>0</v>
      </c>
      <c r="J115" s="52">
        <f t="shared" si="20"/>
        <v>0</v>
      </c>
      <c r="K115" s="52">
        <f t="shared" si="20"/>
        <v>0</v>
      </c>
      <c r="L115" s="52">
        <f t="shared" si="20"/>
        <v>0</v>
      </c>
      <c r="M115" s="52">
        <f t="shared" si="20"/>
        <v>0</v>
      </c>
      <c r="N115" s="52">
        <f t="shared" si="20"/>
        <v>0</v>
      </c>
      <c r="O115" s="52">
        <f t="shared" si="20"/>
        <v>0</v>
      </c>
      <c r="P115" s="52">
        <f t="shared" si="20"/>
        <v>0</v>
      </c>
      <c r="Q115" s="65">
        <v>0</v>
      </c>
      <c r="R115" s="52">
        <f t="shared" ref="R115" si="21">SUM(R116:R117)</f>
        <v>0</v>
      </c>
      <c r="S115" s="65"/>
      <c r="T115" s="52"/>
      <c r="U115" s="65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22">E101+E108</f>
        <v>11630</v>
      </c>
      <c r="F118" s="19">
        <f t="shared" si="22"/>
        <v>1200</v>
      </c>
      <c r="G118" s="19">
        <f t="shared" si="22"/>
        <v>1600</v>
      </c>
      <c r="H118" s="19">
        <f t="shared" si="22"/>
        <v>415</v>
      </c>
      <c r="I118" s="59">
        <f t="shared" si="22"/>
        <v>430</v>
      </c>
      <c r="J118" s="59">
        <f t="shared" si="22"/>
        <v>650</v>
      </c>
      <c r="K118" s="59">
        <f t="shared" si="22"/>
        <v>500</v>
      </c>
      <c r="L118" s="59">
        <f t="shared" si="22"/>
        <v>2465</v>
      </c>
      <c r="M118" s="59">
        <f t="shared" si="22"/>
        <v>2665</v>
      </c>
      <c r="N118" s="59">
        <f t="shared" si="22"/>
        <v>5935</v>
      </c>
      <c r="O118" s="59">
        <f t="shared" si="22"/>
        <v>6435</v>
      </c>
      <c r="P118" s="59">
        <f t="shared" si="22"/>
        <v>0</v>
      </c>
      <c r="Q118" s="59">
        <f t="shared" si="22"/>
        <v>0</v>
      </c>
      <c r="R118" s="59">
        <f t="shared" ref="R118" si="23">R101+R108</f>
        <v>0</v>
      </c>
      <c r="S118" s="71"/>
      <c r="T118" s="59"/>
      <c r="U118" s="71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24">SUM(H120:H125)</f>
        <v>160</v>
      </c>
      <c r="I119" s="52">
        <f t="shared" si="24"/>
        <v>120</v>
      </c>
      <c r="J119" s="52">
        <f t="shared" si="24"/>
        <v>0</v>
      </c>
      <c r="K119" s="52">
        <f t="shared" si="24"/>
        <v>0</v>
      </c>
      <c r="L119" s="52">
        <f t="shared" si="24"/>
        <v>130</v>
      </c>
      <c r="M119" s="52">
        <f t="shared" si="24"/>
        <v>100</v>
      </c>
      <c r="N119" s="52">
        <f t="shared" si="24"/>
        <v>0</v>
      </c>
      <c r="O119" s="52">
        <f t="shared" si="24"/>
        <v>0</v>
      </c>
      <c r="P119" s="52">
        <f t="shared" si="24"/>
        <v>0</v>
      </c>
      <c r="Q119" s="65">
        <v>0</v>
      </c>
      <c r="R119" s="52">
        <f t="shared" ref="R119" si="25">SUM(R120:R125)</f>
        <v>0</v>
      </c>
      <c r="S119" s="65"/>
      <c r="T119" s="52"/>
      <c r="U119" s="65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8">
        <v>120</v>
      </c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8"/>
      <c r="J123" s="63"/>
      <c r="K123" s="78"/>
      <c r="L123" s="63">
        <v>50</v>
      </c>
      <c r="M123" s="78">
        <v>100</v>
      </c>
      <c r="N123" s="63"/>
      <c r="O123" s="63"/>
      <c r="P123" s="63"/>
      <c r="Q123" s="63"/>
      <c r="R123" s="63"/>
      <c r="S123" s="63"/>
      <c r="T123" s="63"/>
      <c r="U123" s="63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8"/>
      <c r="J124" s="63"/>
      <c r="K124" s="78"/>
      <c r="L124" s="63">
        <v>50</v>
      </c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8"/>
      <c r="J125" s="63"/>
      <c r="K125" s="78"/>
      <c r="L125" s="63">
        <v>30</v>
      </c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26">SUM(G127:G128)</f>
        <v>450</v>
      </c>
      <c r="H126" s="10">
        <f t="shared" si="26"/>
        <v>30</v>
      </c>
      <c r="I126" s="52">
        <f t="shared" si="26"/>
        <v>90</v>
      </c>
      <c r="J126" s="52">
        <f t="shared" si="26"/>
        <v>0</v>
      </c>
      <c r="K126" s="52">
        <f t="shared" si="26"/>
        <v>0</v>
      </c>
      <c r="L126" s="52">
        <f t="shared" si="26"/>
        <v>70</v>
      </c>
      <c r="M126" s="52">
        <f t="shared" si="26"/>
        <v>100</v>
      </c>
      <c r="N126" s="52">
        <f t="shared" si="26"/>
        <v>0</v>
      </c>
      <c r="O126" s="52">
        <f t="shared" si="26"/>
        <v>0</v>
      </c>
      <c r="P126" s="52">
        <f t="shared" si="26"/>
        <v>0</v>
      </c>
      <c r="Q126" s="65">
        <v>0</v>
      </c>
      <c r="R126" s="52">
        <f t="shared" ref="R126" si="27">SUM(R127:R128)</f>
        <v>0</v>
      </c>
      <c r="S126" s="65"/>
      <c r="T126" s="52"/>
      <c r="U126" s="65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8">
        <v>90</v>
      </c>
      <c r="J127" s="63"/>
      <c r="K127" s="78"/>
      <c r="L127" s="63">
        <v>70</v>
      </c>
      <c r="M127" s="78">
        <v>100</v>
      </c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8"/>
      <c r="J128" s="63"/>
      <c r="K128" s="78"/>
      <c r="L128" s="63"/>
      <c r="M128" s="78"/>
      <c r="N128" s="63"/>
      <c r="O128" s="63"/>
      <c r="P128" s="63"/>
      <c r="Q128" s="63"/>
      <c r="R128" s="63"/>
      <c r="S128" s="63"/>
      <c r="T128" s="63"/>
      <c r="U128" s="63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28">E119+E126</f>
        <v>1856</v>
      </c>
      <c r="F129" s="19">
        <f t="shared" si="28"/>
        <v>1715</v>
      </c>
      <c r="G129" s="19">
        <f t="shared" si="28"/>
        <v>1446</v>
      </c>
      <c r="H129" s="19">
        <f t="shared" si="28"/>
        <v>190</v>
      </c>
      <c r="I129" s="59">
        <f t="shared" si="28"/>
        <v>210</v>
      </c>
      <c r="J129" s="59">
        <f t="shared" si="28"/>
        <v>0</v>
      </c>
      <c r="K129" s="59">
        <f t="shared" si="28"/>
        <v>0</v>
      </c>
      <c r="L129" s="59">
        <f t="shared" si="28"/>
        <v>200</v>
      </c>
      <c r="M129" s="59">
        <f t="shared" si="28"/>
        <v>200</v>
      </c>
      <c r="N129" s="59">
        <f t="shared" si="28"/>
        <v>0</v>
      </c>
      <c r="O129" s="59">
        <f t="shared" si="28"/>
        <v>0</v>
      </c>
      <c r="P129" s="59">
        <f t="shared" si="28"/>
        <v>0</v>
      </c>
      <c r="Q129" s="59">
        <f t="shared" si="28"/>
        <v>0</v>
      </c>
      <c r="R129" s="59">
        <f t="shared" ref="R129" si="29">R119+R126</f>
        <v>0</v>
      </c>
      <c r="S129" s="71"/>
      <c r="T129" s="59"/>
      <c r="U129" s="71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30">SUM(G131:G133)</f>
        <v>870</v>
      </c>
      <c r="H130" s="10">
        <f t="shared" si="30"/>
        <v>460</v>
      </c>
      <c r="I130" s="52">
        <f t="shared" si="30"/>
        <v>440</v>
      </c>
      <c r="J130" s="52">
        <f t="shared" si="30"/>
        <v>0</v>
      </c>
      <c r="K130" s="52">
        <f t="shared" si="30"/>
        <v>0</v>
      </c>
      <c r="L130" s="52">
        <f t="shared" si="30"/>
        <v>4300</v>
      </c>
      <c r="M130" s="52">
        <f t="shared" si="30"/>
        <v>4100</v>
      </c>
      <c r="N130" s="52">
        <f t="shared" si="30"/>
        <v>0</v>
      </c>
      <c r="O130" s="52">
        <f t="shared" si="30"/>
        <v>0</v>
      </c>
      <c r="P130" s="52">
        <f t="shared" si="30"/>
        <v>0</v>
      </c>
      <c r="Q130" s="65">
        <v>0</v>
      </c>
      <c r="R130" s="52">
        <f t="shared" ref="R130" si="31">SUM(R131:R133)</f>
        <v>0</v>
      </c>
      <c r="S130" s="65"/>
      <c r="T130" s="52"/>
      <c r="U130" s="65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8">
        <v>80</v>
      </c>
      <c r="J131" s="63"/>
      <c r="K131" s="78"/>
      <c r="L131" s="63">
        <v>800</v>
      </c>
      <c r="M131" s="78">
        <v>700</v>
      </c>
      <c r="N131" s="63"/>
      <c r="O131" s="63"/>
      <c r="P131" s="63"/>
      <c r="Q131" s="63"/>
      <c r="R131" s="63"/>
      <c r="S131" s="63"/>
      <c r="T131" s="63"/>
      <c r="U131" s="63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8">
        <v>160</v>
      </c>
      <c r="J132" s="63"/>
      <c r="K132" s="78"/>
      <c r="L132" s="63">
        <v>3000</v>
      </c>
      <c r="M132" s="78">
        <v>3000</v>
      </c>
      <c r="N132" s="63"/>
      <c r="O132" s="63"/>
      <c r="P132" s="63"/>
      <c r="Q132" s="63"/>
      <c r="R132" s="63"/>
      <c r="S132" s="63"/>
      <c r="T132" s="63"/>
      <c r="U132" s="63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8">
        <v>200</v>
      </c>
      <c r="J133" s="63"/>
      <c r="K133" s="78"/>
      <c r="L133" s="63">
        <v>500</v>
      </c>
      <c r="M133" s="78">
        <v>400</v>
      </c>
      <c r="N133" s="63"/>
      <c r="O133" s="63"/>
      <c r="P133" s="63"/>
      <c r="Q133" s="63"/>
      <c r="R133" s="63"/>
      <c r="S133" s="63"/>
      <c r="T133" s="63"/>
      <c r="U133" s="63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2">
        <f>I135</f>
        <v>0</v>
      </c>
      <c r="J134" s="52">
        <f>J135</f>
        <v>10100</v>
      </c>
      <c r="K134" s="52">
        <f>K135</f>
        <v>10100</v>
      </c>
      <c r="L134" s="52">
        <f>L135</f>
        <v>0</v>
      </c>
      <c r="M134" s="80">
        <v>0</v>
      </c>
      <c r="N134" s="52">
        <f>N135</f>
        <v>0</v>
      </c>
      <c r="O134" s="52">
        <f>O135</f>
        <v>0</v>
      </c>
      <c r="P134" s="52">
        <f>P135</f>
        <v>0</v>
      </c>
      <c r="Q134" s="65">
        <v>0</v>
      </c>
      <c r="R134" s="52">
        <f>R135</f>
        <v>0</v>
      </c>
      <c r="S134" s="65"/>
      <c r="T134" s="52"/>
      <c r="U134" s="65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8"/>
      <c r="J135" s="63">
        <v>10100</v>
      </c>
      <c r="K135" s="78">
        <v>10100</v>
      </c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32">SUM(G137:G138)</f>
        <v>400</v>
      </c>
      <c r="H136" s="10">
        <f t="shared" si="32"/>
        <v>0</v>
      </c>
      <c r="I136" s="52">
        <f t="shared" si="32"/>
        <v>0</v>
      </c>
      <c r="J136" s="52">
        <f t="shared" si="32"/>
        <v>0</v>
      </c>
      <c r="K136" s="52">
        <f t="shared" si="32"/>
        <v>0</v>
      </c>
      <c r="L136" s="52">
        <f t="shared" si="32"/>
        <v>0</v>
      </c>
      <c r="M136" s="52">
        <f t="shared" si="32"/>
        <v>0</v>
      </c>
      <c r="N136" s="52">
        <f t="shared" si="32"/>
        <v>0</v>
      </c>
      <c r="O136" s="52">
        <f t="shared" si="32"/>
        <v>0</v>
      </c>
      <c r="P136" s="52">
        <f t="shared" si="32"/>
        <v>0</v>
      </c>
      <c r="Q136" s="65">
        <v>0</v>
      </c>
      <c r="R136" s="52">
        <f t="shared" ref="R136" si="33">SUM(R137:R138)</f>
        <v>0</v>
      </c>
      <c r="S136" s="65"/>
      <c r="T136" s="52"/>
      <c r="U136" s="65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/>
      <c r="S137" s="63"/>
      <c r="T137" s="63"/>
      <c r="U137" s="63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2">
        <v>120</v>
      </c>
      <c r="J139" s="65">
        <v>120</v>
      </c>
      <c r="K139" s="80">
        <v>120</v>
      </c>
      <c r="L139" s="65">
        <v>700</v>
      </c>
      <c r="M139" s="80">
        <v>2500</v>
      </c>
      <c r="N139" s="65">
        <v>0</v>
      </c>
      <c r="O139" s="65"/>
      <c r="P139" s="65">
        <v>0</v>
      </c>
      <c r="Q139" s="65">
        <v>0</v>
      </c>
      <c r="R139" s="65">
        <v>0</v>
      </c>
      <c r="S139" s="65"/>
      <c r="T139" s="65"/>
      <c r="U139" s="65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34">SUM(F141:F142)</f>
        <v>20</v>
      </c>
      <c r="G140" s="10">
        <f t="shared" si="34"/>
        <v>0</v>
      </c>
      <c r="H140" s="10">
        <f t="shared" si="34"/>
        <v>150</v>
      </c>
      <c r="I140" s="52">
        <f t="shared" si="34"/>
        <v>0</v>
      </c>
      <c r="J140" s="52">
        <f t="shared" si="34"/>
        <v>0</v>
      </c>
      <c r="K140" s="52">
        <f t="shared" si="34"/>
        <v>0</v>
      </c>
      <c r="L140" s="52">
        <f t="shared" si="34"/>
        <v>0</v>
      </c>
      <c r="M140" s="52">
        <f t="shared" si="34"/>
        <v>0</v>
      </c>
      <c r="N140" s="52">
        <f t="shared" si="34"/>
        <v>0</v>
      </c>
      <c r="O140" s="65"/>
      <c r="P140" s="52">
        <f>SUM(P141:P142)</f>
        <v>0</v>
      </c>
      <c r="Q140" s="65">
        <v>0</v>
      </c>
      <c r="R140" s="52">
        <f>SUM(R141:R142)</f>
        <v>0</v>
      </c>
      <c r="S140" s="65"/>
      <c r="T140" s="52"/>
      <c r="U140" s="65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8"/>
      <c r="J141" s="63"/>
      <c r="K141" s="78"/>
      <c r="L141" s="63"/>
      <c r="M141" s="78"/>
      <c r="N141" s="63"/>
      <c r="O141" s="63"/>
      <c r="P141" s="63"/>
      <c r="Q141" s="63"/>
      <c r="R141" s="63"/>
      <c r="S141" s="63"/>
      <c r="T141" s="63"/>
      <c r="U141" s="63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8"/>
      <c r="J142" s="63"/>
      <c r="K142" s="78"/>
      <c r="L142" s="63"/>
      <c r="M142" s="78"/>
      <c r="N142" s="63"/>
      <c r="O142" s="63"/>
      <c r="P142" s="63"/>
      <c r="Q142" s="63"/>
      <c r="R142" s="63"/>
      <c r="S142" s="63"/>
      <c r="T142" s="63"/>
      <c r="U142" s="63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35">SUM(G144:G146)</f>
        <v>3600</v>
      </c>
      <c r="H143" s="10">
        <f t="shared" si="35"/>
        <v>30</v>
      </c>
      <c r="I143" s="52">
        <f t="shared" si="35"/>
        <v>0</v>
      </c>
      <c r="J143" s="52">
        <f t="shared" si="35"/>
        <v>0</v>
      </c>
      <c r="K143" s="52">
        <f t="shared" si="35"/>
        <v>0</v>
      </c>
      <c r="L143" s="52">
        <f t="shared" si="35"/>
        <v>1376</v>
      </c>
      <c r="M143" s="52">
        <f t="shared" si="35"/>
        <v>1280</v>
      </c>
      <c r="N143" s="52">
        <f t="shared" si="35"/>
        <v>0</v>
      </c>
      <c r="O143" s="52">
        <f t="shared" si="35"/>
        <v>0</v>
      </c>
      <c r="P143" s="52">
        <f t="shared" si="35"/>
        <v>960</v>
      </c>
      <c r="Q143" s="52">
        <f t="shared" si="35"/>
        <v>1000</v>
      </c>
      <c r="R143" s="52">
        <f t="shared" ref="R143" si="36">SUM(R144:R146)</f>
        <v>560</v>
      </c>
      <c r="S143" s="65"/>
      <c r="T143" s="52"/>
      <c r="U143" s="65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8"/>
      <c r="J144" s="63"/>
      <c r="K144" s="78"/>
      <c r="L144" s="63">
        <v>840</v>
      </c>
      <c r="M144" s="78"/>
      <c r="N144" s="63"/>
      <c r="O144" s="63"/>
      <c r="P144" s="63">
        <v>960</v>
      </c>
      <c r="Q144" s="63"/>
      <c r="R144" s="63"/>
      <c r="S144" s="63"/>
      <c r="T144" s="63"/>
      <c r="U144" s="63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8"/>
      <c r="J145" s="63"/>
      <c r="K145" s="78"/>
      <c r="L145" s="63"/>
      <c r="M145" s="78"/>
      <c r="N145" s="63"/>
      <c r="O145" s="63"/>
      <c r="P145" s="63"/>
      <c r="Q145" s="63"/>
      <c r="R145" s="63"/>
      <c r="S145" s="63"/>
      <c r="T145" s="63"/>
      <c r="U145" s="63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8"/>
      <c r="J146" s="63"/>
      <c r="K146" s="78"/>
      <c r="L146" s="63">
        <v>536</v>
      </c>
      <c r="M146" s="78">
        <v>1280</v>
      </c>
      <c r="N146" s="63"/>
      <c r="O146" s="63"/>
      <c r="P146" s="63"/>
      <c r="Q146" s="63">
        <v>1000</v>
      </c>
      <c r="R146" s="63">
        <v>560</v>
      </c>
      <c r="S146" s="63"/>
      <c r="T146" s="63"/>
      <c r="U146" s="63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37">SUM(G148:G151)</f>
        <v>2900</v>
      </c>
      <c r="H147" s="10">
        <f t="shared" si="37"/>
        <v>1100</v>
      </c>
      <c r="I147" s="52">
        <f t="shared" si="37"/>
        <v>1300</v>
      </c>
      <c r="J147" s="52">
        <f t="shared" si="37"/>
        <v>262</v>
      </c>
      <c r="K147" s="52">
        <f t="shared" si="37"/>
        <v>260</v>
      </c>
      <c r="L147" s="52">
        <f t="shared" si="37"/>
        <v>750</v>
      </c>
      <c r="M147" s="52">
        <f t="shared" si="37"/>
        <v>900</v>
      </c>
      <c r="N147" s="52">
        <f t="shared" si="37"/>
        <v>0</v>
      </c>
      <c r="O147" s="52">
        <f t="shared" si="37"/>
        <v>0</v>
      </c>
      <c r="P147" s="52">
        <f t="shared" si="37"/>
        <v>0</v>
      </c>
      <c r="Q147" s="52">
        <f t="shared" si="37"/>
        <v>0</v>
      </c>
      <c r="R147" s="52">
        <f t="shared" ref="R147" si="38">SUM(R148:R151)</f>
        <v>0</v>
      </c>
      <c r="S147" s="65"/>
      <c r="T147" s="52"/>
      <c r="U147" s="65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8"/>
      <c r="J148" s="63">
        <v>262</v>
      </c>
      <c r="K148" s="78">
        <v>260</v>
      </c>
      <c r="L148" s="63"/>
      <c r="M148" s="78"/>
      <c r="N148" s="63"/>
      <c r="O148" s="63"/>
      <c r="P148" s="63"/>
      <c r="Q148" s="63"/>
      <c r="R148" s="63"/>
      <c r="S148" s="63"/>
      <c r="T148" s="63"/>
      <c r="U148" s="63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8"/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8"/>
      <c r="J150" s="63"/>
      <c r="K150" s="78"/>
      <c r="L150" s="63"/>
      <c r="M150" s="78"/>
      <c r="N150" s="63"/>
      <c r="O150" s="63"/>
      <c r="P150" s="63"/>
      <c r="Q150" s="63"/>
      <c r="R150" s="63"/>
      <c r="S150" s="63"/>
      <c r="T150" s="63"/>
      <c r="U150" s="63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8">
        <v>1300</v>
      </c>
      <c r="J151" s="63"/>
      <c r="K151" s="78"/>
      <c r="L151" s="63">
        <v>750</v>
      </c>
      <c r="M151" s="78">
        <v>900</v>
      </c>
      <c r="N151" s="63"/>
      <c r="O151" s="63"/>
      <c r="P151" s="63"/>
      <c r="Q151" s="63"/>
      <c r="R151" s="63"/>
      <c r="S151" s="63"/>
      <c r="T151" s="63"/>
      <c r="U151" s="63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39">D130+D134+D136+D139+D140+D143+D147</f>
        <v>28553</v>
      </c>
      <c r="E152" s="19">
        <f t="shared" si="39"/>
        <v>30240</v>
      </c>
      <c r="F152" s="19">
        <f t="shared" si="39"/>
        <v>7565</v>
      </c>
      <c r="G152" s="19">
        <f t="shared" si="39"/>
        <v>8120</v>
      </c>
      <c r="H152" s="19">
        <f t="shared" si="39"/>
        <v>1860</v>
      </c>
      <c r="I152" s="59">
        <f t="shared" si="39"/>
        <v>1860</v>
      </c>
      <c r="J152" s="59">
        <f t="shared" si="39"/>
        <v>10482</v>
      </c>
      <c r="K152" s="59">
        <f t="shared" si="39"/>
        <v>10480</v>
      </c>
      <c r="L152" s="59">
        <f t="shared" si="39"/>
        <v>7126</v>
      </c>
      <c r="M152" s="59">
        <f t="shared" si="39"/>
        <v>8780</v>
      </c>
      <c r="N152" s="59">
        <f t="shared" si="39"/>
        <v>0</v>
      </c>
      <c r="O152" s="59">
        <f t="shared" si="39"/>
        <v>0</v>
      </c>
      <c r="P152" s="59">
        <f t="shared" si="39"/>
        <v>960</v>
      </c>
      <c r="Q152" s="59">
        <f t="shared" si="39"/>
        <v>1000</v>
      </c>
      <c r="R152" s="59">
        <f>R130+R134+R136+R139+R140+R143+R147</f>
        <v>560</v>
      </c>
      <c r="S152" s="71"/>
      <c r="T152" s="59"/>
      <c r="U152" s="71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40">SUM(G154:G155)</f>
        <v>1200</v>
      </c>
      <c r="H153" s="10">
        <f t="shared" si="40"/>
        <v>650</v>
      </c>
      <c r="I153" s="52">
        <f t="shared" si="40"/>
        <v>600</v>
      </c>
      <c r="J153" s="52">
        <f t="shared" si="40"/>
        <v>0</v>
      </c>
      <c r="K153" s="52">
        <f t="shared" si="40"/>
        <v>0</v>
      </c>
      <c r="L153" s="52">
        <f t="shared" si="40"/>
        <v>50</v>
      </c>
      <c r="M153" s="52">
        <f t="shared" si="40"/>
        <v>200</v>
      </c>
      <c r="N153" s="52">
        <f t="shared" si="40"/>
        <v>0</v>
      </c>
      <c r="O153" s="52">
        <f t="shared" si="40"/>
        <v>0</v>
      </c>
      <c r="P153" s="52">
        <f t="shared" si="40"/>
        <v>0</v>
      </c>
      <c r="Q153" s="52">
        <f t="shared" si="40"/>
        <v>0</v>
      </c>
      <c r="R153" s="52">
        <f t="shared" ref="R153" si="41">SUM(R154:R155)</f>
        <v>0</v>
      </c>
      <c r="S153" s="65"/>
      <c r="T153" s="52"/>
      <c r="U153" s="65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8">
        <v>600</v>
      </c>
      <c r="J154" s="63"/>
      <c r="K154" s="78"/>
      <c r="L154" s="63">
        <v>50</v>
      </c>
      <c r="M154" s="78">
        <v>200</v>
      </c>
      <c r="N154" s="63"/>
      <c r="O154" s="63"/>
      <c r="P154" s="63"/>
      <c r="Q154" s="63"/>
      <c r="R154" s="63"/>
      <c r="S154" s="63"/>
      <c r="T154" s="63"/>
      <c r="U154" s="63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2">
        <v>0</v>
      </c>
      <c r="J156" s="52">
        <v>0</v>
      </c>
      <c r="K156" s="80"/>
      <c r="L156" s="65">
        <v>0</v>
      </c>
      <c r="M156" s="80">
        <v>0</v>
      </c>
      <c r="N156" s="65">
        <v>0</v>
      </c>
      <c r="O156" s="65"/>
      <c r="P156" s="65">
        <v>0</v>
      </c>
      <c r="Q156" s="65">
        <v>0</v>
      </c>
      <c r="R156" s="65">
        <v>0</v>
      </c>
      <c r="S156" s="65"/>
      <c r="T156" s="65"/>
      <c r="U156" s="65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42">E153+E156</f>
        <v>2000</v>
      </c>
      <c r="F157" s="19">
        <f t="shared" si="42"/>
        <v>1000</v>
      </c>
      <c r="G157" s="19">
        <f t="shared" si="42"/>
        <v>1200</v>
      </c>
      <c r="H157" s="19">
        <f t="shared" si="42"/>
        <v>650</v>
      </c>
      <c r="I157" s="59">
        <f t="shared" si="42"/>
        <v>600</v>
      </c>
      <c r="J157" s="59">
        <f t="shared" si="42"/>
        <v>0</v>
      </c>
      <c r="K157" s="59">
        <f t="shared" si="42"/>
        <v>0</v>
      </c>
      <c r="L157" s="59">
        <f t="shared" si="42"/>
        <v>50</v>
      </c>
      <c r="M157" s="59">
        <f t="shared" si="42"/>
        <v>200</v>
      </c>
      <c r="N157" s="59">
        <f t="shared" si="42"/>
        <v>0</v>
      </c>
      <c r="O157" s="59">
        <f t="shared" si="42"/>
        <v>0</v>
      </c>
      <c r="P157" s="59">
        <f t="shared" si="42"/>
        <v>0</v>
      </c>
      <c r="Q157" s="59">
        <f t="shared" si="42"/>
        <v>0</v>
      </c>
      <c r="R157" s="59">
        <f t="shared" ref="R157" si="43">R153+R156</f>
        <v>0</v>
      </c>
      <c r="S157" s="71"/>
      <c r="T157" s="59"/>
      <c r="U157" s="71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44">SUM(G159:G160)</f>
        <v>3015</v>
      </c>
      <c r="H158" s="10">
        <f t="shared" si="44"/>
        <v>841</v>
      </c>
      <c r="I158" s="52">
        <f t="shared" si="44"/>
        <v>675</v>
      </c>
      <c r="J158" s="52">
        <f t="shared" si="44"/>
        <v>3006</v>
      </c>
      <c r="K158" s="52">
        <f t="shared" si="44"/>
        <v>2965</v>
      </c>
      <c r="L158" s="52">
        <f t="shared" si="44"/>
        <v>2657</v>
      </c>
      <c r="M158" s="80"/>
      <c r="N158" s="52">
        <f t="shared" si="44"/>
        <v>1187</v>
      </c>
      <c r="O158" s="52">
        <f t="shared" si="44"/>
        <v>1287</v>
      </c>
      <c r="P158" s="52">
        <f t="shared" si="44"/>
        <v>0</v>
      </c>
      <c r="Q158" s="52">
        <f t="shared" si="44"/>
        <v>0</v>
      </c>
      <c r="R158" s="52">
        <f t="shared" ref="R158" si="45">SUM(R159:R160)</f>
        <v>150</v>
      </c>
      <c r="S158" s="65"/>
      <c r="T158" s="52"/>
      <c r="U158" s="65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8"/>
      <c r="J159" s="63"/>
      <c r="K159" s="78"/>
      <c r="L159" s="63"/>
      <c r="M159" s="78"/>
      <c r="N159" s="63"/>
      <c r="O159" s="63"/>
      <c r="P159" s="63"/>
      <c r="Q159" s="63"/>
      <c r="R159" s="63"/>
      <c r="S159" s="63"/>
      <c r="T159" s="63"/>
      <c r="U159" s="63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8">
        <f>ROUND((I118+I129+I152+I156)*0.27,0)</f>
        <v>675</v>
      </c>
      <c r="J160" s="63">
        <v>3006</v>
      </c>
      <c r="K160" s="58">
        <f>ROUND((K118+K129+K152+K156)*0.27,0)</f>
        <v>2965</v>
      </c>
      <c r="L160" s="63">
        <v>2657</v>
      </c>
      <c r="M160" s="58"/>
      <c r="N160" s="63">
        <v>1187</v>
      </c>
      <c r="O160" s="58">
        <f>ROUND((O118+O129+O152+O156)*0.2,0)</f>
        <v>1287</v>
      </c>
      <c r="P160" s="63"/>
      <c r="Q160" s="63">
        <v>0</v>
      </c>
      <c r="R160" s="63">
        <v>150</v>
      </c>
      <c r="S160" s="63"/>
      <c r="T160" s="63"/>
      <c r="U160" s="63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46">SUM(G162:G164)</f>
        <v>0</v>
      </c>
      <c r="H161" s="10">
        <f t="shared" si="46"/>
        <v>0</v>
      </c>
      <c r="I161" s="52">
        <f t="shared" si="46"/>
        <v>0</v>
      </c>
      <c r="J161" s="52">
        <f t="shared" si="46"/>
        <v>0</v>
      </c>
      <c r="K161" s="52">
        <f t="shared" si="46"/>
        <v>0</v>
      </c>
      <c r="L161" s="52">
        <f t="shared" si="46"/>
        <v>0</v>
      </c>
      <c r="M161" s="52">
        <f t="shared" si="46"/>
        <v>0</v>
      </c>
      <c r="N161" s="52">
        <f t="shared" si="46"/>
        <v>0</v>
      </c>
      <c r="O161" s="52">
        <f t="shared" si="46"/>
        <v>0</v>
      </c>
      <c r="P161" s="52">
        <f t="shared" si="46"/>
        <v>0</v>
      </c>
      <c r="Q161" s="65">
        <v>0</v>
      </c>
      <c r="R161" s="52">
        <f t="shared" ref="R161" si="47">SUM(R162:R164)</f>
        <v>0</v>
      </c>
      <c r="S161" s="65"/>
      <c r="T161" s="52"/>
      <c r="U161" s="65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48">SUM(G166:G169)</f>
        <v>0</v>
      </c>
      <c r="H165" s="10">
        <f t="shared" si="48"/>
        <v>0</v>
      </c>
      <c r="I165" s="52">
        <f t="shared" si="48"/>
        <v>0</v>
      </c>
      <c r="J165" s="52">
        <f t="shared" si="48"/>
        <v>0</v>
      </c>
      <c r="K165" s="52">
        <f t="shared" si="48"/>
        <v>0</v>
      </c>
      <c r="L165" s="52">
        <f t="shared" si="48"/>
        <v>0</v>
      </c>
      <c r="M165" s="52">
        <f t="shared" si="48"/>
        <v>0</v>
      </c>
      <c r="N165" s="52">
        <f t="shared" si="48"/>
        <v>0</v>
      </c>
      <c r="O165" s="52">
        <f t="shared" si="48"/>
        <v>0</v>
      </c>
      <c r="P165" s="52">
        <f t="shared" si="48"/>
        <v>0</v>
      </c>
      <c r="Q165" s="65">
        <v>0</v>
      </c>
      <c r="R165" s="52">
        <f t="shared" ref="R165" si="49">SUM(R166:R169)</f>
        <v>0</v>
      </c>
      <c r="S165" s="65"/>
      <c r="T165" s="52"/>
      <c r="U165" s="65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8"/>
      <c r="J166" s="63"/>
      <c r="K166" s="78"/>
      <c r="L166" s="63"/>
      <c r="M166" s="78"/>
      <c r="N166" s="63"/>
      <c r="O166" s="63"/>
      <c r="P166" s="63"/>
      <c r="Q166" s="63"/>
      <c r="R166" s="63"/>
      <c r="S166" s="63"/>
      <c r="T166" s="63"/>
      <c r="U166" s="63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8"/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8"/>
      <c r="J168" s="63"/>
      <c r="K168" s="78"/>
      <c r="L168" s="63"/>
      <c r="M168" s="78"/>
      <c r="N168" s="63"/>
      <c r="O168" s="63"/>
      <c r="P168" s="63"/>
      <c r="Q168" s="63"/>
      <c r="R168" s="63"/>
      <c r="S168" s="63"/>
      <c r="T168" s="63"/>
      <c r="U168" s="63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8"/>
      <c r="J169" s="63"/>
      <c r="K169" s="78"/>
      <c r="L169" s="63"/>
      <c r="M169" s="78"/>
      <c r="N169" s="63"/>
      <c r="O169" s="63"/>
      <c r="P169" s="63"/>
      <c r="Q169" s="63"/>
      <c r="R169" s="63"/>
      <c r="S169" s="63"/>
      <c r="T169" s="63"/>
      <c r="U169" s="63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50">SUM(G171:G172)</f>
        <v>0</v>
      </c>
      <c r="H170" s="10">
        <f t="shared" si="50"/>
        <v>0</v>
      </c>
      <c r="I170" s="52">
        <f t="shared" si="50"/>
        <v>0</v>
      </c>
      <c r="J170" s="52">
        <f t="shared" si="50"/>
        <v>0</v>
      </c>
      <c r="K170" s="52">
        <f t="shared" si="50"/>
        <v>0</v>
      </c>
      <c r="L170" s="52">
        <f t="shared" si="50"/>
        <v>0</v>
      </c>
      <c r="M170" s="52">
        <f t="shared" si="50"/>
        <v>0</v>
      </c>
      <c r="N170" s="52">
        <f t="shared" si="50"/>
        <v>0</v>
      </c>
      <c r="O170" s="52">
        <f t="shared" si="50"/>
        <v>0</v>
      </c>
      <c r="P170" s="52">
        <f t="shared" si="50"/>
        <v>0</v>
      </c>
      <c r="Q170" s="65">
        <v>0</v>
      </c>
      <c r="R170" s="52">
        <f t="shared" ref="R170" si="51">SUM(R171:R172)</f>
        <v>0</v>
      </c>
      <c r="S170" s="65"/>
      <c r="T170" s="52"/>
      <c r="U170" s="65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8"/>
      <c r="J171" s="63"/>
      <c r="K171" s="78"/>
      <c r="L171" s="63"/>
      <c r="M171" s="78"/>
      <c r="N171" s="63"/>
      <c r="O171" s="63"/>
      <c r="P171" s="63"/>
      <c r="Q171" s="63"/>
      <c r="R171" s="63"/>
      <c r="S171" s="63"/>
      <c r="T171" s="63"/>
      <c r="U171" s="63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8"/>
      <c r="J172" s="63"/>
      <c r="K172" s="78"/>
      <c r="L172" s="63"/>
      <c r="M172" s="78"/>
      <c r="N172" s="63"/>
      <c r="O172" s="63"/>
      <c r="P172" s="63"/>
      <c r="Q172" s="63"/>
      <c r="R172" s="63"/>
      <c r="S172" s="63"/>
      <c r="T172" s="63"/>
      <c r="U172" s="63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52">SUM(G174:G177)</f>
        <v>200</v>
      </c>
      <c r="H173" s="10">
        <f t="shared" si="52"/>
        <v>0</v>
      </c>
      <c r="I173" s="52">
        <f t="shared" si="52"/>
        <v>100</v>
      </c>
      <c r="J173" s="52">
        <f t="shared" si="52"/>
        <v>20</v>
      </c>
      <c r="K173" s="52">
        <f t="shared" si="52"/>
        <v>100</v>
      </c>
      <c r="L173" s="52">
        <f t="shared" si="52"/>
        <v>0</v>
      </c>
      <c r="M173" s="52">
        <f t="shared" si="52"/>
        <v>200</v>
      </c>
      <c r="N173" s="52">
        <f t="shared" si="52"/>
        <v>0</v>
      </c>
      <c r="O173" s="52">
        <f t="shared" si="52"/>
        <v>200</v>
      </c>
      <c r="P173" s="52">
        <f t="shared" si="52"/>
        <v>0</v>
      </c>
      <c r="Q173" s="65">
        <v>0</v>
      </c>
      <c r="R173" s="52">
        <f t="shared" ref="R173" si="53">SUM(R174:R177)</f>
        <v>0</v>
      </c>
      <c r="S173" s="65"/>
      <c r="T173" s="52"/>
      <c r="U173" s="65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8"/>
      <c r="J174" s="63"/>
      <c r="K174" s="78"/>
      <c r="L174" s="63"/>
      <c r="M174" s="78"/>
      <c r="N174" s="63"/>
      <c r="O174" s="63"/>
      <c r="P174" s="63"/>
      <c r="Q174" s="63"/>
      <c r="R174" s="63"/>
      <c r="S174" s="63"/>
      <c r="T174" s="63"/>
      <c r="U174" s="63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8"/>
      <c r="J175" s="63">
        <v>20</v>
      </c>
      <c r="K175" s="78"/>
      <c r="L175" s="63"/>
      <c r="M175" s="78"/>
      <c r="N175" s="63"/>
      <c r="O175" s="63"/>
      <c r="P175" s="63"/>
      <c r="Q175" s="63"/>
      <c r="R175" s="63"/>
      <c r="S175" s="63"/>
      <c r="T175" s="63"/>
      <c r="U175" s="63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8"/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64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8">
        <v>100</v>
      </c>
      <c r="J177" s="63"/>
      <c r="K177" s="78">
        <v>100</v>
      </c>
      <c r="L177" s="63"/>
      <c r="M177" s="78">
        <v>200</v>
      </c>
      <c r="N177" s="63"/>
      <c r="O177" s="63">
        <v>200</v>
      </c>
      <c r="P177" s="63"/>
      <c r="Q177" s="63"/>
      <c r="R177" s="63"/>
      <c r="S177" s="63"/>
      <c r="T177" s="63"/>
      <c r="U177" s="63"/>
    </row>
    <row r="178" spans="1:264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54">E158+E161+E165+E170+E173</f>
        <v>8742</v>
      </c>
      <c r="F178" s="19">
        <f t="shared" si="54"/>
        <v>3130</v>
      </c>
      <c r="G178" s="19">
        <f t="shared" si="54"/>
        <v>3215</v>
      </c>
      <c r="H178" s="19">
        <f t="shared" si="54"/>
        <v>841</v>
      </c>
      <c r="I178" s="59">
        <f t="shared" si="54"/>
        <v>775</v>
      </c>
      <c r="J178" s="59">
        <f t="shared" si="54"/>
        <v>3026</v>
      </c>
      <c r="K178" s="59">
        <f t="shared" si="54"/>
        <v>3065</v>
      </c>
      <c r="L178" s="59">
        <f t="shared" si="54"/>
        <v>2657</v>
      </c>
      <c r="M178" s="59">
        <f t="shared" si="54"/>
        <v>200</v>
      </c>
      <c r="N178" s="59">
        <f t="shared" si="54"/>
        <v>1187</v>
      </c>
      <c r="O178" s="59">
        <f t="shared" ref="O178" si="55">O158+O161+O165+O170+O173</f>
        <v>1487</v>
      </c>
      <c r="P178" s="59">
        <f t="shared" si="54"/>
        <v>0</v>
      </c>
      <c r="Q178" s="59">
        <f t="shared" si="54"/>
        <v>0</v>
      </c>
      <c r="R178" s="59">
        <f t="shared" ref="R178" si="56">R158+R161+R165+R170+R173</f>
        <v>150</v>
      </c>
      <c r="S178" s="71"/>
      <c r="T178" s="59"/>
      <c r="U178" s="71"/>
    </row>
    <row r="179" spans="1:264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57">D118+D129+D152+D157+D178</f>
        <v>54014</v>
      </c>
      <c r="E179" s="23">
        <f t="shared" si="57"/>
        <v>54468</v>
      </c>
      <c r="F179" s="23">
        <f t="shared" si="57"/>
        <v>14610</v>
      </c>
      <c r="G179" s="23">
        <f t="shared" si="57"/>
        <v>15581</v>
      </c>
      <c r="H179" s="23">
        <f t="shared" si="57"/>
        <v>3956</v>
      </c>
      <c r="I179" s="60">
        <f t="shared" si="57"/>
        <v>3875</v>
      </c>
      <c r="J179" s="60">
        <f t="shared" si="57"/>
        <v>14158</v>
      </c>
      <c r="K179" s="60">
        <f t="shared" si="57"/>
        <v>14045</v>
      </c>
      <c r="L179" s="60">
        <f t="shared" si="57"/>
        <v>12498</v>
      </c>
      <c r="M179" s="60">
        <f t="shared" si="57"/>
        <v>12045</v>
      </c>
      <c r="N179" s="60">
        <f t="shared" si="57"/>
        <v>7122</v>
      </c>
      <c r="O179" s="60">
        <f t="shared" si="57"/>
        <v>7922</v>
      </c>
      <c r="P179" s="60">
        <f t="shared" si="57"/>
        <v>960</v>
      </c>
      <c r="Q179" s="60">
        <f t="shared" ref="Q179" si="58">Q118+Q129+Q152+Q157+Q178</f>
        <v>1000</v>
      </c>
      <c r="R179" s="60">
        <f>R118+R129+R152+R157+R178</f>
        <v>710</v>
      </c>
      <c r="S179" s="72"/>
      <c r="T179" s="60"/>
      <c r="U179" s="72"/>
    </row>
    <row r="180" spans="1:264" ht="14.1" customHeight="1" x14ac:dyDescent="0.2">
      <c r="A180" s="916" t="s">
        <v>291</v>
      </c>
      <c r="B180" s="917"/>
      <c r="C180" s="918"/>
      <c r="D180" s="28">
        <f t="shared" ref="D180:P180" si="59">D92+D179</f>
        <v>189949</v>
      </c>
      <c r="E180" s="28">
        <f t="shared" si="59"/>
        <v>206099</v>
      </c>
      <c r="F180" s="28">
        <f t="shared" si="59"/>
        <v>62506</v>
      </c>
      <c r="G180" s="28">
        <f t="shared" si="59"/>
        <v>70680</v>
      </c>
      <c r="H180" s="28">
        <f t="shared" si="59"/>
        <v>21616</v>
      </c>
      <c r="I180" s="61">
        <f t="shared" si="59"/>
        <v>23124</v>
      </c>
      <c r="J180" s="61">
        <f t="shared" si="59"/>
        <v>14158</v>
      </c>
      <c r="K180" s="61">
        <f t="shared" si="59"/>
        <v>14045</v>
      </c>
      <c r="L180" s="61">
        <f t="shared" si="59"/>
        <v>82877</v>
      </c>
      <c r="M180" s="61">
        <f t="shared" si="59"/>
        <v>89328</v>
      </c>
      <c r="N180" s="61">
        <f t="shared" si="59"/>
        <v>7122</v>
      </c>
      <c r="O180" s="61">
        <f t="shared" si="59"/>
        <v>7922</v>
      </c>
      <c r="P180" s="61">
        <f t="shared" si="59"/>
        <v>960</v>
      </c>
      <c r="Q180" s="61">
        <f t="shared" ref="Q180" si="60">Q92+Q179</f>
        <v>1000</v>
      </c>
      <c r="R180" s="61">
        <f>R92+R179</f>
        <v>710</v>
      </c>
      <c r="S180" s="73"/>
      <c r="T180" s="61"/>
      <c r="U180" s="73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</row>
    <row r="181" spans="1:264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</row>
    <row r="182" spans="1:264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</row>
    <row r="183" spans="1:264" ht="14.1" customHeight="1" x14ac:dyDescent="0.25"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264" s="1" customFormat="1" ht="12.75" customHeight="1" x14ac:dyDescent="0.25">
      <c r="A184" s="913" t="s">
        <v>410</v>
      </c>
      <c r="B184" s="913"/>
      <c r="C184" s="913"/>
      <c r="D184" s="913"/>
      <c r="E184" s="913"/>
      <c r="F184" s="913"/>
      <c r="G184" s="913"/>
      <c r="H184" s="913"/>
      <c r="I184" s="913"/>
      <c r="J184" s="913"/>
      <c r="K184" s="913"/>
      <c r="L184" s="913" t="s">
        <v>410</v>
      </c>
      <c r="M184" s="913"/>
      <c r="N184" s="913"/>
      <c r="O184" s="913"/>
      <c r="P184" s="913"/>
      <c r="Q184" s="913"/>
      <c r="R184" s="913"/>
      <c r="S184" s="913"/>
      <c r="T184" s="913"/>
      <c r="U184" s="913"/>
    </row>
    <row r="185" spans="1:264" s="1" customFormat="1" ht="14.1" customHeight="1" x14ac:dyDescent="0.25">
      <c r="A185" s="955" t="s">
        <v>0</v>
      </c>
      <c r="B185" s="954" t="s">
        <v>1</v>
      </c>
      <c r="C185" s="955" t="s">
        <v>2</v>
      </c>
      <c r="D185" s="906" t="s">
        <v>260</v>
      </c>
      <c r="E185" s="956" t="s">
        <v>259</v>
      </c>
      <c r="F185" s="952" t="s">
        <v>411</v>
      </c>
      <c r="G185" s="957"/>
      <c r="H185" s="952" t="s">
        <v>412</v>
      </c>
      <c r="I185" s="953"/>
      <c r="J185" s="960" t="s">
        <v>413</v>
      </c>
      <c r="K185" s="961"/>
      <c r="L185" s="960" t="s">
        <v>414</v>
      </c>
      <c r="M185" s="961"/>
      <c r="N185" s="960" t="s">
        <v>415</v>
      </c>
      <c r="O185" s="962"/>
      <c r="P185" s="958" t="s">
        <v>416</v>
      </c>
      <c r="Q185" s="959"/>
      <c r="R185" s="958" t="s">
        <v>417</v>
      </c>
      <c r="S185" s="959"/>
      <c r="T185" s="958"/>
      <c r="U185" s="959"/>
    </row>
    <row r="186" spans="1:264" s="3" customFormat="1" ht="27" customHeight="1" x14ac:dyDescent="0.25">
      <c r="A186" s="913"/>
      <c r="B186" s="914"/>
      <c r="C186" s="913"/>
      <c r="D186" s="915"/>
      <c r="E186" s="906"/>
      <c r="F186" s="50" t="s">
        <v>260</v>
      </c>
      <c r="G186" s="50" t="s">
        <v>259</v>
      </c>
      <c r="H186" s="50" t="s">
        <v>260</v>
      </c>
      <c r="I186" s="49" t="s">
        <v>259</v>
      </c>
      <c r="J186" s="50" t="s">
        <v>260</v>
      </c>
      <c r="K186" s="49" t="s">
        <v>259</v>
      </c>
      <c r="L186" s="62" t="s">
        <v>260</v>
      </c>
      <c r="M186" s="77" t="s">
        <v>259</v>
      </c>
      <c r="N186" s="83" t="s">
        <v>260</v>
      </c>
      <c r="O186" s="48" t="s">
        <v>259</v>
      </c>
      <c r="P186" s="84" t="s">
        <v>260</v>
      </c>
      <c r="Q186" s="85" t="s">
        <v>259</v>
      </c>
      <c r="R186" s="84" t="s">
        <v>260</v>
      </c>
      <c r="S186" s="85" t="s">
        <v>259</v>
      </c>
      <c r="T186" s="84"/>
      <c r="U186" s="85"/>
    </row>
    <row r="187" spans="1:264" ht="5.6" customHeight="1" x14ac:dyDescent="0.25"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64" ht="14.1" customHeight="1" x14ac:dyDescent="0.25">
      <c r="A188" s="912" t="s">
        <v>194</v>
      </c>
      <c r="B188" s="912"/>
      <c r="C188" s="912"/>
      <c r="D188" s="912"/>
      <c r="E188" s="912"/>
      <c r="F188" s="912"/>
      <c r="G188" s="912"/>
      <c r="H188" s="912"/>
      <c r="I188" s="912"/>
      <c r="J188" s="64"/>
      <c r="K188" s="79"/>
      <c r="L188" s="64"/>
      <c r="M188" s="79"/>
      <c r="N188" s="64"/>
      <c r="O188" s="64"/>
      <c r="P188" s="64"/>
      <c r="Q188" s="64"/>
      <c r="R188" s="64"/>
      <c r="S188" s="64"/>
      <c r="T188" s="64"/>
      <c r="U188" s="64"/>
    </row>
    <row r="189" spans="1:264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64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61">F190+H190+J190+L190+N190+P190+R190</f>
        <v>0</v>
      </c>
      <c r="E190" s="26">
        <f t="shared" si="61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64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61"/>
        <v>200</v>
      </c>
      <c r="E191" s="26">
        <f t="shared" si="61"/>
        <v>200</v>
      </c>
      <c r="F191" s="26">
        <v>200</v>
      </c>
      <c r="G191" s="26">
        <v>200</v>
      </c>
      <c r="H191" s="26"/>
      <c r="I191" s="58"/>
      <c r="J191" s="63"/>
      <c r="K191" s="78"/>
      <c r="L191" s="63"/>
      <c r="M191" s="78"/>
      <c r="N191" s="63"/>
      <c r="O191" s="63"/>
      <c r="P191" s="63"/>
      <c r="Q191" s="63"/>
      <c r="R191" s="63"/>
      <c r="S191" s="63"/>
      <c r="T191" s="63"/>
      <c r="U191" s="63"/>
    </row>
    <row r="192" spans="1:264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61"/>
        <v>350</v>
      </c>
      <c r="E192" s="26">
        <f t="shared" si="61"/>
        <v>350</v>
      </c>
      <c r="F192" s="26">
        <v>100</v>
      </c>
      <c r="G192" s="26">
        <v>100</v>
      </c>
      <c r="H192" s="26">
        <v>100</v>
      </c>
      <c r="I192" s="58">
        <v>100</v>
      </c>
      <c r="J192" s="63"/>
      <c r="K192" s="78"/>
      <c r="L192" s="63">
        <v>150</v>
      </c>
      <c r="M192" s="78">
        <v>150</v>
      </c>
      <c r="N192" s="63"/>
      <c r="O192" s="63"/>
      <c r="P192" s="63"/>
      <c r="Q192" s="63"/>
      <c r="R192" s="63"/>
      <c r="S192" s="63"/>
      <c r="T192" s="63"/>
      <c r="U192" s="63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61"/>
        <v>0</v>
      </c>
      <c r="E193" s="26">
        <f t="shared" si="61"/>
        <v>0</v>
      </c>
      <c r="F193" s="26"/>
      <c r="G193" s="26"/>
      <c r="H193" s="26"/>
      <c r="I193" s="58"/>
      <c r="J193" s="63"/>
      <c r="K193" s="78"/>
      <c r="L193" s="63"/>
      <c r="M193" s="78"/>
      <c r="N193" s="63"/>
      <c r="O193" s="63"/>
      <c r="P193" s="63"/>
      <c r="Q193" s="63"/>
      <c r="R193" s="63"/>
      <c r="S193" s="63"/>
      <c r="T193" s="63"/>
      <c r="U193" s="63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61"/>
        <v>0</v>
      </c>
      <c r="E194" s="26">
        <f t="shared" si="61"/>
        <v>0</v>
      </c>
      <c r="F194" s="26"/>
      <c r="G194" s="26"/>
      <c r="H194" s="26"/>
      <c r="I194" s="58"/>
      <c r="J194" s="63"/>
      <c r="K194" s="78"/>
      <c r="L194" s="63"/>
      <c r="M194" s="78"/>
      <c r="N194" s="63"/>
      <c r="O194" s="63"/>
      <c r="P194" s="63"/>
      <c r="Q194" s="63"/>
      <c r="R194" s="63"/>
      <c r="S194" s="63"/>
      <c r="T194" s="63"/>
      <c r="U194" s="63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61"/>
        <v>0</v>
      </c>
      <c r="E195" s="26">
        <f t="shared" si="61"/>
        <v>0</v>
      </c>
      <c r="F195" s="26"/>
      <c r="G195" s="26"/>
      <c r="H195" s="26"/>
      <c r="I195" s="58"/>
      <c r="J195" s="63"/>
      <c r="K195" s="78"/>
      <c r="L195" s="63"/>
      <c r="M195" s="78"/>
      <c r="N195" s="63"/>
      <c r="O195" s="63"/>
      <c r="P195" s="63"/>
      <c r="Q195" s="63"/>
      <c r="R195" s="63"/>
      <c r="S195" s="63"/>
      <c r="T195" s="63"/>
      <c r="U195" s="63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61"/>
        <v>149</v>
      </c>
      <c r="E196" s="26">
        <f t="shared" si="61"/>
        <v>149</v>
      </c>
      <c r="F196" s="26">
        <v>81</v>
      </c>
      <c r="G196" s="26">
        <f>ROUND((G189+G190+G191+G192+G193)*0.27,0)</f>
        <v>81</v>
      </c>
      <c r="H196" s="26">
        <v>27</v>
      </c>
      <c r="I196" s="58">
        <f>ROUND((I189+I190+I191+I192+I193)*0.27,0)</f>
        <v>27</v>
      </c>
      <c r="J196" s="63"/>
      <c r="K196" s="78"/>
      <c r="L196" s="63">
        <v>41</v>
      </c>
      <c r="M196" s="58">
        <f>ROUND((M189+M190+M191+M192+M193)*0.27,0)</f>
        <v>41</v>
      </c>
      <c r="N196" s="63"/>
      <c r="O196" s="58">
        <f>ROUND((O189+O190+O191+O192+O193)*0.27,0)</f>
        <v>0</v>
      </c>
      <c r="P196" s="63"/>
      <c r="Q196" s="63"/>
      <c r="R196" s="63"/>
      <c r="S196" s="63"/>
      <c r="T196" s="63"/>
      <c r="U196" s="63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62">SUM(E189:E196)</f>
        <v>699</v>
      </c>
      <c r="F197" s="22">
        <f t="shared" si="62"/>
        <v>381</v>
      </c>
      <c r="G197" s="22">
        <f t="shared" si="62"/>
        <v>381</v>
      </c>
      <c r="H197" s="22">
        <f t="shared" si="62"/>
        <v>127</v>
      </c>
      <c r="I197" s="55">
        <f t="shared" si="62"/>
        <v>127</v>
      </c>
      <c r="J197" s="55">
        <f t="shared" si="62"/>
        <v>0</v>
      </c>
      <c r="K197" s="55">
        <f t="shared" si="62"/>
        <v>0</v>
      </c>
      <c r="L197" s="22">
        <f t="shared" si="62"/>
        <v>191</v>
      </c>
      <c r="M197" s="22">
        <f t="shared" si="62"/>
        <v>191</v>
      </c>
      <c r="N197" s="22">
        <f t="shared" si="62"/>
        <v>0</v>
      </c>
      <c r="O197" s="22">
        <f t="shared" si="62"/>
        <v>0</v>
      </c>
      <c r="P197" s="22">
        <f t="shared" si="62"/>
        <v>0</v>
      </c>
      <c r="Q197" s="68"/>
      <c r="R197" s="22">
        <f t="shared" ref="R197" si="63">SUM(R189:R196)</f>
        <v>0</v>
      </c>
      <c r="S197" s="68"/>
      <c r="T197" s="22"/>
      <c r="U197" s="68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61"/>
        <v>0</v>
      </c>
      <c r="E198" s="26">
        <f t="shared" si="61"/>
        <v>0</v>
      </c>
      <c r="F198" s="26"/>
      <c r="G198" s="26"/>
      <c r="H198" s="26"/>
      <c r="I198" s="58"/>
      <c r="J198" s="63"/>
      <c r="K198" s="78"/>
      <c r="L198" s="63"/>
      <c r="M198" s="78"/>
      <c r="N198" s="63"/>
      <c r="O198" s="63"/>
      <c r="P198" s="63"/>
      <c r="Q198" s="63"/>
      <c r="R198" s="63"/>
      <c r="S198" s="63"/>
      <c r="T198" s="63"/>
      <c r="U198" s="63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61"/>
        <v>0</v>
      </c>
      <c r="E199" s="26">
        <f t="shared" si="61"/>
        <v>0</v>
      </c>
      <c r="F199" s="26"/>
      <c r="G199" s="26"/>
      <c r="H199" s="26"/>
      <c r="I199" s="58"/>
      <c r="J199" s="63"/>
      <c r="K199" s="78"/>
      <c r="L199" s="63"/>
      <c r="M199" s="78"/>
      <c r="N199" s="63"/>
      <c r="O199" s="63"/>
      <c r="P199" s="63"/>
      <c r="Q199" s="63"/>
      <c r="R199" s="63"/>
      <c r="S199" s="63"/>
      <c r="T199" s="63"/>
      <c r="U199" s="63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61"/>
        <v>0</v>
      </c>
      <c r="E200" s="26">
        <f t="shared" si="61"/>
        <v>0</v>
      </c>
      <c r="F200" s="26"/>
      <c r="G200" s="26"/>
      <c r="H200" s="26"/>
      <c r="I200" s="58"/>
      <c r="J200" s="63"/>
      <c r="K200" s="78"/>
      <c r="L200" s="63"/>
      <c r="M200" s="78"/>
      <c r="N200" s="63"/>
      <c r="O200" s="63"/>
      <c r="P200" s="63"/>
      <c r="Q200" s="63"/>
      <c r="R200" s="63"/>
      <c r="S200" s="63"/>
      <c r="T200" s="63"/>
      <c r="U200" s="63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61"/>
        <v>0</v>
      </c>
      <c r="E201" s="26">
        <f t="shared" si="61"/>
        <v>0</v>
      </c>
      <c r="F201" s="26"/>
      <c r="G201" s="26"/>
      <c r="H201" s="26"/>
      <c r="I201" s="58"/>
      <c r="J201" s="63"/>
      <c r="K201" s="78"/>
      <c r="L201" s="63"/>
      <c r="M201" s="78"/>
      <c r="N201" s="63"/>
      <c r="O201" s="63"/>
      <c r="P201" s="63"/>
      <c r="Q201" s="63"/>
      <c r="R201" s="63"/>
      <c r="S201" s="63"/>
      <c r="T201" s="63"/>
      <c r="U201" s="63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61"/>
        <v>0</v>
      </c>
      <c r="E202" s="26">
        <f t="shared" si="61"/>
        <v>0</v>
      </c>
      <c r="F202" s="26">
        <v>0</v>
      </c>
      <c r="G202" s="26">
        <f>ROUND((G198+G199+G200+G201)*0.27,0)</f>
        <v>0</v>
      </c>
      <c r="H202" s="26">
        <v>0</v>
      </c>
      <c r="I202" s="58">
        <f>ROUND((I198+I199+I200+I201)*0.27,0)</f>
        <v>0</v>
      </c>
      <c r="J202" s="63"/>
      <c r="K202" s="78"/>
      <c r="L202" s="63"/>
      <c r="M202" s="78"/>
      <c r="N202" s="63"/>
      <c r="O202" s="63"/>
      <c r="P202" s="63"/>
      <c r="Q202" s="63"/>
      <c r="R202" s="63"/>
      <c r="S202" s="63"/>
      <c r="T202" s="63"/>
      <c r="U202" s="63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64">SUM(E198:E202)</f>
        <v>0</v>
      </c>
      <c r="F203" s="22">
        <f t="shared" si="64"/>
        <v>0</v>
      </c>
      <c r="G203" s="22">
        <f t="shared" si="64"/>
        <v>0</v>
      </c>
      <c r="H203" s="22">
        <f t="shared" si="64"/>
        <v>0</v>
      </c>
      <c r="I203" s="55">
        <f t="shared" si="64"/>
        <v>0</v>
      </c>
      <c r="J203" s="55">
        <f t="shared" si="64"/>
        <v>0</v>
      </c>
      <c r="K203" s="55">
        <f t="shared" si="64"/>
        <v>0</v>
      </c>
      <c r="L203" s="22">
        <f t="shared" si="64"/>
        <v>0</v>
      </c>
      <c r="M203" s="22">
        <f t="shared" si="64"/>
        <v>0</v>
      </c>
      <c r="N203" s="22">
        <f t="shared" si="64"/>
        <v>0</v>
      </c>
      <c r="O203" s="22">
        <f t="shared" si="64"/>
        <v>0</v>
      </c>
      <c r="P203" s="22">
        <f t="shared" si="64"/>
        <v>0</v>
      </c>
      <c r="Q203" s="68"/>
      <c r="R203" s="22">
        <f t="shared" ref="R203" si="65">SUM(R198:R202)</f>
        <v>0</v>
      </c>
      <c r="S203" s="68"/>
      <c r="T203" s="22"/>
      <c r="U203" s="68"/>
    </row>
    <row r="204" spans="1:21" s="3" customFormat="1" ht="14.1" customHeight="1" x14ac:dyDescent="0.25">
      <c r="A204" s="916" t="s">
        <v>293</v>
      </c>
      <c r="B204" s="917"/>
      <c r="C204" s="918" t="s">
        <v>238</v>
      </c>
      <c r="D204" s="28">
        <f>D197+D203</f>
        <v>699</v>
      </c>
      <c r="E204" s="28">
        <f t="shared" ref="E204:P204" si="66">E197+E203</f>
        <v>699</v>
      </c>
      <c r="F204" s="28">
        <f t="shared" si="66"/>
        <v>381</v>
      </c>
      <c r="G204" s="28">
        <f t="shared" si="66"/>
        <v>381</v>
      </c>
      <c r="H204" s="28">
        <f t="shared" si="66"/>
        <v>127</v>
      </c>
      <c r="I204" s="61">
        <f t="shared" si="66"/>
        <v>127</v>
      </c>
      <c r="J204" s="61">
        <f t="shared" si="66"/>
        <v>0</v>
      </c>
      <c r="K204" s="61">
        <f t="shared" si="66"/>
        <v>0</v>
      </c>
      <c r="L204" s="61">
        <f t="shared" si="66"/>
        <v>191</v>
      </c>
      <c r="M204" s="61">
        <f t="shared" si="66"/>
        <v>191</v>
      </c>
      <c r="N204" s="61">
        <f t="shared" si="66"/>
        <v>0</v>
      </c>
      <c r="O204" s="61">
        <f t="shared" si="66"/>
        <v>0</v>
      </c>
      <c r="P204" s="61">
        <f t="shared" si="66"/>
        <v>0</v>
      </c>
      <c r="Q204" s="73"/>
      <c r="R204" s="61">
        <f t="shared" ref="R204" si="67">R197+R203</f>
        <v>0</v>
      </c>
      <c r="S204" s="73"/>
      <c r="T204" s="61"/>
      <c r="U204" s="73"/>
    </row>
    <row r="205" spans="1:21" ht="6.8" customHeight="1" x14ac:dyDescent="0.25">
      <c r="J205" s="63"/>
      <c r="K205" s="78"/>
      <c r="L205" s="63"/>
      <c r="M205" s="78"/>
      <c r="N205" s="63"/>
      <c r="O205" s="63"/>
      <c r="P205" s="63"/>
      <c r="Q205" s="63"/>
      <c r="R205" s="63"/>
      <c r="S205" s="63"/>
      <c r="T205" s="63"/>
      <c r="U205" s="63"/>
    </row>
    <row r="206" spans="1:21" ht="14.1" customHeight="1" x14ac:dyDescent="0.25">
      <c r="A206" s="909" t="s">
        <v>294</v>
      </c>
      <c r="B206" s="910"/>
      <c r="C206" s="911"/>
      <c r="D206" s="30">
        <f>D204+D180</f>
        <v>190648</v>
      </c>
      <c r="E206" s="30">
        <f t="shared" ref="E206:Q206" si="68">E204+E180</f>
        <v>206798</v>
      </c>
      <c r="F206" s="30">
        <f t="shared" si="68"/>
        <v>62887</v>
      </c>
      <c r="G206" s="30">
        <f t="shared" si="68"/>
        <v>71061</v>
      </c>
      <c r="H206" s="30">
        <f t="shared" si="68"/>
        <v>21743</v>
      </c>
      <c r="I206" s="57">
        <f t="shared" si="68"/>
        <v>23251</v>
      </c>
      <c r="J206" s="57">
        <f t="shared" si="68"/>
        <v>14158</v>
      </c>
      <c r="K206" s="57">
        <f t="shared" si="68"/>
        <v>14045</v>
      </c>
      <c r="L206" s="57">
        <f t="shared" si="68"/>
        <v>83068</v>
      </c>
      <c r="M206" s="57">
        <f t="shared" si="68"/>
        <v>89519</v>
      </c>
      <c r="N206" s="57">
        <f t="shared" si="68"/>
        <v>7122</v>
      </c>
      <c r="O206" s="57">
        <f t="shared" si="68"/>
        <v>7922</v>
      </c>
      <c r="P206" s="57">
        <f t="shared" si="68"/>
        <v>960</v>
      </c>
      <c r="Q206" s="57">
        <f t="shared" si="68"/>
        <v>1000</v>
      </c>
      <c r="R206" s="57">
        <f t="shared" ref="R206" si="69">R204+R180</f>
        <v>710</v>
      </c>
      <c r="S206" s="70"/>
      <c r="T206" s="57"/>
      <c r="U206" s="70"/>
    </row>
    <row r="207" spans="1:21" ht="14.1" customHeight="1" x14ac:dyDescent="0.25"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21" ht="14.1" customHeight="1" x14ac:dyDescent="0.25"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21" ht="14.1" customHeight="1" x14ac:dyDescent="0.25"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21" ht="14.1" customHeight="1" x14ac:dyDescent="0.25"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21" s="1" customFormat="1" ht="12.75" customHeight="1" x14ac:dyDescent="0.25">
      <c r="A211" s="913" t="s">
        <v>410</v>
      </c>
      <c r="B211" s="913"/>
      <c r="C211" s="913"/>
      <c r="D211" s="913"/>
      <c r="E211" s="913"/>
      <c r="F211" s="913"/>
      <c r="G211" s="913"/>
      <c r="H211" s="913"/>
      <c r="I211" s="913"/>
      <c r="J211" s="913"/>
      <c r="K211" s="913"/>
      <c r="L211" s="913" t="s">
        <v>410</v>
      </c>
      <c r="M211" s="913"/>
      <c r="N211" s="913"/>
      <c r="O211" s="913"/>
      <c r="P211" s="913"/>
      <c r="Q211" s="913"/>
      <c r="R211" s="913"/>
      <c r="S211" s="913"/>
      <c r="T211" s="913"/>
      <c r="U211" s="913"/>
    </row>
    <row r="212" spans="1:21" s="1" customFormat="1" ht="14.1" customHeight="1" x14ac:dyDescent="0.25">
      <c r="A212" s="955" t="s">
        <v>0</v>
      </c>
      <c r="B212" s="954" t="s">
        <v>1</v>
      </c>
      <c r="C212" s="955" t="s">
        <v>2</v>
      </c>
      <c r="D212" s="906" t="s">
        <v>260</v>
      </c>
      <c r="E212" s="956" t="s">
        <v>259</v>
      </c>
      <c r="F212" s="952" t="s">
        <v>411</v>
      </c>
      <c r="G212" s="957"/>
      <c r="H212" s="952" t="s">
        <v>412</v>
      </c>
      <c r="I212" s="953"/>
      <c r="J212" s="960" t="s">
        <v>413</v>
      </c>
      <c r="K212" s="961"/>
      <c r="L212" s="960" t="s">
        <v>414</v>
      </c>
      <c r="M212" s="961"/>
      <c r="N212" s="960" t="s">
        <v>415</v>
      </c>
      <c r="O212" s="962"/>
      <c r="P212" s="958" t="s">
        <v>416</v>
      </c>
      <c r="Q212" s="959"/>
      <c r="R212" s="958" t="s">
        <v>417</v>
      </c>
      <c r="S212" s="959"/>
      <c r="T212" s="958"/>
      <c r="U212" s="959"/>
    </row>
    <row r="213" spans="1:21" s="3" customFormat="1" ht="23.3" customHeight="1" x14ac:dyDescent="0.25">
      <c r="A213" s="913"/>
      <c r="B213" s="914"/>
      <c r="C213" s="913"/>
      <c r="D213" s="915"/>
      <c r="E213" s="906"/>
      <c r="F213" s="50" t="s">
        <v>260</v>
      </c>
      <c r="G213" s="50" t="s">
        <v>259</v>
      </c>
      <c r="H213" s="50" t="s">
        <v>260</v>
      </c>
      <c r="I213" s="49" t="s">
        <v>259</v>
      </c>
      <c r="J213" s="50" t="s">
        <v>260</v>
      </c>
      <c r="K213" s="49" t="s">
        <v>259</v>
      </c>
      <c r="L213" s="62" t="s">
        <v>260</v>
      </c>
      <c r="M213" s="77" t="s">
        <v>259</v>
      </c>
      <c r="N213" s="83" t="s">
        <v>260</v>
      </c>
      <c r="O213" s="48" t="s">
        <v>259</v>
      </c>
      <c r="P213" s="84" t="s">
        <v>260</v>
      </c>
      <c r="Q213" s="85" t="s">
        <v>259</v>
      </c>
      <c r="R213" s="84" t="s">
        <v>260</v>
      </c>
      <c r="S213" s="85" t="s">
        <v>259</v>
      </c>
      <c r="T213" s="84"/>
      <c r="U213" s="85"/>
    </row>
    <row r="214" spans="1:21" ht="5.6" customHeight="1" x14ac:dyDescent="0.25">
      <c r="J214" s="63"/>
      <c r="K214" s="78"/>
      <c r="L214" s="63"/>
      <c r="M214" s="78"/>
      <c r="N214" s="63"/>
      <c r="O214" s="63"/>
      <c r="P214" s="63"/>
      <c r="Q214" s="63"/>
      <c r="R214" s="63"/>
      <c r="S214" s="63"/>
      <c r="T214" s="63"/>
      <c r="U214" s="63"/>
    </row>
    <row r="215" spans="1:21" ht="14.1" customHeight="1" x14ac:dyDescent="0.25">
      <c r="A215" s="912" t="s">
        <v>239</v>
      </c>
      <c r="B215" s="912"/>
      <c r="C215" s="912"/>
      <c r="D215" s="912"/>
      <c r="E215" s="912"/>
      <c r="F215" s="912"/>
      <c r="G215" s="912"/>
      <c r="H215" s="912"/>
      <c r="I215" s="912"/>
      <c r="J215" s="64"/>
      <c r="K215" s="79"/>
      <c r="L215" s="64"/>
      <c r="M215" s="79"/>
      <c r="N215" s="64"/>
      <c r="O215" s="64"/>
      <c r="P215" s="64"/>
      <c r="Q215" s="64"/>
      <c r="R215" s="64"/>
      <c r="S215" s="64"/>
      <c r="T215" s="64"/>
      <c r="U215" s="64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70">SUM(E217:E226)</f>
        <v>11910</v>
      </c>
      <c r="F216" s="23">
        <f t="shared" si="70"/>
        <v>0</v>
      </c>
      <c r="G216" s="23">
        <f t="shared" si="70"/>
        <v>0</v>
      </c>
      <c r="H216" s="23">
        <f t="shared" si="70"/>
        <v>200</v>
      </c>
      <c r="I216" s="60">
        <f t="shared" si="70"/>
        <v>318</v>
      </c>
      <c r="J216" s="60">
        <f t="shared" si="70"/>
        <v>6775</v>
      </c>
      <c r="K216" s="60">
        <f t="shared" si="70"/>
        <v>6160</v>
      </c>
      <c r="L216" s="60">
        <f t="shared" ref="L216:Q216" si="71">SUM(L217:L226)</f>
        <v>3400</v>
      </c>
      <c r="M216" s="60">
        <f t="shared" si="71"/>
        <v>3400</v>
      </c>
      <c r="N216" s="60">
        <f t="shared" si="71"/>
        <v>5334</v>
      </c>
      <c r="O216" s="60">
        <f t="shared" si="71"/>
        <v>2032</v>
      </c>
      <c r="P216" s="60">
        <f t="shared" si="71"/>
        <v>0</v>
      </c>
      <c r="Q216" s="60">
        <f t="shared" si="71"/>
        <v>0</v>
      </c>
      <c r="R216" s="60">
        <f t="shared" ref="R216:S216" si="72">SUM(R217:R226)</f>
        <v>0</v>
      </c>
      <c r="S216" s="60">
        <f t="shared" si="72"/>
        <v>0</v>
      </c>
      <c r="T216" s="60"/>
      <c r="U216" s="72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73">F217+H217+J217+L217+N217+P217+R217</f>
        <v>0</v>
      </c>
      <c r="E217" s="26">
        <f t="shared" si="73"/>
        <v>0</v>
      </c>
      <c r="F217" s="26"/>
      <c r="G217" s="26"/>
      <c r="H217" s="26"/>
      <c r="I217" s="58"/>
      <c r="J217" s="63"/>
      <c r="K217" s="78"/>
      <c r="L217" s="63"/>
      <c r="M217" s="78"/>
      <c r="N217" s="63"/>
      <c r="O217" s="63"/>
      <c r="P217" s="63"/>
      <c r="Q217" s="63"/>
      <c r="R217" s="63"/>
      <c r="S217" s="63"/>
      <c r="T217" s="63"/>
      <c r="U217" s="63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73"/>
        <v>0</v>
      </c>
      <c r="E218" s="26">
        <f t="shared" si="73"/>
        <v>0</v>
      </c>
      <c r="F218" s="26"/>
      <c r="G218" s="26"/>
      <c r="H218" s="26"/>
      <c r="I218" s="58"/>
      <c r="J218" s="63"/>
      <c r="K218" s="78"/>
      <c r="L218" s="63"/>
      <c r="M218" s="78"/>
      <c r="N218" s="63"/>
      <c r="O218" s="63"/>
      <c r="P218" s="63"/>
      <c r="Q218" s="63"/>
      <c r="R218" s="63"/>
      <c r="S218" s="63"/>
      <c r="T218" s="63"/>
      <c r="U218" s="63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73"/>
        <v>0</v>
      </c>
      <c r="E219" s="26">
        <f t="shared" si="73"/>
        <v>0</v>
      </c>
      <c r="F219" s="26"/>
      <c r="G219" s="26"/>
      <c r="H219" s="26"/>
      <c r="I219" s="58"/>
      <c r="J219" s="63"/>
      <c r="K219" s="78"/>
      <c r="L219" s="63"/>
      <c r="M219" s="78"/>
      <c r="N219" s="63"/>
      <c r="O219" s="63"/>
      <c r="P219" s="63"/>
      <c r="Q219" s="63"/>
      <c r="R219" s="63"/>
      <c r="S219" s="63"/>
      <c r="T219" s="63"/>
      <c r="U219" s="63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73"/>
        <v>0</v>
      </c>
      <c r="E220" s="26">
        <f t="shared" si="73"/>
        <v>0</v>
      </c>
      <c r="F220" s="26"/>
      <c r="G220" s="26"/>
      <c r="H220" s="26"/>
      <c r="I220" s="58"/>
      <c r="J220" s="63"/>
      <c r="K220" s="78"/>
      <c r="L220" s="63"/>
      <c r="M220" s="78"/>
      <c r="N220" s="63"/>
      <c r="O220" s="63"/>
      <c r="P220" s="63"/>
      <c r="Q220" s="63"/>
      <c r="R220" s="63"/>
      <c r="S220" s="63"/>
      <c r="T220" s="63"/>
      <c r="U220" s="63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73"/>
        <v>13135</v>
      </c>
      <c r="E221" s="26">
        <f t="shared" si="73"/>
        <v>10100</v>
      </c>
      <c r="F221" s="26"/>
      <c r="G221" s="26"/>
      <c r="H221" s="26">
        <v>200</v>
      </c>
      <c r="I221" s="58">
        <v>250</v>
      </c>
      <c r="J221" s="63">
        <v>5335</v>
      </c>
      <c r="K221" s="78">
        <v>4850</v>
      </c>
      <c r="L221" s="63">
        <v>3400</v>
      </c>
      <c r="M221" s="78">
        <v>3400</v>
      </c>
      <c r="N221" s="63">
        <v>4200</v>
      </c>
      <c r="O221" s="63">
        <v>1600</v>
      </c>
      <c r="P221" s="63"/>
      <c r="Q221" s="63"/>
      <c r="R221" s="63"/>
      <c r="S221" s="63"/>
      <c r="T221" s="63"/>
      <c r="U221" s="63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73"/>
        <v>2574</v>
      </c>
      <c r="E222" s="26">
        <f t="shared" si="73"/>
        <v>1810</v>
      </c>
      <c r="F222" s="26"/>
      <c r="G222" s="26">
        <f>ROUND((G217+G218+G219+G220+G221)*0.27,0)</f>
        <v>0</v>
      </c>
      <c r="H222" s="26">
        <v>0</v>
      </c>
      <c r="I222" s="58">
        <f>ROUND((I217+I218+I219+I220+I221)*0.27,0)</f>
        <v>68</v>
      </c>
      <c r="J222" s="63">
        <v>1440</v>
      </c>
      <c r="K222" s="58">
        <f>ROUND((K217+K218+K219+K220+K221)*0.27,0)</f>
        <v>1310</v>
      </c>
      <c r="L222" s="63"/>
      <c r="M222" s="58">
        <v>0</v>
      </c>
      <c r="N222" s="63">
        <v>1134</v>
      </c>
      <c r="O222" s="58">
        <f>ROUND((O217+O218+O219+O220+O221)*0.27,0)</f>
        <v>432</v>
      </c>
      <c r="P222" s="63"/>
      <c r="Q222" s="63"/>
      <c r="R222" s="63"/>
      <c r="S222" s="63"/>
      <c r="T222" s="63"/>
      <c r="U222" s="63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73"/>
        <v>0</v>
      </c>
      <c r="E223" s="26">
        <f t="shared" si="73"/>
        <v>0</v>
      </c>
      <c r="F223" s="26"/>
      <c r="G223" s="26"/>
      <c r="H223" s="26">
        <v>0</v>
      </c>
      <c r="I223" s="58"/>
      <c r="J223" s="63"/>
      <c r="K223" s="78"/>
      <c r="L223" s="63"/>
      <c r="M223" s="78"/>
      <c r="N223" s="63"/>
      <c r="O223" s="63"/>
      <c r="P223" s="63"/>
      <c r="Q223" s="63"/>
      <c r="R223" s="63"/>
      <c r="S223" s="63"/>
      <c r="T223" s="63"/>
      <c r="U223" s="63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73"/>
        <v>0</v>
      </c>
      <c r="E224" s="26">
        <f t="shared" si="73"/>
        <v>0</v>
      </c>
      <c r="F224" s="26"/>
      <c r="G224" s="26"/>
      <c r="H224" s="26"/>
      <c r="I224" s="58"/>
      <c r="J224" s="63"/>
      <c r="K224" s="78"/>
      <c r="L224" s="63"/>
      <c r="M224" s="78"/>
      <c r="N224" s="63"/>
      <c r="O224" s="63"/>
      <c r="P224" s="63"/>
      <c r="Q224" s="63"/>
      <c r="R224" s="63"/>
      <c r="S224" s="63"/>
      <c r="T224" s="63"/>
      <c r="U224" s="63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73"/>
        <v>0</v>
      </c>
      <c r="E225" s="26">
        <f t="shared" si="73"/>
        <v>0</v>
      </c>
      <c r="F225" s="26"/>
      <c r="G225" s="26"/>
      <c r="H225" s="26"/>
      <c r="I225" s="58"/>
      <c r="J225" s="63"/>
      <c r="K225" s="78"/>
      <c r="L225" s="63"/>
      <c r="M225" s="78"/>
      <c r="N225" s="63"/>
      <c r="O225" s="63"/>
      <c r="P225" s="63"/>
      <c r="Q225" s="63"/>
      <c r="R225" s="63"/>
      <c r="S225" s="63"/>
      <c r="T225" s="63"/>
      <c r="U225" s="63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73"/>
        <v>0</v>
      </c>
      <c r="E226" s="26">
        <f t="shared" si="73"/>
        <v>0</v>
      </c>
      <c r="F226" s="26"/>
      <c r="G226" s="26"/>
      <c r="H226" s="26"/>
      <c r="I226" s="58"/>
      <c r="J226" s="63"/>
      <c r="K226" s="78"/>
      <c r="L226" s="63"/>
      <c r="M226" s="78"/>
      <c r="N226" s="63"/>
      <c r="O226" s="63"/>
      <c r="P226" s="63"/>
      <c r="Q226" s="63"/>
      <c r="R226" s="63"/>
      <c r="S226" s="63"/>
      <c r="T226" s="63"/>
      <c r="U226" s="63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60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/>
      <c r="U227" s="72"/>
    </row>
    <row r="228" spans="1:21" s="3" customFormat="1" ht="14.1" customHeight="1" x14ac:dyDescent="0.25">
      <c r="A228" s="909" t="s">
        <v>295</v>
      </c>
      <c r="B228" s="910"/>
      <c r="C228" s="911"/>
      <c r="D228" s="30">
        <f>D216+D227</f>
        <v>15709</v>
      </c>
      <c r="E228" s="30">
        <f t="shared" ref="E228:Q228" si="74">E216+E227</f>
        <v>11910</v>
      </c>
      <c r="F228" s="30">
        <f t="shared" si="74"/>
        <v>0</v>
      </c>
      <c r="G228" s="30">
        <f t="shared" si="74"/>
        <v>0</v>
      </c>
      <c r="H228" s="30">
        <f t="shared" si="74"/>
        <v>200</v>
      </c>
      <c r="I228" s="57">
        <f t="shared" si="74"/>
        <v>318</v>
      </c>
      <c r="J228" s="57">
        <f t="shared" si="74"/>
        <v>6775</v>
      </c>
      <c r="K228" s="57">
        <f t="shared" si="74"/>
        <v>6160</v>
      </c>
      <c r="L228" s="30">
        <f t="shared" si="74"/>
        <v>3400</v>
      </c>
      <c r="M228" s="30">
        <f t="shared" si="74"/>
        <v>3400</v>
      </c>
      <c r="N228" s="30">
        <f t="shared" si="74"/>
        <v>5334</v>
      </c>
      <c r="O228" s="30">
        <f t="shared" si="74"/>
        <v>2032</v>
      </c>
      <c r="P228" s="30">
        <f t="shared" si="74"/>
        <v>0</v>
      </c>
      <c r="Q228" s="30">
        <f t="shared" si="74"/>
        <v>0</v>
      </c>
      <c r="R228" s="30">
        <f t="shared" ref="R228:S228" si="75">R216+R227</f>
        <v>0</v>
      </c>
      <c r="S228" s="30">
        <f t="shared" si="75"/>
        <v>0</v>
      </c>
      <c r="T228" s="30"/>
      <c r="U228" s="70"/>
    </row>
  </sheetData>
  <sheetProtection selectLockedCells="1" selectUnlockedCells="1"/>
  <mergeCells count="69">
    <mergeCell ref="D212:D213"/>
    <mergeCell ref="L212:M212"/>
    <mergeCell ref="E212:E213"/>
    <mergeCell ref="F212:G212"/>
    <mergeCell ref="A100:I100"/>
    <mergeCell ref="A180:C180"/>
    <mergeCell ref="A185:A186"/>
    <mergeCell ref="B185:B186"/>
    <mergeCell ref="C185:C186"/>
    <mergeCell ref="D185:D186"/>
    <mergeCell ref="E185:E186"/>
    <mergeCell ref="F185:G185"/>
    <mergeCell ref="H185:I185"/>
    <mergeCell ref="H212:I212"/>
    <mergeCell ref="A211:K211"/>
    <mergeCell ref="P212:Q212"/>
    <mergeCell ref="N2:O2"/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A204:C204"/>
    <mergeCell ref="A206:C206"/>
    <mergeCell ref="A212:A213"/>
    <mergeCell ref="B212:B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C97:C98"/>
    <mergeCell ref="D97:D98"/>
    <mergeCell ref="E97:E98"/>
    <mergeCell ref="F97:G97"/>
    <mergeCell ref="H97:I97"/>
    <mergeCell ref="A2:A3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N97:O97"/>
    <mergeCell ref="N185:O185"/>
    <mergeCell ref="N212:O212"/>
    <mergeCell ref="P2:Q2"/>
    <mergeCell ref="P97:Q97"/>
    <mergeCell ref="P185:Q185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D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625" defaultRowHeight="14.1" customHeight="1" x14ac:dyDescent="0.25"/>
  <cols>
    <col min="1" max="1" width="5.625" style="4" customWidth="1"/>
    <col min="2" max="2" width="7.75" style="4" customWidth="1"/>
    <col min="3" max="3" width="31.625" style="5" customWidth="1"/>
    <col min="4" max="5" width="10.875" style="6" customWidth="1"/>
    <col min="6" max="6" width="9.875" style="6" bestFit="1" customWidth="1"/>
    <col min="7" max="7" width="9.875" style="6" customWidth="1"/>
    <col min="8" max="8" width="10.75" style="6" customWidth="1"/>
    <col min="9" max="21" width="12" style="6" customWidth="1"/>
    <col min="22" max="16384" width="11.625" style="5"/>
  </cols>
  <sheetData>
    <row r="1" spans="1:21" s="1" customFormat="1" ht="12.75" customHeight="1" x14ac:dyDescent="0.25">
      <c r="A1" s="919" t="s">
        <v>609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 t="s">
        <v>609</v>
      </c>
      <c r="O1" s="920"/>
      <c r="P1" s="920"/>
      <c r="Q1" s="920"/>
      <c r="R1" s="920"/>
      <c r="S1" s="920"/>
      <c r="T1" s="920"/>
      <c r="U1" s="921"/>
    </row>
    <row r="2" spans="1:21" s="1" customFormat="1" ht="14.1" customHeight="1" x14ac:dyDescent="0.25">
      <c r="A2" s="955" t="s">
        <v>0</v>
      </c>
      <c r="B2" s="954" t="s">
        <v>1</v>
      </c>
      <c r="C2" s="955" t="s">
        <v>2</v>
      </c>
      <c r="D2" s="906" t="s">
        <v>260</v>
      </c>
      <c r="E2" s="956" t="s">
        <v>259</v>
      </c>
      <c r="F2" s="952" t="s">
        <v>610</v>
      </c>
      <c r="G2" s="957"/>
      <c r="H2" s="952" t="s">
        <v>611</v>
      </c>
      <c r="I2" s="953"/>
      <c r="J2" s="966" t="s">
        <v>612</v>
      </c>
      <c r="K2" s="960"/>
      <c r="L2" s="969" t="s">
        <v>649</v>
      </c>
      <c r="M2" s="969"/>
      <c r="N2" s="969" t="s">
        <v>613</v>
      </c>
      <c r="O2" s="969"/>
      <c r="P2" s="970" t="s">
        <v>614</v>
      </c>
      <c r="Q2" s="959"/>
      <c r="R2" s="967" t="s">
        <v>615</v>
      </c>
      <c r="S2" s="968"/>
      <c r="T2" s="967" t="s">
        <v>616</v>
      </c>
      <c r="U2" s="968"/>
    </row>
    <row r="3" spans="1:21" s="3" customFormat="1" ht="25.5" customHeight="1" x14ac:dyDescent="0.25">
      <c r="A3" s="913"/>
      <c r="B3" s="914"/>
      <c r="C3" s="913"/>
      <c r="D3" s="915"/>
      <c r="E3" s="906"/>
      <c r="F3" s="98" t="s">
        <v>263</v>
      </c>
      <c r="G3" s="98" t="s">
        <v>259</v>
      </c>
      <c r="H3" s="98" t="s">
        <v>260</v>
      </c>
      <c r="I3" s="97" t="s">
        <v>259</v>
      </c>
      <c r="J3" s="62" t="s">
        <v>260</v>
      </c>
      <c r="K3" s="77" t="s">
        <v>259</v>
      </c>
      <c r="L3" s="159" t="s">
        <v>260</v>
      </c>
      <c r="M3" s="159" t="s">
        <v>259</v>
      </c>
      <c r="N3" s="159" t="s">
        <v>260</v>
      </c>
      <c r="O3" s="159" t="s">
        <v>259</v>
      </c>
      <c r="P3" s="84" t="s">
        <v>260</v>
      </c>
      <c r="Q3" s="85" t="s">
        <v>259</v>
      </c>
      <c r="R3" s="153" t="s">
        <v>260</v>
      </c>
      <c r="S3" s="154" t="s">
        <v>259</v>
      </c>
      <c r="T3" s="153" t="s">
        <v>260</v>
      </c>
      <c r="U3" s="154" t="s">
        <v>259</v>
      </c>
    </row>
    <row r="4" spans="1:21" ht="5.6" customHeight="1" x14ac:dyDescent="0.25">
      <c r="J4" s="63"/>
      <c r="K4" s="78"/>
      <c r="L4" s="158"/>
      <c r="M4" s="158"/>
    </row>
    <row r="5" spans="1:21" ht="14.1" customHeight="1" x14ac:dyDescent="0.25">
      <c r="A5" s="912" t="s">
        <v>3</v>
      </c>
      <c r="B5" s="912"/>
      <c r="C5" s="912"/>
      <c r="D5" s="912"/>
      <c r="E5" s="912"/>
      <c r="F5" s="912"/>
      <c r="G5" s="912"/>
      <c r="H5" s="912"/>
      <c r="I5" s="912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2"/>
      <c r="J6" s="65">
        <v>1450</v>
      </c>
      <c r="K6" s="65"/>
      <c r="L6" s="65">
        <v>0</v>
      </c>
      <c r="M6" s="52">
        <v>0</v>
      </c>
      <c r="N6" s="65">
        <v>13987</v>
      </c>
      <c r="O6" s="65">
        <v>12074</v>
      </c>
      <c r="P6" s="65">
        <v>3124</v>
      </c>
      <c r="Q6" s="65">
        <v>3124</v>
      </c>
      <c r="R6" s="65">
        <v>0</v>
      </c>
      <c r="S6" s="65">
        <v>0</v>
      </c>
      <c r="T6" s="65">
        <v>0</v>
      </c>
      <c r="U6" s="65">
        <v>0</v>
      </c>
    </row>
    <row r="7" spans="1:21" s="15" customFormat="1" ht="11.4" customHeight="1" x14ac:dyDescent="0.25">
      <c r="A7" s="11"/>
      <c r="B7" s="11"/>
      <c r="C7" s="12"/>
      <c r="D7" s="13"/>
      <c r="E7" s="13"/>
      <c r="F7" s="14"/>
      <c r="G7" s="14"/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2"/>
      <c r="J8" s="65">
        <v>0</v>
      </c>
      <c r="K8" s="65"/>
      <c r="L8" s="65">
        <v>0</v>
      </c>
      <c r="M8" s="80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2"/>
      <c r="J9" s="65">
        <v>0</v>
      </c>
      <c r="K9" s="65"/>
      <c r="L9" s="65">
        <v>0</v>
      </c>
      <c r="M9" s="80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2"/>
      <c r="J10" s="52">
        <f>SUM(J11:J12)</f>
        <v>123</v>
      </c>
      <c r="K10" s="52"/>
      <c r="L10" s="52">
        <v>0</v>
      </c>
      <c r="M10" s="52">
        <v>0</v>
      </c>
      <c r="N10" s="52">
        <v>0</v>
      </c>
      <c r="O10" s="52">
        <v>0</v>
      </c>
      <c r="P10" s="52">
        <f>SUM(P11:P12)</f>
        <v>0</v>
      </c>
      <c r="Q10" s="65">
        <v>0</v>
      </c>
      <c r="R10" s="52">
        <v>0</v>
      </c>
      <c r="S10" s="65">
        <v>0</v>
      </c>
      <c r="T10" s="52">
        <v>0</v>
      </c>
      <c r="U10" s="65">
        <v>0</v>
      </c>
    </row>
    <row r="11" spans="1:21" s="15" customFormat="1" ht="11.4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3"/>
      <c r="J11" s="66">
        <v>123</v>
      </c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4" si="1">F13+H13+J13+L13+N13+P13+R13+T13</f>
        <v>8000</v>
      </c>
      <c r="E13" s="9">
        <f t="shared" si="1"/>
        <v>5000</v>
      </c>
      <c r="F13" s="10">
        <v>8000</v>
      </c>
      <c r="G13" s="10">
        <v>5000</v>
      </c>
      <c r="H13" s="10">
        <v>0</v>
      </c>
      <c r="I13" s="52"/>
      <c r="J13" s="65">
        <v>0</v>
      </c>
      <c r="K13" s="65"/>
      <c r="L13" s="65">
        <v>0</v>
      </c>
      <c r="M13" s="80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1740</v>
      </c>
      <c r="E14" s="9">
        <f t="shared" si="1"/>
        <v>2644</v>
      </c>
      <c r="F14" s="10">
        <v>1740</v>
      </c>
      <c r="G14" s="10">
        <v>2644</v>
      </c>
      <c r="H14" s="10">
        <v>0</v>
      </c>
      <c r="I14" s="52"/>
      <c r="J14" s="65">
        <v>0</v>
      </c>
      <c r="K14" s="65"/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2">
        <v>0</v>
      </c>
      <c r="I16" s="52"/>
      <c r="J16" s="52">
        <v>0</v>
      </c>
      <c r="K16" s="52"/>
      <c r="L16" s="52">
        <v>0</v>
      </c>
      <c r="M16" s="52">
        <v>0</v>
      </c>
      <c r="N16" s="52">
        <f>SUM(N17:N18)</f>
        <v>1000</v>
      </c>
      <c r="O16" s="52">
        <f>SUM(O17:O18)</f>
        <v>800</v>
      </c>
      <c r="P16" s="52">
        <f>SUM(P17:P18)</f>
        <v>96</v>
      </c>
      <c r="Q16" s="52">
        <f>SUM(Q17:Q18)</f>
        <v>96</v>
      </c>
      <c r="R16" s="52">
        <v>0</v>
      </c>
      <c r="S16" s="65">
        <v>0</v>
      </c>
      <c r="T16" s="52">
        <v>0</v>
      </c>
      <c r="U16" s="65">
        <v>0</v>
      </c>
    </row>
    <row r="17" spans="1:21" s="15" customFormat="1" ht="11.4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3"/>
      <c r="J17" s="66"/>
      <c r="K17" s="81"/>
      <c r="L17" s="66"/>
      <c r="M17" s="81"/>
      <c r="N17" s="66"/>
      <c r="O17" s="66"/>
      <c r="P17" s="66">
        <v>96</v>
      </c>
      <c r="Q17" s="66">
        <v>96</v>
      </c>
      <c r="R17" s="66"/>
      <c r="S17" s="66"/>
      <c r="T17" s="66"/>
      <c r="U17" s="66"/>
    </row>
    <row r="18" spans="1:21" s="15" customFormat="1" ht="11.4" customHeight="1" x14ac:dyDescent="0.25">
      <c r="A18" s="11"/>
      <c r="B18" s="11"/>
      <c r="C18" s="12" t="s">
        <v>617</v>
      </c>
      <c r="D18" s="13"/>
      <c r="E18" s="13"/>
      <c r="F18" s="14">
        <v>11800</v>
      </c>
      <c r="G18" s="14">
        <v>11800</v>
      </c>
      <c r="H18" s="14"/>
      <c r="I18" s="53"/>
      <c r="J18" s="66"/>
      <c r="K18" s="81"/>
      <c r="L18" s="66"/>
      <c r="M18" s="81"/>
      <c r="N18" s="66">
        <v>1000</v>
      </c>
      <c r="O18" s="66">
        <v>800</v>
      </c>
      <c r="P18" s="66"/>
      <c r="Q18" s="66"/>
      <c r="R18" s="66"/>
      <c r="S18" s="66"/>
      <c r="T18" s="66"/>
      <c r="U18" s="66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2">F19+H19+J19+L19+N19+P19+R19+T19</f>
        <v>0</v>
      </c>
      <c r="E19" s="9">
        <f t="shared" si="2"/>
        <v>0</v>
      </c>
      <c r="F19" s="10">
        <v>0</v>
      </c>
      <c r="G19" s="10">
        <v>0</v>
      </c>
      <c r="H19" s="10">
        <v>0</v>
      </c>
      <c r="I19" s="52"/>
      <c r="J19" s="65">
        <v>0</v>
      </c>
      <c r="K19" s="80"/>
      <c r="L19" s="65">
        <v>0</v>
      </c>
      <c r="M19" s="80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2"/>
        <v>4810</v>
      </c>
      <c r="E20" s="9">
        <f t="shared" si="2"/>
        <v>4620</v>
      </c>
      <c r="F20" s="10">
        <v>4350</v>
      </c>
      <c r="G20" s="10">
        <v>4350</v>
      </c>
      <c r="H20" s="10">
        <v>150</v>
      </c>
      <c r="I20" s="52"/>
      <c r="J20" s="65">
        <v>30</v>
      </c>
      <c r="K20" s="80"/>
      <c r="L20" s="65">
        <v>0</v>
      </c>
      <c r="M20" s="80">
        <v>0</v>
      </c>
      <c r="N20" s="65">
        <v>270</v>
      </c>
      <c r="O20" s="65">
        <v>270</v>
      </c>
      <c r="P20" s="65">
        <v>10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2"/>
        <v>1200</v>
      </c>
      <c r="E21" s="9">
        <f t="shared" si="2"/>
        <v>1828</v>
      </c>
      <c r="F21" s="10">
        <v>1200</v>
      </c>
      <c r="G21" s="10">
        <f>G22+G23</f>
        <v>1768</v>
      </c>
      <c r="H21" s="10">
        <v>0</v>
      </c>
      <c r="I21" s="52"/>
      <c r="J21" s="65">
        <v>0</v>
      </c>
      <c r="K21" s="80"/>
      <c r="L21" s="65">
        <v>0</v>
      </c>
      <c r="M21" s="80">
        <v>0</v>
      </c>
      <c r="N21" s="65">
        <v>0</v>
      </c>
      <c r="O21" s="65">
        <f>O22+O23</f>
        <v>48</v>
      </c>
      <c r="P21" s="65">
        <f>P22</f>
        <v>0</v>
      </c>
      <c r="Q21" s="65">
        <f>Q22+Q23</f>
        <v>12</v>
      </c>
      <c r="R21" s="65">
        <v>0</v>
      </c>
      <c r="S21" s="65">
        <v>0</v>
      </c>
      <c r="T21" s="65">
        <v>0</v>
      </c>
      <c r="U21" s="65">
        <v>0</v>
      </c>
    </row>
    <row r="22" spans="1:21" s="3" customFormat="1" ht="12.75" customHeight="1" x14ac:dyDescent="0.25">
      <c r="A22" s="11"/>
      <c r="B22" s="11"/>
      <c r="C22" s="12" t="s">
        <v>1038</v>
      </c>
      <c r="D22" s="13"/>
      <c r="E22" s="13"/>
      <c r="F22" s="14"/>
      <c r="G22" s="14">
        <v>1000</v>
      </c>
      <c r="H22" s="14"/>
      <c r="I22" s="53"/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3" customFormat="1" ht="12.75" customHeight="1" x14ac:dyDescent="0.25">
      <c r="A23" s="11"/>
      <c r="B23" s="11"/>
      <c r="C23" s="12" t="s">
        <v>1275</v>
      </c>
      <c r="D23" s="13"/>
      <c r="E23" s="13"/>
      <c r="F23" s="14"/>
      <c r="G23" s="14">
        <v>768</v>
      </c>
      <c r="H23" s="14"/>
      <c r="I23" s="53"/>
      <c r="J23" s="66"/>
      <c r="K23" s="81"/>
      <c r="L23" s="66"/>
      <c r="M23" s="81"/>
      <c r="N23" s="66"/>
      <c r="O23" s="66">
        <v>48</v>
      </c>
      <c r="P23" s="66"/>
      <c r="Q23" s="66">
        <v>12</v>
      </c>
      <c r="R23" s="66"/>
      <c r="S23" s="66"/>
      <c r="T23" s="66"/>
      <c r="U23" s="66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3">F24+H24+J24+L24+N24+P24+R24+T24</f>
        <v>1440</v>
      </c>
      <c r="E24" s="9">
        <f t="shared" si="3"/>
        <v>3000</v>
      </c>
      <c r="F24" s="10">
        <f>F25</f>
        <v>1440</v>
      </c>
      <c r="G24" s="10">
        <f>G25</f>
        <v>3000</v>
      </c>
      <c r="H24" s="10">
        <v>0</v>
      </c>
      <c r="I24" s="52"/>
      <c r="J24" s="65">
        <v>0</v>
      </c>
      <c r="K24" s="80"/>
      <c r="L24" s="65">
        <v>0</v>
      </c>
      <c r="M24" s="80">
        <v>0</v>
      </c>
      <c r="N24" s="65">
        <v>0</v>
      </c>
      <c r="O24" s="65">
        <v>0</v>
      </c>
      <c r="P24" s="65">
        <f>P25</f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s="3" customFormat="1" ht="12.75" customHeight="1" x14ac:dyDescent="0.25">
      <c r="A25" s="11"/>
      <c r="B25" s="11"/>
      <c r="C25" s="12" t="s">
        <v>618</v>
      </c>
      <c r="D25" s="13"/>
      <c r="E25" s="13"/>
      <c r="F25" s="14">
        <v>1440</v>
      </c>
      <c r="G25" s="14">
        <v>3000</v>
      </c>
      <c r="H25" s="14"/>
      <c r="I25" s="53"/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3"/>
        <v>500</v>
      </c>
      <c r="E26" s="9">
        <f t="shared" si="3"/>
        <v>932</v>
      </c>
      <c r="F26" s="10">
        <v>500</v>
      </c>
      <c r="G26" s="10">
        <f>G27</f>
        <v>932</v>
      </c>
      <c r="H26" s="10">
        <v>0</v>
      </c>
      <c r="I26" s="52"/>
      <c r="J26" s="65">
        <v>0</v>
      </c>
      <c r="K26" s="80"/>
      <c r="L26" s="65">
        <v>0</v>
      </c>
      <c r="M26" s="80">
        <v>0</v>
      </c>
      <c r="N26" s="65">
        <v>0</v>
      </c>
      <c r="O26" s="65">
        <v>0</v>
      </c>
      <c r="P26" s="65">
        <f>P27</f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6"/>
      <c r="K27" s="81"/>
      <c r="L27" s="66"/>
      <c r="M27" s="14"/>
      <c r="N27" s="66"/>
      <c r="O27" s="66"/>
      <c r="P27" s="66"/>
      <c r="Q27" s="66"/>
      <c r="R27" s="66"/>
      <c r="S27" s="66"/>
      <c r="T27" s="66"/>
      <c r="U27" s="66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2"/>
      <c r="J28" s="65">
        <v>0</v>
      </c>
      <c r="K28" s="80"/>
      <c r="L28" s="65">
        <v>0</v>
      </c>
      <c r="M28" s="52">
        <v>0</v>
      </c>
      <c r="N28" s="65">
        <v>0</v>
      </c>
      <c r="O28" s="65">
        <v>200</v>
      </c>
      <c r="P28" s="65">
        <f>P29</f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s="15" customFormat="1" ht="11.4" customHeight="1" x14ac:dyDescent="0.2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3"/>
      <c r="J29" s="66"/>
      <c r="K29" s="81"/>
      <c r="L29" s="66"/>
      <c r="M29" s="81"/>
      <c r="N29" s="66"/>
      <c r="O29" s="66"/>
      <c r="P29" s="66"/>
      <c r="Q29" s="66"/>
      <c r="R29" s="66"/>
      <c r="S29" s="66"/>
      <c r="T29" s="66"/>
      <c r="U29" s="66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4">G6+G8+G9+G10+G13+G14+G16+G19+G20+G21+G24+G26+G28</f>
        <v>266968</v>
      </c>
      <c r="H30" s="18">
        <f t="shared" si="4"/>
        <v>6750</v>
      </c>
      <c r="I30" s="18">
        <f t="shared" si="4"/>
        <v>0</v>
      </c>
      <c r="J30" s="18">
        <f t="shared" si="4"/>
        <v>1603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15257</v>
      </c>
      <c r="O30" s="18">
        <f t="shared" si="4"/>
        <v>13392</v>
      </c>
      <c r="P30" s="18">
        <f t="shared" si="4"/>
        <v>3230</v>
      </c>
      <c r="Q30" s="18">
        <f t="shared" si="4"/>
        <v>3232</v>
      </c>
      <c r="R30" s="18">
        <f t="shared" si="4"/>
        <v>0</v>
      </c>
      <c r="S30" s="18">
        <f t="shared" si="4"/>
        <v>0</v>
      </c>
      <c r="T30" s="18">
        <f t="shared" si="4"/>
        <v>0</v>
      </c>
      <c r="U30" s="18">
        <f t="shared" si="4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5">F31+H31+J31+L31+N31+P31+R31+T31</f>
        <v>18336</v>
      </c>
      <c r="E31" s="9">
        <f t="shared" si="5"/>
        <v>0</v>
      </c>
      <c r="F31" s="10">
        <f>SUM(F32:F33)</f>
        <v>18336</v>
      </c>
      <c r="G31" s="10">
        <f>SUM(G32:G33)</f>
        <v>0</v>
      </c>
      <c r="H31" s="10">
        <v>0</v>
      </c>
      <c r="I31" s="52"/>
      <c r="J31" s="65">
        <v>0</v>
      </c>
      <c r="K31" s="80"/>
      <c r="L31" s="65">
        <v>0</v>
      </c>
      <c r="M31" s="80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15" customFormat="1" ht="11.4" customHeight="1" x14ac:dyDescent="0.25">
      <c r="A32" s="11"/>
      <c r="B32" s="11"/>
      <c r="C32" s="12" t="s">
        <v>619</v>
      </c>
      <c r="D32" s="13"/>
      <c r="E32" s="13"/>
      <c r="F32" s="14">
        <v>14016</v>
      </c>
      <c r="G32" s="14">
        <v>0</v>
      </c>
      <c r="H32" s="14"/>
      <c r="I32" s="53"/>
      <c r="J32" s="66"/>
      <c r="K32" s="81"/>
      <c r="L32" s="66"/>
      <c r="M32" s="81"/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" customHeight="1" x14ac:dyDescent="0.25">
      <c r="A33" s="11"/>
      <c r="B33" s="11"/>
      <c r="C33" s="12" t="s">
        <v>620</v>
      </c>
      <c r="D33" s="13"/>
      <c r="E33" s="13"/>
      <c r="F33" s="14">
        <v>4320</v>
      </c>
      <c r="G33" s="14">
        <v>0</v>
      </c>
      <c r="H33" s="14"/>
      <c r="I33" s="53"/>
      <c r="J33" s="66"/>
      <c r="K33" s="81"/>
      <c r="L33" s="66"/>
      <c r="M33" s="81"/>
      <c r="N33" s="66"/>
      <c r="O33" s="66"/>
      <c r="P33" s="66"/>
      <c r="Q33" s="66"/>
      <c r="R33" s="66"/>
      <c r="S33" s="66"/>
      <c r="T33" s="66"/>
      <c r="U33" s="66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5"/>
        <v>24843</v>
      </c>
      <c r="E34" s="9">
        <f t="shared" si="5"/>
        <v>5922</v>
      </c>
      <c r="F34" s="10">
        <f>F35</f>
        <v>21000</v>
      </c>
      <c r="G34" s="10">
        <f>G35</f>
        <v>5922</v>
      </c>
      <c r="H34" s="10">
        <v>0</v>
      </c>
      <c r="I34" s="52"/>
      <c r="J34" s="65">
        <v>0</v>
      </c>
      <c r="K34" s="80"/>
      <c r="L34" s="65">
        <f>L35</f>
        <v>3818</v>
      </c>
      <c r="M34" s="65">
        <f>M35</f>
        <v>0</v>
      </c>
      <c r="N34" s="65">
        <f>N35</f>
        <v>25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s="15" customFormat="1" ht="11.4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3"/>
      <c r="J35" s="66"/>
      <c r="K35" s="81"/>
      <c r="L35" s="66">
        <v>3818</v>
      </c>
      <c r="M35" s="81"/>
      <c r="N35" s="66">
        <v>25</v>
      </c>
      <c r="O35" s="66"/>
      <c r="P35" s="66"/>
      <c r="Q35" s="66"/>
      <c r="R35" s="66"/>
      <c r="S35" s="66"/>
      <c r="T35" s="66"/>
      <c r="U35" s="66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2"/>
      <c r="J36" s="65">
        <v>0</v>
      </c>
      <c r="K36" s="80"/>
      <c r="L36" s="65">
        <f>SUM(L37:L38)</f>
        <v>18694</v>
      </c>
      <c r="M36" s="65">
        <f>SUM(M37:M38)</f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f>SUM(U37:U38)</f>
        <v>40</v>
      </c>
    </row>
    <row r="37" spans="1:21" s="15" customFormat="1" ht="11.4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3"/>
      <c r="J37" s="66"/>
      <c r="K37" s="81"/>
      <c r="L37" s="66"/>
      <c r="M37" s="81"/>
      <c r="N37" s="66"/>
      <c r="O37" s="66"/>
      <c r="P37" s="66"/>
      <c r="Q37" s="66"/>
      <c r="R37" s="66"/>
      <c r="S37" s="66"/>
      <c r="T37" s="66"/>
      <c r="U37" s="66">
        <v>40</v>
      </c>
    </row>
    <row r="38" spans="1:21" s="15" customFormat="1" ht="11.4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3"/>
      <c r="J38" s="90"/>
      <c r="K38" s="90"/>
      <c r="L38" s="90">
        <v>18694</v>
      </c>
      <c r="M38" s="90"/>
      <c r="N38" s="90"/>
      <c r="O38" s="90"/>
      <c r="P38" s="90"/>
      <c r="Q38" s="66"/>
      <c r="R38" s="90"/>
      <c r="S38" s="66"/>
      <c r="T38" s="90"/>
      <c r="U38" s="66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6">G31+G34+G36</f>
        <v>8922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22512</v>
      </c>
      <c r="M39" s="18">
        <f t="shared" si="6"/>
        <v>0</v>
      </c>
      <c r="N39" s="18">
        <f t="shared" si="6"/>
        <v>25</v>
      </c>
      <c r="O39" s="18">
        <f t="shared" si="6"/>
        <v>0</v>
      </c>
      <c r="P39" s="18">
        <f t="shared" si="6"/>
        <v>0</v>
      </c>
      <c r="Q39" s="18">
        <f t="shared" si="6"/>
        <v>0</v>
      </c>
      <c r="R39" s="18">
        <f t="shared" si="6"/>
        <v>0</v>
      </c>
      <c r="S39" s="18">
        <f t="shared" si="6"/>
        <v>0</v>
      </c>
      <c r="T39" s="18">
        <f t="shared" si="6"/>
        <v>0</v>
      </c>
      <c r="U39" s="18">
        <f t="shared" si="6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7">D30+D39</f>
        <v>360270</v>
      </c>
      <c r="E40" s="22">
        <f t="shared" si="7"/>
        <v>292554</v>
      </c>
      <c r="F40" s="22">
        <f t="shared" si="7"/>
        <v>310893</v>
      </c>
      <c r="G40" s="22">
        <f t="shared" si="7"/>
        <v>275890</v>
      </c>
      <c r="H40" s="22">
        <f t="shared" si="7"/>
        <v>6750</v>
      </c>
      <c r="I40" s="55">
        <f t="shared" si="7"/>
        <v>0</v>
      </c>
      <c r="J40" s="55">
        <f t="shared" si="7"/>
        <v>1603</v>
      </c>
      <c r="K40" s="55">
        <f t="shared" si="7"/>
        <v>0</v>
      </c>
      <c r="L40" s="55">
        <f t="shared" si="7"/>
        <v>22512</v>
      </c>
      <c r="M40" s="55">
        <f t="shared" si="7"/>
        <v>0</v>
      </c>
      <c r="N40" s="55">
        <f t="shared" si="7"/>
        <v>15282</v>
      </c>
      <c r="O40" s="55">
        <f t="shared" si="7"/>
        <v>13392</v>
      </c>
      <c r="P40" s="55">
        <f t="shared" si="7"/>
        <v>3230</v>
      </c>
      <c r="Q40" s="55">
        <f t="shared" si="7"/>
        <v>3232</v>
      </c>
      <c r="R40" s="55">
        <f t="shared" ref="R40:U40" si="8">R30+R39</f>
        <v>0</v>
      </c>
      <c r="S40" s="55">
        <f t="shared" si="8"/>
        <v>0</v>
      </c>
      <c r="T40" s="55">
        <f t="shared" si="8"/>
        <v>0</v>
      </c>
      <c r="U40" s="55">
        <f t="shared" si="8"/>
        <v>40</v>
      </c>
    </row>
    <row r="41" spans="1:21" s="15" customFormat="1" ht="11.4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6">
        <f>ROUND((I6+I8+I9+I10+I13+I14+I34)*0.27,0)</f>
        <v>0</v>
      </c>
      <c r="J41" s="69">
        <v>425</v>
      </c>
      <c r="K41" s="56">
        <f>ROUND((K6+K8+K9+K10+K13+K14+K34)*0.27,0)</f>
        <v>0</v>
      </c>
      <c r="L41" s="69">
        <v>6078</v>
      </c>
      <c r="M41" s="13">
        <f>ROUND((M6+M8+M9+M10+M13+M14+M26+M28+M34)*0.27,0)</f>
        <v>0</v>
      </c>
      <c r="N41" s="69">
        <v>3776</v>
      </c>
      <c r="O41" s="56">
        <f>ROUND((O6+O8+O9+O10+O13+O14+O34)*0.27,0)</f>
        <v>3260</v>
      </c>
      <c r="P41" s="69">
        <v>843</v>
      </c>
      <c r="Q41" s="56">
        <f>ROUND((Q6+Q8+Q9+Q10+Q13+Q14+Q34)*0.27,0)</f>
        <v>843</v>
      </c>
      <c r="R41" s="69"/>
      <c r="S41" s="69"/>
      <c r="T41" s="69"/>
      <c r="U41" s="13">
        <f>ROUND((U6+U8+U9+U10+U13+U14+U26+U28+U34)*0.27,0)</f>
        <v>0</v>
      </c>
    </row>
    <row r="42" spans="1:21" s="15" customFormat="1" ht="11.4" customHeight="1" x14ac:dyDescent="0.25">
      <c r="A42" s="11"/>
      <c r="B42" s="11"/>
      <c r="C42" s="12" t="s">
        <v>61</v>
      </c>
      <c r="D42" s="13">
        <f t="shared" ref="D42:E44" si="9">H42+F42+L42+N42+P42+R42+T42+J42</f>
        <v>3161</v>
      </c>
      <c r="E42" s="13">
        <f t="shared" si="9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6"/>
      <c r="K42" s="13">
        <f>ROUND(K16*1.19*0.14+(K36)*1.19*0.27,0)</f>
        <v>0</v>
      </c>
      <c r="L42" s="66">
        <v>0</v>
      </c>
      <c r="M42" s="13">
        <f>ROUND(M16*1.19*0.14+(M36)*1.19*0.27,0)</f>
        <v>0</v>
      </c>
      <c r="N42" s="66">
        <v>167</v>
      </c>
      <c r="O42" s="13">
        <f>ROUND((O16+O17)*1.19*0.14+(O36)*1.19*0.27,0)</f>
        <v>133</v>
      </c>
      <c r="P42" s="66">
        <v>16</v>
      </c>
      <c r="Q42" s="13">
        <f>ROUND((Q16+Q17)*1.19*0.14+(Q36)*1.19*0.27,0)</f>
        <v>32</v>
      </c>
      <c r="R42" s="66"/>
      <c r="S42" s="66"/>
      <c r="T42" s="66"/>
      <c r="U42" s="13">
        <f>ROUND((U16+U17)*1.19*0.14+(U36)*1.19*0.27,0)</f>
        <v>13</v>
      </c>
    </row>
    <row r="43" spans="1:21" s="15" customFormat="1" ht="11.4" customHeight="1" x14ac:dyDescent="0.25">
      <c r="A43" s="11"/>
      <c r="B43" s="11"/>
      <c r="C43" s="12" t="s">
        <v>62</v>
      </c>
      <c r="D43" s="13">
        <f t="shared" si="9"/>
        <v>3545</v>
      </c>
      <c r="E43" s="13">
        <f t="shared" si="9"/>
        <v>3545</v>
      </c>
      <c r="F43" s="14">
        <v>3545</v>
      </c>
      <c r="G43" s="14">
        <v>3545</v>
      </c>
      <c r="H43" s="14">
        <v>0</v>
      </c>
      <c r="I43" s="53"/>
      <c r="J43" s="66"/>
      <c r="K43" s="81"/>
      <c r="L43" s="66">
        <v>0</v>
      </c>
      <c r="M43" s="81">
        <v>0</v>
      </c>
      <c r="N43" s="66"/>
      <c r="O43" s="81"/>
      <c r="P43" s="66"/>
      <c r="Q43" s="81"/>
      <c r="R43" s="66"/>
      <c r="S43" s="66"/>
      <c r="T43" s="66"/>
      <c r="U43" s="14"/>
    </row>
    <row r="44" spans="1:21" s="15" customFormat="1" ht="11.4" customHeight="1" x14ac:dyDescent="0.25">
      <c r="A44" s="11"/>
      <c r="B44" s="11"/>
      <c r="C44" s="12" t="s">
        <v>63</v>
      </c>
      <c r="D44" s="13">
        <f t="shared" si="9"/>
        <v>3081</v>
      </c>
      <c r="E44" s="13">
        <f t="shared" si="9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6"/>
      <c r="K44" s="14">
        <f>ROUND((K37+K17)*1.19*0.16,0)</f>
        <v>0</v>
      </c>
      <c r="L44" s="66">
        <v>0</v>
      </c>
      <c r="M44" s="14">
        <f>ROUND((M37+M17)*1.19*0.16,0)</f>
        <v>0</v>
      </c>
      <c r="N44" s="66">
        <v>190</v>
      </c>
      <c r="O44" s="14">
        <f>ROUND((O37+O17+O18)*1.19*0.16,0)</f>
        <v>152</v>
      </c>
      <c r="P44" s="66">
        <v>18</v>
      </c>
      <c r="Q44" s="14">
        <f>ROUND((Q37+Q17+Q18)*1.19*0.16,0)</f>
        <v>18</v>
      </c>
      <c r="R44" s="66"/>
      <c r="S44" s="66"/>
      <c r="T44" s="66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10">F41+F42+F43+F44</f>
        <v>75989</v>
      </c>
      <c r="G45" s="22">
        <f t="shared" si="10"/>
        <v>77447</v>
      </c>
      <c r="H45" s="22">
        <f t="shared" si="10"/>
        <v>1782</v>
      </c>
      <c r="I45" s="55">
        <f t="shared" si="10"/>
        <v>0</v>
      </c>
      <c r="J45" s="55">
        <f t="shared" si="10"/>
        <v>425</v>
      </c>
      <c r="K45" s="55">
        <f t="shared" si="10"/>
        <v>0</v>
      </c>
      <c r="L45" s="22">
        <f t="shared" si="10"/>
        <v>6078</v>
      </c>
      <c r="M45" s="22">
        <f t="shared" si="10"/>
        <v>0</v>
      </c>
      <c r="N45" s="22">
        <f t="shared" si="10"/>
        <v>4133</v>
      </c>
      <c r="O45" s="22">
        <f t="shared" si="10"/>
        <v>3545</v>
      </c>
      <c r="P45" s="22">
        <f t="shared" si="10"/>
        <v>877</v>
      </c>
      <c r="Q45" s="22">
        <f t="shared" si="10"/>
        <v>893</v>
      </c>
      <c r="R45" s="22">
        <f t="shared" ref="R45:U45" si="11">R41+R42+R43+R44</f>
        <v>0</v>
      </c>
      <c r="S45" s="22">
        <f t="shared" si="11"/>
        <v>0</v>
      </c>
      <c r="T45" s="22">
        <f t="shared" si="11"/>
        <v>0</v>
      </c>
      <c r="U45" s="22">
        <f t="shared" si="11"/>
        <v>21</v>
      </c>
    </row>
    <row r="46" spans="1:21" s="3" customFormat="1" ht="14.1" customHeight="1" x14ac:dyDescent="0.25">
      <c r="A46" s="963" t="s">
        <v>66</v>
      </c>
      <c r="B46" s="964"/>
      <c r="C46" s="965"/>
      <c r="D46" s="86">
        <f>D40+D45</f>
        <v>449554</v>
      </c>
      <c r="E46" s="86">
        <f>E40+E45</f>
        <v>374460</v>
      </c>
      <c r="F46" s="86">
        <f t="shared" ref="F46:Q46" si="12">F40+F45</f>
        <v>386882</v>
      </c>
      <c r="G46" s="86">
        <f t="shared" si="12"/>
        <v>353337</v>
      </c>
      <c r="H46" s="86">
        <f t="shared" si="12"/>
        <v>8532</v>
      </c>
      <c r="I46" s="87">
        <f t="shared" si="12"/>
        <v>0</v>
      </c>
      <c r="J46" s="87">
        <f t="shared" si="12"/>
        <v>2028</v>
      </c>
      <c r="K46" s="87">
        <f t="shared" si="12"/>
        <v>0</v>
      </c>
      <c r="L46" s="86">
        <f t="shared" si="12"/>
        <v>28590</v>
      </c>
      <c r="M46" s="86">
        <f t="shared" si="12"/>
        <v>0</v>
      </c>
      <c r="N46" s="86">
        <f t="shared" si="12"/>
        <v>19415</v>
      </c>
      <c r="O46" s="86">
        <f t="shared" si="12"/>
        <v>16937</v>
      </c>
      <c r="P46" s="86">
        <f t="shared" si="12"/>
        <v>4107</v>
      </c>
      <c r="Q46" s="86">
        <f t="shared" si="12"/>
        <v>4125</v>
      </c>
      <c r="R46" s="86">
        <f t="shared" ref="R46:U46" si="13">R40+R45</f>
        <v>0</v>
      </c>
      <c r="S46" s="86">
        <f t="shared" si="13"/>
        <v>0</v>
      </c>
      <c r="T46" s="86">
        <f t="shared" si="13"/>
        <v>0</v>
      </c>
      <c r="U46" s="86">
        <f t="shared" si="13"/>
        <v>61</v>
      </c>
    </row>
    <row r="47" spans="1:21" s="3" customFormat="1" ht="14.1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3" customFormat="1" ht="14.1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3" customFormat="1" ht="14.1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s="1" customFormat="1" ht="12.75" customHeight="1" x14ac:dyDescent="0.25">
      <c r="A50" s="919" t="s">
        <v>609</v>
      </c>
      <c r="B50" s="920"/>
      <c r="C50" s="920"/>
      <c r="D50" s="920"/>
      <c r="E50" s="920"/>
      <c r="F50" s="920"/>
      <c r="G50" s="920"/>
      <c r="H50" s="920"/>
      <c r="I50" s="920"/>
      <c r="J50" s="920"/>
      <c r="K50" s="920"/>
      <c r="L50" s="920"/>
      <c r="M50" s="920"/>
      <c r="N50" s="920" t="s">
        <v>609</v>
      </c>
      <c r="O50" s="920"/>
      <c r="P50" s="920"/>
      <c r="Q50" s="920"/>
      <c r="R50" s="920"/>
      <c r="S50" s="920"/>
      <c r="T50" s="920"/>
      <c r="U50" s="921"/>
    </row>
    <row r="51" spans="1:21" s="1" customFormat="1" ht="14.1" customHeight="1" x14ac:dyDescent="0.25">
      <c r="A51" s="955" t="s">
        <v>0</v>
      </c>
      <c r="B51" s="954" t="s">
        <v>1</v>
      </c>
      <c r="C51" s="955" t="s">
        <v>2</v>
      </c>
      <c r="D51" s="906" t="s">
        <v>260</v>
      </c>
      <c r="E51" s="956" t="s">
        <v>259</v>
      </c>
      <c r="F51" s="952" t="s">
        <v>610</v>
      </c>
      <c r="G51" s="957"/>
      <c r="H51" s="952" t="s">
        <v>611</v>
      </c>
      <c r="I51" s="953"/>
      <c r="J51" s="966" t="s">
        <v>612</v>
      </c>
      <c r="K51" s="960"/>
      <c r="L51" s="969" t="s">
        <v>649</v>
      </c>
      <c r="M51" s="969"/>
      <c r="N51" s="958" t="s">
        <v>613</v>
      </c>
      <c r="O51" s="959"/>
      <c r="P51" s="958" t="s">
        <v>614</v>
      </c>
      <c r="Q51" s="959"/>
      <c r="R51" s="967" t="s">
        <v>615</v>
      </c>
      <c r="S51" s="968"/>
      <c r="T51" s="967" t="s">
        <v>616</v>
      </c>
      <c r="U51" s="968"/>
    </row>
    <row r="52" spans="1:21" s="3" customFormat="1" ht="32.950000000000003" customHeight="1" x14ac:dyDescent="0.25">
      <c r="A52" s="913"/>
      <c r="B52" s="914"/>
      <c r="C52" s="913"/>
      <c r="D52" s="915"/>
      <c r="E52" s="906"/>
      <c r="F52" s="98" t="s">
        <v>263</v>
      </c>
      <c r="G52" s="98" t="s">
        <v>259</v>
      </c>
      <c r="H52" s="98" t="s">
        <v>260</v>
      </c>
      <c r="I52" s="97" t="s">
        <v>259</v>
      </c>
      <c r="J52" s="62" t="s">
        <v>260</v>
      </c>
      <c r="K52" s="77" t="s">
        <v>259</v>
      </c>
      <c r="L52" s="159" t="s">
        <v>260</v>
      </c>
      <c r="M52" s="159" t="s">
        <v>259</v>
      </c>
      <c r="N52" s="84" t="s">
        <v>260</v>
      </c>
      <c r="O52" s="85" t="s">
        <v>259</v>
      </c>
      <c r="P52" s="84" t="s">
        <v>260</v>
      </c>
      <c r="Q52" s="85" t="s">
        <v>259</v>
      </c>
      <c r="R52" s="153" t="s">
        <v>260</v>
      </c>
      <c r="S52" s="154" t="s">
        <v>259</v>
      </c>
      <c r="T52" s="153" t="s">
        <v>260</v>
      </c>
      <c r="U52" s="154" t="s">
        <v>259</v>
      </c>
    </row>
    <row r="53" spans="1:21" ht="5.6" customHeight="1" x14ac:dyDescent="0.25">
      <c r="J53" s="63"/>
      <c r="K53" s="78"/>
      <c r="L53" s="63"/>
      <c r="M53" s="78"/>
      <c r="N53" s="63"/>
      <c r="O53" s="63"/>
      <c r="P53" s="63"/>
      <c r="Q53" s="63"/>
      <c r="R53" s="63"/>
      <c r="S53" s="63"/>
      <c r="T53" s="63"/>
      <c r="U53" s="63"/>
    </row>
    <row r="54" spans="1:21" ht="14.1" customHeight="1" x14ac:dyDescent="0.25">
      <c r="A54" s="912" t="s">
        <v>288</v>
      </c>
      <c r="B54" s="912"/>
      <c r="C54" s="912"/>
      <c r="D54" s="912"/>
      <c r="E54" s="912"/>
      <c r="F54" s="912"/>
      <c r="G54" s="912"/>
      <c r="H54" s="912"/>
      <c r="I54" s="912"/>
      <c r="J54" s="64"/>
      <c r="K54" s="79"/>
      <c r="L54" s="64"/>
      <c r="M54" s="79"/>
      <c r="N54" s="64"/>
      <c r="O54" s="64"/>
      <c r="P54" s="64"/>
      <c r="Q54" s="64"/>
      <c r="R54" s="64"/>
      <c r="S54" s="64"/>
      <c r="T54" s="64"/>
      <c r="U54" s="64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2"/>
      <c r="J55" s="52">
        <v>0</v>
      </c>
      <c r="K55" s="52"/>
      <c r="L55" s="65">
        <v>0</v>
      </c>
      <c r="M55" s="65">
        <v>0</v>
      </c>
      <c r="N55" s="52">
        <v>0</v>
      </c>
      <c r="O55" s="65">
        <v>0</v>
      </c>
      <c r="P55" s="65">
        <f>SUM(P56:P61)</f>
        <v>0</v>
      </c>
      <c r="Q55" s="65">
        <v>0</v>
      </c>
      <c r="R55" s="65">
        <v>0</v>
      </c>
      <c r="S55" s="65">
        <v>0</v>
      </c>
      <c r="T55" s="65">
        <f>SUM(T56:T61)</f>
        <v>0</v>
      </c>
      <c r="U55" s="65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8"/>
      <c r="J56" s="63"/>
      <c r="K56" s="78"/>
      <c r="L56" s="63"/>
      <c r="M56" s="78"/>
      <c r="N56" s="63"/>
      <c r="O56" s="63"/>
      <c r="P56" s="63"/>
      <c r="Q56" s="63"/>
      <c r="R56" s="63"/>
      <c r="S56" s="63"/>
      <c r="T56" s="63"/>
      <c r="U56" s="63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8"/>
      <c r="J57" s="63"/>
      <c r="K57" s="78"/>
      <c r="L57" s="63"/>
      <c r="M57" s="78"/>
      <c r="N57" s="63"/>
      <c r="O57" s="63"/>
      <c r="P57" s="63"/>
      <c r="Q57" s="63"/>
      <c r="R57" s="63"/>
      <c r="S57" s="63"/>
      <c r="T57" s="63"/>
      <c r="U57" s="63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8"/>
      <c r="J58" s="63"/>
      <c r="K58" s="78"/>
      <c r="L58" s="63"/>
      <c r="M58" s="78"/>
      <c r="N58" s="63"/>
      <c r="O58" s="63"/>
      <c r="P58" s="63"/>
      <c r="Q58" s="63"/>
      <c r="R58" s="63"/>
      <c r="S58" s="63"/>
      <c r="T58" s="63"/>
      <c r="U58" s="63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8"/>
      <c r="J59" s="63"/>
      <c r="K59" s="78"/>
      <c r="L59" s="63"/>
      <c r="M59" s="78"/>
      <c r="N59" s="63"/>
      <c r="O59" s="63"/>
      <c r="P59" s="63"/>
      <c r="Q59" s="63"/>
      <c r="R59" s="63"/>
      <c r="S59" s="63"/>
      <c r="T59" s="63"/>
      <c r="U59" s="63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8"/>
      <c r="J60" s="63"/>
      <c r="K60" s="78"/>
      <c r="L60" s="63"/>
      <c r="M60" s="78"/>
      <c r="N60" s="63"/>
      <c r="O60" s="63"/>
      <c r="P60" s="63"/>
      <c r="Q60" s="63"/>
      <c r="R60" s="63"/>
      <c r="S60" s="63"/>
      <c r="T60" s="63"/>
      <c r="U60" s="63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8"/>
      <c r="J61" s="63"/>
      <c r="K61" s="78"/>
      <c r="L61" s="63"/>
      <c r="M61" s="78"/>
      <c r="N61" s="63"/>
      <c r="O61" s="63"/>
      <c r="P61" s="63"/>
      <c r="Q61" s="63"/>
      <c r="R61" s="63"/>
      <c r="S61" s="63"/>
      <c r="T61" s="63"/>
      <c r="U61" s="63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2"/>
      <c r="J62" s="52">
        <v>0</v>
      </c>
      <c r="K62" s="52"/>
      <c r="L62" s="65">
        <v>0</v>
      </c>
      <c r="M62" s="65">
        <v>0</v>
      </c>
      <c r="N62" s="10">
        <f>SUM(N63:N68)</f>
        <v>950</v>
      </c>
      <c r="O62" s="10">
        <f>SUM(O63:O68)</f>
        <v>1000</v>
      </c>
      <c r="P62" s="65">
        <f>SUM(P63:P68)</f>
        <v>420</v>
      </c>
      <c r="Q62" s="65">
        <f>SUM(Q63:Q68)</f>
        <v>300</v>
      </c>
      <c r="R62" s="65">
        <v>0</v>
      </c>
      <c r="S62" s="65">
        <v>0</v>
      </c>
      <c r="T62" s="65">
        <f>SUM(T63:T68)</f>
        <v>160</v>
      </c>
      <c r="U62" s="65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8"/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8"/>
      <c r="J64" s="63"/>
      <c r="K64" s="78"/>
      <c r="L64" s="63"/>
      <c r="M64" s="78"/>
      <c r="N64" s="63"/>
      <c r="O64" s="63"/>
      <c r="P64" s="63"/>
      <c r="Q64" s="63"/>
      <c r="R64" s="63"/>
      <c r="S64" s="63"/>
      <c r="T64" s="63">
        <v>150</v>
      </c>
      <c r="U64" s="63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8"/>
      <c r="J65" s="63"/>
      <c r="K65" s="78"/>
      <c r="L65" s="63"/>
      <c r="M65" s="78"/>
      <c r="N65" s="63"/>
      <c r="O65" s="63"/>
      <c r="P65" s="63"/>
      <c r="Q65" s="63"/>
      <c r="R65" s="63"/>
      <c r="S65" s="63"/>
      <c r="T65" s="63"/>
      <c r="U65" s="63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8"/>
      <c r="J66" s="63"/>
      <c r="K66" s="78"/>
      <c r="L66" s="63"/>
      <c r="M66" s="78"/>
      <c r="N66" s="63">
        <v>500</v>
      </c>
      <c r="O66" s="63">
        <v>500</v>
      </c>
      <c r="P66" s="63">
        <v>300</v>
      </c>
      <c r="Q66" s="63">
        <v>150</v>
      </c>
      <c r="R66" s="63"/>
      <c r="S66" s="63"/>
      <c r="T66" s="63"/>
      <c r="U66" s="63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8"/>
      <c r="J67" s="63"/>
      <c r="K67" s="78"/>
      <c r="L67" s="63"/>
      <c r="M67" s="78"/>
      <c r="N67" s="63">
        <v>400</v>
      </c>
      <c r="O67" s="63">
        <v>400</v>
      </c>
      <c r="P67" s="63">
        <v>100</v>
      </c>
      <c r="Q67" s="63">
        <v>100</v>
      </c>
      <c r="R67" s="63"/>
      <c r="S67" s="63"/>
      <c r="T67" s="63"/>
      <c r="U67" s="63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8"/>
      <c r="J68" s="63"/>
      <c r="K68" s="78"/>
      <c r="L68" s="63"/>
      <c r="M68" s="78"/>
      <c r="N68" s="63">
        <v>50</v>
      </c>
      <c r="O68" s="63">
        <v>100</v>
      </c>
      <c r="P68" s="63">
        <v>20</v>
      </c>
      <c r="Q68" s="63">
        <v>50</v>
      </c>
      <c r="R68" s="63"/>
      <c r="S68" s="63"/>
      <c r="T68" s="63">
        <v>10</v>
      </c>
      <c r="U68" s="63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2"/>
      <c r="J69" s="52">
        <v>0</v>
      </c>
      <c r="K69" s="52"/>
      <c r="L69" s="52">
        <v>0</v>
      </c>
      <c r="M69" s="52">
        <v>0</v>
      </c>
      <c r="N69" s="52">
        <v>0</v>
      </c>
      <c r="O69" s="52">
        <v>0</v>
      </c>
      <c r="P69" s="52">
        <f>SUM(P70:P71)</f>
        <v>0</v>
      </c>
      <c r="Q69" s="52">
        <f>SUM(Q70:Q71)</f>
        <v>0</v>
      </c>
      <c r="R69" s="52">
        <v>0</v>
      </c>
      <c r="S69" s="65">
        <v>0</v>
      </c>
      <c r="T69" s="52">
        <v>0</v>
      </c>
      <c r="U69" s="52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8"/>
      <c r="J70" s="63"/>
      <c r="K70" s="78"/>
      <c r="L70" s="63"/>
      <c r="M70" s="78"/>
      <c r="N70" s="63"/>
      <c r="O70" s="63"/>
      <c r="P70" s="63"/>
      <c r="Q70" s="63"/>
      <c r="R70" s="63"/>
      <c r="S70" s="63"/>
      <c r="T70" s="63"/>
      <c r="U70" s="63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8"/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4">G55+G62</f>
        <v>7000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950</v>
      </c>
      <c r="O72" s="19">
        <f t="shared" si="14"/>
        <v>1000</v>
      </c>
      <c r="P72" s="19">
        <f t="shared" si="14"/>
        <v>420</v>
      </c>
      <c r="Q72" s="19">
        <f t="shared" si="14"/>
        <v>300</v>
      </c>
      <c r="R72" s="19">
        <f t="shared" si="14"/>
        <v>0</v>
      </c>
      <c r="S72" s="19">
        <f t="shared" si="14"/>
        <v>0</v>
      </c>
      <c r="T72" s="19">
        <f t="shared" si="14"/>
        <v>160</v>
      </c>
      <c r="U72" s="19">
        <f t="shared" si="14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2"/>
      <c r="J73" s="52">
        <v>0</v>
      </c>
      <c r="K73" s="52"/>
      <c r="L73" s="52">
        <v>0</v>
      </c>
      <c r="M73" s="52">
        <v>0</v>
      </c>
      <c r="N73" s="10">
        <f>SUM(N74:N79)</f>
        <v>0</v>
      </c>
      <c r="O73" s="52">
        <v>0</v>
      </c>
      <c r="P73" s="52">
        <f>SUM(P74:P79)</f>
        <v>0</v>
      </c>
      <c r="Q73" s="52">
        <f>SUM(Q74:Q79)</f>
        <v>0</v>
      </c>
      <c r="R73" s="52">
        <v>0</v>
      </c>
      <c r="S73" s="65">
        <v>0</v>
      </c>
      <c r="T73" s="52">
        <f>SUM(T74:T79)</f>
        <v>1500</v>
      </c>
      <c r="U73" s="52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8"/>
      <c r="J74" s="63"/>
      <c r="K74" s="78"/>
      <c r="L74" s="63"/>
      <c r="M74" s="78"/>
      <c r="N74" s="63"/>
      <c r="O74" s="63"/>
      <c r="P74" s="63" t="s">
        <v>622</v>
      </c>
      <c r="Q74" s="63"/>
      <c r="R74" s="63"/>
      <c r="S74" s="63"/>
      <c r="T74" s="63"/>
      <c r="U74" s="63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8"/>
      <c r="J75" s="63"/>
      <c r="K75" s="78"/>
      <c r="L75" s="63"/>
      <c r="M75" s="78"/>
      <c r="N75" s="63"/>
      <c r="O75" s="63"/>
      <c r="P75" s="63"/>
      <c r="Q75" s="63"/>
      <c r="R75" s="63"/>
      <c r="S75" s="63"/>
      <c r="T75" s="63">
        <v>1500</v>
      </c>
      <c r="U75" s="63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8"/>
      <c r="J76" s="63"/>
      <c r="K76" s="78"/>
      <c r="L76" s="63"/>
      <c r="M76" s="78"/>
      <c r="N76" s="63"/>
      <c r="O76" s="63"/>
      <c r="P76" s="63"/>
      <c r="Q76" s="63"/>
      <c r="R76" s="63"/>
      <c r="S76" s="63"/>
      <c r="T76" s="63"/>
      <c r="U76" s="63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8"/>
      <c r="J77" s="63"/>
      <c r="K77" s="78"/>
      <c r="L77" s="63"/>
      <c r="M77" s="78"/>
      <c r="N77" s="63"/>
      <c r="O77" s="63"/>
      <c r="P77" s="63"/>
      <c r="Q77" s="63"/>
      <c r="R77" s="63"/>
      <c r="S77" s="63"/>
      <c r="T77" s="63"/>
      <c r="U77" s="63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8"/>
      <c r="J78" s="63"/>
      <c r="K78" s="78"/>
      <c r="L78" s="63"/>
      <c r="M78" s="78"/>
      <c r="N78" s="63"/>
      <c r="O78" s="63"/>
      <c r="P78" s="63"/>
      <c r="Q78" s="63"/>
      <c r="R78" s="63"/>
      <c r="S78" s="63"/>
      <c r="T78" s="63"/>
      <c r="U78" s="63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8"/>
      <c r="J79" s="63"/>
      <c r="K79" s="78"/>
      <c r="L79" s="63"/>
      <c r="M79" s="78"/>
      <c r="N79" s="63"/>
      <c r="O79" s="63"/>
      <c r="P79" s="63"/>
      <c r="Q79" s="63"/>
      <c r="R79" s="63"/>
      <c r="S79" s="63"/>
      <c r="T79" s="63"/>
      <c r="U79" s="63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2"/>
      <c r="J80" s="52">
        <v>0</v>
      </c>
      <c r="K80" s="52"/>
      <c r="L80" s="52">
        <v>0</v>
      </c>
      <c r="M80" s="52">
        <v>0</v>
      </c>
      <c r="N80" s="10">
        <f>SUM(N81:N82)</f>
        <v>230</v>
      </c>
      <c r="O80" s="10">
        <f>SUM(O81:O82)</f>
        <v>200</v>
      </c>
      <c r="P80" s="52">
        <f>SUM(P81:P82)</f>
        <v>50</v>
      </c>
      <c r="Q80" s="52">
        <f>SUM(Q81:Q82)</f>
        <v>50</v>
      </c>
      <c r="R80" s="52">
        <v>0</v>
      </c>
      <c r="S80" s="65">
        <v>0</v>
      </c>
      <c r="T80" s="52">
        <f>SUM(T81:T82)</f>
        <v>550</v>
      </c>
      <c r="U80" s="52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8"/>
      <c r="J81" s="63"/>
      <c r="K81" s="78"/>
      <c r="L81" s="63"/>
      <c r="M81" s="78"/>
      <c r="N81" s="63">
        <v>230</v>
      </c>
      <c r="O81" s="63">
        <v>200</v>
      </c>
      <c r="P81" s="63">
        <v>50</v>
      </c>
      <c r="Q81" s="63">
        <v>50</v>
      </c>
      <c r="R81" s="63"/>
      <c r="S81" s="63"/>
      <c r="T81" s="63">
        <v>550</v>
      </c>
      <c r="U81" s="63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8"/>
      <c r="J82" s="63"/>
      <c r="K82" s="78"/>
      <c r="L82" s="63"/>
      <c r="M82" s="78"/>
      <c r="N82" s="63"/>
      <c r="O82" s="63"/>
      <c r="P82" s="63"/>
      <c r="Q82" s="63"/>
      <c r="R82" s="63"/>
      <c r="S82" s="63"/>
      <c r="T82" s="63"/>
      <c r="U82" s="63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5">G73+G80</f>
        <v>24192</v>
      </c>
      <c r="H83" s="19">
        <f t="shared" si="15"/>
        <v>0</v>
      </c>
      <c r="I83" s="19">
        <f t="shared" si="15"/>
        <v>0</v>
      </c>
      <c r="J83" s="19">
        <f t="shared" si="15"/>
        <v>0</v>
      </c>
      <c r="K83" s="19">
        <f t="shared" si="15"/>
        <v>0</v>
      </c>
      <c r="L83" s="19">
        <f t="shared" si="15"/>
        <v>0</v>
      </c>
      <c r="M83" s="19">
        <f t="shared" si="15"/>
        <v>0</v>
      </c>
      <c r="N83" s="19">
        <f t="shared" si="15"/>
        <v>230</v>
      </c>
      <c r="O83" s="19">
        <f t="shared" si="15"/>
        <v>200</v>
      </c>
      <c r="P83" s="19">
        <f t="shared" si="15"/>
        <v>50</v>
      </c>
      <c r="Q83" s="19">
        <f t="shared" si="15"/>
        <v>50</v>
      </c>
      <c r="R83" s="19">
        <f t="shared" si="15"/>
        <v>0</v>
      </c>
      <c r="S83" s="19">
        <f t="shared" si="15"/>
        <v>0</v>
      </c>
      <c r="T83" s="19">
        <f t="shared" si="15"/>
        <v>2050</v>
      </c>
      <c r="U83" s="19">
        <f t="shared" si="15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2"/>
      <c r="J84" s="52">
        <v>0</v>
      </c>
      <c r="K84" s="52"/>
      <c r="L84" s="52">
        <v>0</v>
      </c>
      <c r="M84" s="52">
        <v>0</v>
      </c>
      <c r="N84" s="10">
        <f>SUM(N85:N87)</f>
        <v>0</v>
      </c>
      <c r="O84" s="52">
        <v>0</v>
      </c>
      <c r="P84" s="52">
        <f>SUM(P85:P87)</f>
        <v>0</v>
      </c>
      <c r="Q84" s="52">
        <f>SUM(Q85:Q87)</f>
        <v>0</v>
      </c>
      <c r="R84" s="52">
        <v>0</v>
      </c>
      <c r="S84" s="65">
        <v>0</v>
      </c>
      <c r="T84" s="52">
        <f>SUM(T85:T87)</f>
        <v>0</v>
      </c>
      <c r="U84" s="52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8"/>
      <c r="J85" s="63"/>
      <c r="K85" s="78"/>
      <c r="L85" s="63"/>
      <c r="M85" s="78"/>
      <c r="N85" s="63"/>
      <c r="O85" s="63"/>
      <c r="P85" s="63"/>
      <c r="Q85" s="63"/>
      <c r="R85" s="63"/>
      <c r="S85" s="63"/>
      <c r="T85" s="63"/>
      <c r="U85" s="63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8"/>
      <c r="J86" s="63"/>
      <c r="K86" s="78"/>
      <c r="L86" s="63"/>
      <c r="M86" s="78"/>
      <c r="N86" s="63"/>
      <c r="O86" s="63"/>
      <c r="P86" s="63"/>
      <c r="Q86" s="63"/>
      <c r="R86" s="63"/>
      <c r="S86" s="63"/>
      <c r="T86" s="63"/>
      <c r="U86" s="63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8"/>
      <c r="J87" s="63"/>
      <c r="K87" s="78"/>
      <c r="L87" s="63"/>
      <c r="M87" s="78"/>
      <c r="N87" s="63"/>
      <c r="O87" s="63"/>
      <c r="P87" s="63"/>
      <c r="Q87" s="63"/>
      <c r="R87" s="63"/>
      <c r="S87" s="63"/>
      <c r="T87" s="63"/>
      <c r="U87" s="63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2"/>
      <c r="J88" s="52">
        <v>0</v>
      </c>
      <c r="K88" s="52"/>
      <c r="L88" s="52">
        <v>0</v>
      </c>
      <c r="M88" s="80">
        <v>0</v>
      </c>
      <c r="N88" s="52">
        <v>0</v>
      </c>
      <c r="O88" s="52">
        <v>0</v>
      </c>
      <c r="P88" s="52">
        <v>0</v>
      </c>
      <c r="Q88" s="65">
        <v>0</v>
      </c>
      <c r="R88" s="52">
        <v>0</v>
      </c>
      <c r="S88" s="65">
        <v>0</v>
      </c>
      <c r="T88" s="52">
        <v>0</v>
      </c>
      <c r="U88" s="52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2"/>
      <c r="J89" s="52">
        <v>0</v>
      </c>
      <c r="K89" s="52"/>
      <c r="L89" s="52">
        <v>0</v>
      </c>
      <c r="M89" s="52">
        <v>0</v>
      </c>
      <c r="N89" s="10">
        <f>SUM(N90:N91)</f>
        <v>0</v>
      </c>
      <c r="O89" s="52">
        <v>0</v>
      </c>
      <c r="P89" s="52">
        <f>SUM(P90:P91)</f>
        <v>0</v>
      </c>
      <c r="Q89" s="52">
        <f>SUM(Q90:Q91)</f>
        <v>0</v>
      </c>
      <c r="R89" s="52">
        <v>0</v>
      </c>
      <c r="S89" s="65">
        <v>0</v>
      </c>
      <c r="T89" s="52">
        <f>SUM(T90:T91)</f>
        <v>0</v>
      </c>
      <c r="U89" s="52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8"/>
      <c r="J90" s="63"/>
      <c r="K90" s="78"/>
      <c r="L90" s="63"/>
      <c r="M90" s="78"/>
      <c r="N90" s="63"/>
      <c r="O90" s="63"/>
      <c r="P90" s="63"/>
      <c r="Q90" s="63"/>
      <c r="R90" s="63"/>
      <c r="S90" s="63"/>
      <c r="T90" s="63"/>
      <c r="U90" s="63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8"/>
      <c r="J91" s="63"/>
      <c r="K91" s="78"/>
      <c r="L91" s="63"/>
      <c r="M91" s="78"/>
      <c r="N91" s="63"/>
      <c r="O91" s="63"/>
      <c r="P91" s="63"/>
      <c r="Q91" s="63"/>
      <c r="R91" s="63"/>
      <c r="S91" s="63"/>
      <c r="T91" s="63"/>
      <c r="U91" s="63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 t="shared" ref="D92:E93" si="16">F92+H92+J92+L92+N92+P92+R92+T92</f>
        <v>1650</v>
      </c>
      <c r="E92" s="9">
        <f t="shared" si="16"/>
        <v>1895</v>
      </c>
      <c r="F92" s="10">
        <v>1450</v>
      </c>
      <c r="G92" s="10">
        <v>1650</v>
      </c>
      <c r="H92" s="10">
        <v>0</v>
      </c>
      <c r="I92" s="52"/>
      <c r="J92" s="65">
        <v>0</v>
      </c>
      <c r="K92" s="80"/>
      <c r="L92" s="65">
        <v>0</v>
      </c>
      <c r="M92" s="80">
        <v>0</v>
      </c>
      <c r="N92" s="65">
        <v>100</v>
      </c>
      <c r="O92" s="65">
        <f>100+55+40</f>
        <v>195</v>
      </c>
      <c r="P92" s="65">
        <v>100</v>
      </c>
      <c r="Q92" s="65">
        <f>50</f>
        <v>50</v>
      </c>
      <c r="R92" s="65">
        <v>0</v>
      </c>
      <c r="S92" s="65">
        <v>0</v>
      </c>
      <c r="T92" s="65">
        <v>0</v>
      </c>
      <c r="U92" s="65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 t="shared" si="16"/>
        <v>1160</v>
      </c>
      <c r="E93" s="9">
        <f t="shared" si="16"/>
        <v>1160</v>
      </c>
      <c r="F93" s="10">
        <f>SUM(F94:F95)</f>
        <v>1000</v>
      </c>
      <c r="G93" s="10">
        <f>SUM(G94:G95)</f>
        <v>1000</v>
      </c>
      <c r="H93" s="10">
        <v>0</v>
      </c>
      <c r="I93" s="52"/>
      <c r="J93" s="52">
        <v>0</v>
      </c>
      <c r="K93" s="52"/>
      <c r="L93" s="52">
        <v>0</v>
      </c>
      <c r="M93" s="52">
        <v>0</v>
      </c>
      <c r="N93" s="10">
        <f>SUM(N94:N95)</f>
        <v>0</v>
      </c>
      <c r="O93" s="10">
        <f>SUM(O94:O95)</f>
        <v>0</v>
      </c>
      <c r="P93" s="52">
        <f>SUM(P94:P95)</f>
        <v>0</v>
      </c>
      <c r="Q93" s="65">
        <v>0</v>
      </c>
      <c r="R93" s="52">
        <v>0</v>
      </c>
      <c r="S93" s="65">
        <v>0</v>
      </c>
      <c r="T93" s="52">
        <f>SUM(T94:T95)</f>
        <v>160</v>
      </c>
      <c r="U93" s="52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8"/>
      <c r="J94" s="63"/>
      <c r="K94" s="78"/>
      <c r="L94" s="63"/>
      <c r="M94" s="78"/>
      <c r="N94" s="63"/>
      <c r="O94" s="63"/>
      <c r="P94" s="63"/>
      <c r="Q94" s="63"/>
      <c r="R94" s="63"/>
      <c r="S94" s="63"/>
      <c r="T94" s="63"/>
      <c r="U94" s="63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8"/>
      <c r="J95" s="63"/>
      <c r="K95" s="78"/>
      <c r="L95" s="63"/>
      <c r="M95" s="78"/>
      <c r="N95" s="63"/>
      <c r="O95" s="63"/>
      <c r="P95" s="63"/>
      <c r="Q95" s="63"/>
      <c r="R95" s="63"/>
      <c r="S95" s="63"/>
      <c r="T95" s="63">
        <v>160</v>
      </c>
      <c r="U95" s="63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2"/>
      <c r="J96" s="52">
        <v>0</v>
      </c>
      <c r="K96" s="52"/>
      <c r="L96" s="52">
        <v>0</v>
      </c>
      <c r="M96" s="52">
        <v>0</v>
      </c>
      <c r="N96" s="10">
        <f>SUM(N97:N99)</f>
        <v>0</v>
      </c>
      <c r="O96" s="10">
        <f>SUM(O97:O99)</f>
        <v>0</v>
      </c>
      <c r="P96" s="52">
        <f>SUM(P97:P99)</f>
        <v>25</v>
      </c>
      <c r="Q96" s="65">
        <v>0</v>
      </c>
      <c r="R96" s="52">
        <v>0</v>
      </c>
      <c r="S96" s="65">
        <v>0</v>
      </c>
      <c r="T96" s="52">
        <f>SUM(T97:T99)</f>
        <v>1600</v>
      </c>
      <c r="U96" s="52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8"/>
      <c r="J97" s="63"/>
      <c r="K97" s="78"/>
      <c r="L97" s="63"/>
      <c r="M97" s="78"/>
      <c r="N97" s="63"/>
      <c r="O97" s="63"/>
      <c r="P97" s="63"/>
      <c r="Q97" s="63"/>
      <c r="R97" s="63"/>
      <c r="S97" s="63"/>
      <c r="T97" s="63"/>
      <c r="U97" s="63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8"/>
      <c r="J98" s="63"/>
      <c r="K98" s="78"/>
      <c r="L98" s="63"/>
      <c r="M98" s="78"/>
      <c r="N98" s="63"/>
      <c r="O98" s="63"/>
      <c r="P98" s="63"/>
      <c r="Q98" s="63"/>
      <c r="R98" s="63"/>
      <c r="S98" s="63"/>
      <c r="T98" s="63"/>
      <c r="U98" s="63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8"/>
      <c r="J99" s="63"/>
      <c r="K99" s="78"/>
      <c r="L99" s="63"/>
      <c r="M99" s="78"/>
      <c r="N99" s="63"/>
      <c r="O99" s="63"/>
      <c r="P99" s="63">
        <v>25</v>
      </c>
      <c r="Q99" s="63"/>
      <c r="R99" s="63"/>
      <c r="S99" s="63"/>
      <c r="T99" s="63">
        <v>1600</v>
      </c>
      <c r="U99" s="63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2"/>
      <c r="J100" s="52">
        <v>0</v>
      </c>
      <c r="K100" s="52"/>
      <c r="L100" s="52">
        <v>0</v>
      </c>
      <c r="M100" s="52">
        <v>0</v>
      </c>
      <c r="N100" s="10">
        <f>SUM(N101:N104)</f>
        <v>170</v>
      </c>
      <c r="O100" s="10">
        <f>SUM(O101:O104)</f>
        <v>320</v>
      </c>
      <c r="P100" s="52">
        <f>SUM(P101:P104)</f>
        <v>25</v>
      </c>
      <c r="Q100" s="52">
        <f>SUM(Q101:Q104)</f>
        <v>25</v>
      </c>
      <c r="R100" s="52">
        <v>0</v>
      </c>
      <c r="S100" s="65">
        <v>0</v>
      </c>
      <c r="T100" s="52">
        <f>SUM(T101:T104)</f>
        <v>0</v>
      </c>
      <c r="U100" s="52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8"/>
      <c r="J101" s="63"/>
      <c r="K101" s="78"/>
      <c r="L101" s="63"/>
      <c r="M101" s="78"/>
      <c r="N101" s="63">
        <v>120</v>
      </c>
      <c r="O101" s="63">
        <v>120</v>
      </c>
      <c r="P101" s="63">
        <v>6</v>
      </c>
      <c r="Q101" s="63">
        <v>6</v>
      </c>
      <c r="R101" s="63"/>
      <c r="S101" s="63"/>
      <c r="T101" s="63"/>
      <c r="U101" s="63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8"/>
      <c r="J102" s="63"/>
      <c r="K102" s="78"/>
      <c r="L102" s="63"/>
      <c r="M102" s="78"/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8"/>
      <c r="J104" s="63"/>
      <c r="K104" s="78"/>
      <c r="L104" s="63"/>
      <c r="M104" s="78"/>
      <c r="N104" s="63">
        <v>50</v>
      </c>
      <c r="O104" s="63">
        <v>200</v>
      </c>
      <c r="P104" s="63">
        <v>19</v>
      </c>
      <c r="Q104" s="63">
        <v>19</v>
      </c>
      <c r="R104" s="63"/>
      <c r="S104" s="63"/>
      <c r="T104" s="63"/>
      <c r="U104" s="63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7">G84+G88+G89+G92+G93+G96+G100</f>
        <v>55872</v>
      </c>
      <c r="H105" s="19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  <c r="L105" s="19">
        <f t="shared" si="17"/>
        <v>0</v>
      </c>
      <c r="M105" s="19">
        <f t="shared" si="17"/>
        <v>0</v>
      </c>
      <c r="N105" s="19">
        <f t="shared" si="17"/>
        <v>270</v>
      </c>
      <c r="O105" s="19">
        <f t="shared" si="17"/>
        <v>515</v>
      </c>
      <c r="P105" s="19">
        <f t="shared" si="17"/>
        <v>150</v>
      </c>
      <c r="Q105" s="19">
        <f t="shared" si="17"/>
        <v>75</v>
      </c>
      <c r="R105" s="19">
        <f t="shared" si="17"/>
        <v>0</v>
      </c>
      <c r="S105" s="19">
        <f t="shared" si="17"/>
        <v>0</v>
      </c>
      <c r="T105" s="19">
        <f t="shared" si="17"/>
        <v>1760</v>
      </c>
      <c r="U105" s="19">
        <f t="shared" si="17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2"/>
      <c r="J106" s="52">
        <v>0</v>
      </c>
      <c r="K106" s="52"/>
      <c r="L106" s="52">
        <v>0</v>
      </c>
      <c r="M106" s="52">
        <v>0</v>
      </c>
      <c r="N106" s="52">
        <f>SUM(N107:N108)</f>
        <v>60</v>
      </c>
      <c r="O106" s="52">
        <f>SUM(O107:O108)</f>
        <v>50</v>
      </c>
      <c r="P106" s="52">
        <f>SUM(P107:P108)</f>
        <v>0</v>
      </c>
      <c r="Q106" s="52">
        <f>SUM(Q107:Q108)</f>
        <v>0</v>
      </c>
      <c r="R106" s="52">
        <v>0</v>
      </c>
      <c r="S106" s="65">
        <v>0</v>
      </c>
      <c r="T106" s="52">
        <f>SUM(T107:T108)</f>
        <v>0</v>
      </c>
      <c r="U106" s="52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8"/>
      <c r="J107" s="63"/>
      <c r="K107" s="78"/>
      <c r="L107" s="63"/>
      <c r="M107" s="78"/>
      <c r="N107" s="63">
        <v>60</v>
      </c>
      <c r="O107" s="63">
        <v>50</v>
      </c>
      <c r="P107" s="63"/>
      <c r="Q107" s="63"/>
      <c r="R107" s="63"/>
      <c r="S107" s="63"/>
      <c r="T107" s="63"/>
      <c r="U107" s="63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8"/>
      <c r="J108" s="63"/>
      <c r="K108" s="78"/>
      <c r="L108" s="63"/>
      <c r="M108" s="78"/>
      <c r="N108" s="63"/>
      <c r="O108" s="63"/>
      <c r="P108" s="63"/>
      <c r="Q108" s="63"/>
      <c r="R108" s="63"/>
      <c r="S108" s="63"/>
      <c r="T108" s="63"/>
      <c r="U108" s="63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2"/>
      <c r="J109" s="52">
        <v>0</v>
      </c>
      <c r="K109" s="80"/>
      <c r="L109" s="65">
        <v>0</v>
      </c>
      <c r="M109" s="80">
        <v>0</v>
      </c>
      <c r="N109" s="65">
        <v>0</v>
      </c>
      <c r="O109" s="65">
        <v>0</v>
      </c>
      <c r="P109" s="65">
        <v>0</v>
      </c>
      <c r="Q109" s="65"/>
      <c r="R109" s="65">
        <v>0</v>
      </c>
      <c r="S109" s="65">
        <v>0</v>
      </c>
      <c r="T109" s="65">
        <v>0</v>
      </c>
      <c r="U109" s="65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8">G106+G109</f>
        <v>300</v>
      </c>
      <c r="H110" s="19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0</v>
      </c>
      <c r="L110" s="19">
        <f t="shared" si="18"/>
        <v>0</v>
      </c>
      <c r="M110" s="19">
        <f t="shared" si="18"/>
        <v>0</v>
      </c>
      <c r="N110" s="19">
        <f t="shared" si="18"/>
        <v>60</v>
      </c>
      <c r="O110" s="19">
        <f t="shared" si="18"/>
        <v>50</v>
      </c>
      <c r="P110" s="19">
        <f t="shared" si="18"/>
        <v>0</v>
      </c>
      <c r="Q110" s="19">
        <f t="shared" si="18"/>
        <v>0</v>
      </c>
      <c r="R110" s="19">
        <f t="shared" si="18"/>
        <v>0</v>
      </c>
      <c r="S110" s="19">
        <f t="shared" si="18"/>
        <v>0</v>
      </c>
      <c r="T110" s="19">
        <f t="shared" si="18"/>
        <v>0</v>
      </c>
      <c r="U110" s="19">
        <f t="shared" si="18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9">SUM(G112:G113)</f>
        <v>23507</v>
      </c>
      <c r="H111" s="10">
        <f t="shared" si="19"/>
        <v>0</v>
      </c>
      <c r="I111" s="52">
        <f t="shared" si="19"/>
        <v>0</v>
      </c>
      <c r="J111" s="52">
        <f t="shared" si="19"/>
        <v>0</v>
      </c>
      <c r="K111" s="52">
        <f t="shared" si="19"/>
        <v>0</v>
      </c>
      <c r="L111" s="52">
        <f t="shared" si="19"/>
        <v>0</v>
      </c>
      <c r="M111" s="80">
        <v>0</v>
      </c>
      <c r="N111" s="52">
        <f t="shared" si="19"/>
        <v>392</v>
      </c>
      <c r="O111" s="52">
        <f t="shared" si="19"/>
        <v>463</v>
      </c>
      <c r="P111" s="52">
        <f t="shared" si="19"/>
        <v>167</v>
      </c>
      <c r="Q111" s="52">
        <f t="shared" si="19"/>
        <v>115</v>
      </c>
      <c r="R111" s="52">
        <f t="shared" ref="R111" si="20">SUM(R112:R113)</f>
        <v>0</v>
      </c>
      <c r="S111" s="65">
        <v>0</v>
      </c>
      <c r="T111" s="52">
        <f>SUM(T112:T113)</f>
        <v>640</v>
      </c>
      <c r="U111" s="52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8"/>
      <c r="J112" s="63"/>
      <c r="K112" s="78"/>
      <c r="L112" s="63"/>
      <c r="M112" s="78"/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8"/>
      <c r="J113" s="63"/>
      <c r="K113" s="58"/>
      <c r="L113" s="63"/>
      <c r="M113" s="58"/>
      <c r="N113" s="63">
        <v>392</v>
      </c>
      <c r="O113" s="26">
        <f>ROUND((O72+O83+O105+O109)*0.27,0)</f>
        <v>463</v>
      </c>
      <c r="P113" s="63">
        <v>167</v>
      </c>
      <c r="Q113" s="26">
        <f>ROUND((Q72+Q83+Q105+Q109)*0.27,0)</f>
        <v>115</v>
      </c>
      <c r="R113" s="63"/>
      <c r="S113" s="63"/>
      <c r="T113" s="63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2"/>
      <c r="J114" s="52">
        <v>0</v>
      </c>
      <c r="K114" s="52"/>
      <c r="L114" s="52">
        <v>0</v>
      </c>
      <c r="M114" s="52">
        <v>0</v>
      </c>
      <c r="N114" s="52">
        <v>0</v>
      </c>
      <c r="O114" s="52">
        <v>0</v>
      </c>
      <c r="P114" s="52">
        <f>SUM(P115:P117)</f>
        <v>0</v>
      </c>
      <c r="Q114" s="52">
        <f>SUM(Q115:Q117)</f>
        <v>0</v>
      </c>
      <c r="R114" s="52">
        <v>0</v>
      </c>
      <c r="S114" s="65">
        <v>0</v>
      </c>
      <c r="T114" s="52">
        <f>SUM(T115:T117)</f>
        <v>0</v>
      </c>
      <c r="U114" s="52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8"/>
      <c r="J115" s="63"/>
      <c r="K115" s="78"/>
      <c r="L115" s="63"/>
      <c r="M115" s="78"/>
      <c r="N115" s="63"/>
      <c r="O115" s="63"/>
      <c r="P115" s="63"/>
      <c r="Q115" s="63"/>
      <c r="R115" s="63"/>
      <c r="S115" s="63"/>
      <c r="T115" s="63"/>
      <c r="U115" s="63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2"/>
      <c r="J118" s="52">
        <v>0</v>
      </c>
      <c r="K118" s="52"/>
      <c r="L118" s="52">
        <v>0</v>
      </c>
      <c r="M118" s="52">
        <v>0</v>
      </c>
      <c r="N118" s="52">
        <v>0</v>
      </c>
      <c r="O118" s="52">
        <v>0</v>
      </c>
      <c r="P118" s="52">
        <f>SUM(P119:P122)</f>
        <v>0</v>
      </c>
      <c r="Q118" s="52">
        <f>SUM(Q119:Q122)</f>
        <v>0</v>
      </c>
      <c r="R118" s="52">
        <v>0</v>
      </c>
      <c r="S118" s="65">
        <v>0</v>
      </c>
      <c r="T118" s="52">
        <f>SUM(T119:T122)</f>
        <v>0</v>
      </c>
      <c r="U118" s="52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8"/>
      <c r="J119" s="63"/>
      <c r="K119" s="78"/>
      <c r="L119" s="63"/>
      <c r="M119" s="78"/>
      <c r="N119" s="63"/>
      <c r="O119" s="63"/>
      <c r="P119" s="63"/>
      <c r="Q119" s="63"/>
      <c r="R119" s="63"/>
      <c r="S119" s="63"/>
      <c r="T119" s="63"/>
      <c r="U119" s="63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8"/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2"/>
      <c r="J123" s="52">
        <v>0</v>
      </c>
      <c r="K123" s="52"/>
      <c r="L123" s="52">
        <v>0</v>
      </c>
      <c r="M123" s="52">
        <v>0</v>
      </c>
      <c r="N123" s="52">
        <v>0</v>
      </c>
      <c r="O123" s="52">
        <v>0</v>
      </c>
      <c r="P123" s="52">
        <f>SUM(P124:P125)</f>
        <v>0</v>
      </c>
      <c r="Q123" s="52">
        <f>SUM(Q124:Q125)</f>
        <v>0</v>
      </c>
      <c r="R123" s="52">
        <v>0</v>
      </c>
      <c r="S123" s="65">
        <v>0</v>
      </c>
      <c r="T123" s="52">
        <f>SUM(T124:T125)</f>
        <v>0</v>
      </c>
      <c r="U123" s="52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8"/>
      <c r="J124" s="63"/>
      <c r="K124" s="78"/>
      <c r="L124" s="63"/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8"/>
      <c r="J125" s="63"/>
      <c r="K125" s="78"/>
      <c r="L125" s="63"/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2"/>
      <c r="J126" s="52">
        <v>0</v>
      </c>
      <c r="K126" s="52"/>
      <c r="L126" s="52">
        <v>0</v>
      </c>
      <c r="M126" s="52">
        <v>0</v>
      </c>
      <c r="N126" s="52">
        <f>SUM(N127:N130)</f>
        <v>20</v>
      </c>
      <c r="O126" s="52">
        <f>SUM(O127:O130)</f>
        <v>70</v>
      </c>
      <c r="P126" s="52">
        <f>SUM(P127:P130)</f>
        <v>10</v>
      </c>
      <c r="Q126" s="52">
        <f>SUM(Q127:Q130)</f>
        <v>0</v>
      </c>
      <c r="R126" s="52">
        <v>0</v>
      </c>
      <c r="S126" s="65">
        <v>0</v>
      </c>
      <c r="T126" s="52">
        <f>SUM(T127:T130)</f>
        <v>0</v>
      </c>
      <c r="U126" s="52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8"/>
      <c r="J127" s="63"/>
      <c r="K127" s="78"/>
      <c r="L127" s="63"/>
      <c r="M127" s="78"/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8"/>
      <c r="J128" s="63"/>
      <c r="K128" s="78"/>
      <c r="L128" s="63"/>
      <c r="M128" s="78"/>
      <c r="N128" s="63">
        <v>20</v>
      </c>
      <c r="O128" s="63">
        <v>20</v>
      </c>
      <c r="P128" s="63"/>
      <c r="Q128" s="63"/>
      <c r="R128" s="63"/>
      <c r="S128" s="63"/>
      <c r="T128" s="63"/>
      <c r="U128" s="63"/>
    </row>
    <row r="129" spans="1:264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8"/>
      <c r="J129" s="63"/>
      <c r="K129" s="78"/>
      <c r="L129" s="63"/>
      <c r="M129" s="78"/>
      <c r="N129" s="63"/>
      <c r="O129" s="63"/>
      <c r="P129" s="63"/>
      <c r="Q129" s="63"/>
      <c r="R129" s="63"/>
      <c r="S129" s="63"/>
      <c r="T129" s="63"/>
      <c r="U129" s="63"/>
    </row>
    <row r="130" spans="1:264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8"/>
      <c r="J130" s="63"/>
      <c r="K130" s="78"/>
      <c r="L130" s="63"/>
      <c r="M130" s="78"/>
      <c r="N130" s="63"/>
      <c r="O130" s="63">
        <v>50</v>
      </c>
      <c r="P130" s="63">
        <v>10</v>
      </c>
      <c r="Q130" s="63"/>
      <c r="R130" s="63"/>
      <c r="S130" s="63"/>
      <c r="T130" s="63"/>
      <c r="U130" s="63"/>
    </row>
    <row r="131" spans="1:264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21">G111+G114+G118+G123+G126</f>
        <v>26437</v>
      </c>
      <c r="H131" s="19">
        <f t="shared" si="21"/>
        <v>0</v>
      </c>
      <c r="I131" s="19">
        <f t="shared" si="21"/>
        <v>0</v>
      </c>
      <c r="J131" s="19">
        <f t="shared" si="21"/>
        <v>0</v>
      </c>
      <c r="K131" s="19">
        <f t="shared" si="21"/>
        <v>0</v>
      </c>
      <c r="L131" s="19">
        <f t="shared" si="21"/>
        <v>0</v>
      </c>
      <c r="M131" s="19">
        <f t="shared" si="21"/>
        <v>0</v>
      </c>
      <c r="N131" s="19">
        <f t="shared" si="21"/>
        <v>412</v>
      </c>
      <c r="O131" s="19">
        <f t="shared" si="21"/>
        <v>533</v>
      </c>
      <c r="P131" s="19">
        <f t="shared" si="21"/>
        <v>177</v>
      </c>
      <c r="Q131" s="19">
        <f t="shared" si="21"/>
        <v>115</v>
      </c>
      <c r="R131" s="19">
        <f t="shared" si="21"/>
        <v>0</v>
      </c>
      <c r="S131" s="19">
        <f t="shared" si="21"/>
        <v>0</v>
      </c>
      <c r="T131" s="19">
        <f t="shared" si="21"/>
        <v>640</v>
      </c>
      <c r="U131" s="19">
        <f t="shared" si="21"/>
        <v>1061</v>
      </c>
    </row>
    <row r="132" spans="1:264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22">G72+G83+G105+G110+G131</f>
        <v>113801</v>
      </c>
      <c r="H132" s="23">
        <f t="shared" si="22"/>
        <v>0</v>
      </c>
      <c r="I132" s="23">
        <f t="shared" si="22"/>
        <v>0</v>
      </c>
      <c r="J132" s="23">
        <f t="shared" si="22"/>
        <v>0</v>
      </c>
      <c r="K132" s="23">
        <f t="shared" si="22"/>
        <v>0</v>
      </c>
      <c r="L132" s="23">
        <f t="shared" si="22"/>
        <v>0</v>
      </c>
      <c r="M132" s="23">
        <f t="shared" si="22"/>
        <v>0</v>
      </c>
      <c r="N132" s="23">
        <f t="shared" si="22"/>
        <v>1922</v>
      </c>
      <c r="O132" s="23">
        <f t="shared" si="22"/>
        <v>2298</v>
      </c>
      <c r="P132" s="23">
        <f t="shared" si="22"/>
        <v>797</v>
      </c>
      <c r="Q132" s="23">
        <f t="shared" si="22"/>
        <v>540</v>
      </c>
      <c r="R132" s="23">
        <f t="shared" si="22"/>
        <v>0</v>
      </c>
      <c r="S132" s="23">
        <f t="shared" si="22"/>
        <v>0</v>
      </c>
      <c r="T132" s="23">
        <f t="shared" si="22"/>
        <v>4610</v>
      </c>
      <c r="U132" s="23">
        <f t="shared" si="22"/>
        <v>4991</v>
      </c>
    </row>
    <row r="133" spans="1:264" ht="14.1" customHeight="1" x14ac:dyDescent="0.25">
      <c r="A133" s="24" t="s">
        <v>625</v>
      </c>
      <c r="B133" s="24" t="s">
        <v>633</v>
      </c>
      <c r="C133" s="25" t="s">
        <v>641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8"/>
      <c r="J133" s="63"/>
      <c r="K133" s="78"/>
      <c r="L133" s="63"/>
      <c r="M133" s="78"/>
      <c r="N133" s="63"/>
      <c r="O133" s="63"/>
      <c r="P133" s="63"/>
      <c r="Q133" s="63"/>
      <c r="R133" s="63"/>
      <c r="S133" s="63"/>
      <c r="T133" s="63"/>
      <c r="U133" s="63"/>
    </row>
    <row r="134" spans="1:264" ht="14.1" customHeight="1" x14ac:dyDescent="0.25">
      <c r="A134" s="24" t="s">
        <v>626</v>
      </c>
      <c r="B134" s="24" t="s">
        <v>634</v>
      </c>
      <c r="C134" s="25" t="s">
        <v>642</v>
      </c>
      <c r="D134" s="26">
        <f t="shared" ref="D134:E140" si="23">F134+H134+J134+L134+N134+P134+R134+T134</f>
        <v>20</v>
      </c>
      <c r="E134" s="26">
        <f t="shared" si="23"/>
        <v>0</v>
      </c>
      <c r="F134" s="26"/>
      <c r="G134" s="26"/>
      <c r="H134" s="26"/>
      <c r="I134" s="58"/>
      <c r="J134" s="63"/>
      <c r="K134" s="78"/>
      <c r="L134" s="63"/>
      <c r="M134" s="78"/>
      <c r="N134" s="63"/>
      <c r="O134" s="63"/>
      <c r="P134" s="63"/>
      <c r="Q134" s="63"/>
      <c r="R134" s="63">
        <v>20</v>
      </c>
      <c r="S134" s="63"/>
      <c r="T134" s="63"/>
      <c r="U134" s="63"/>
    </row>
    <row r="135" spans="1:264" ht="14.1" customHeight="1" x14ac:dyDescent="0.25">
      <c r="A135" s="24" t="s">
        <v>627</v>
      </c>
      <c r="B135" s="24" t="s">
        <v>635</v>
      </c>
      <c r="C135" s="25" t="s">
        <v>643</v>
      </c>
      <c r="D135" s="26">
        <f t="shared" si="23"/>
        <v>0</v>
      </c>
      <c r="E135" s="26">
        <f t="shared" si="23"/>
        <v>0</v>
      </c>
      <c r="F135" s="26"/>
      <c r="G135" s="26"/>
      <c r="H135" s="26"/>
      <c r="I135" s="58"/>
      <c r="J135" s="63"/>
      <c r="K135" s="78"/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64" ht="14.1" customHeight="1" x14ac:dyDescent="0.25">
      <c r="A136" s="24" t="s">
        <v>628</v>
      </c>
      <c r="B136" s="24" t="s">
        <v>636</v>
      </c>
      <c r="C136" s="25" t="s">
        <v>644</v>
      </c>
      <c r="D136" s="26">
        <f t="shared" si="23"/>
        <v>0</v>
      </c>
      <c r="E136" s="26">
        <f t="shared" si="23"/>
        <v>0</v>
      </c>
      <c r="F136" s="26"/>
      <c r="G136" s="26"/>
      <c r="H136" s="26"/>
      <c r="I136" s="58"/>
      <c r="J136" s="63"/>
      <c r="K136" s="78"/>
      <c r="L136" s="63"/>
      <c r="M136" s="78"/>
      <c r="N136" s="63"/>
      <c r="O136" s="63"/>
      <c r="P136" s="63"/>
      <c r="Q136" s="63"/>
      <c r="R136" s="63"/>
      <c r="S136" s="63"/>
      <c r="T136" s="63"/>
      <c r="U136" s="63"/>
    </row>
    <row r="137" spans="1:264" ht="14.1" customHeight="1" x14ac:dyDescent="0.25">
      <c r="A137" s="24" t="s">
        <v>629</v>
      </c>
      <c r="B137" s="24" t="s">
        <v>637</v>
      </c>
      <c r="C137" s="25" t="s">
        <v>645</v>
      </c>
      <c r="D137" s="26">
        <f t="shared" si="23"/>
        <v>2000</v>
      </c>
      <c r="E137" s="26">
        <f t="shared" si="23"/>
        <v>0</v>
      </c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>
        <v>2000</v>
      </c>
      <c r="S137" s="63"/>
      <c r="T137" s="63"/>
      <c r="U137" s="63"/>
    </row>
    <row r="138" spans="1:264" ht="14.1" customHeight="1" x14ac:dyDescent="0.25">
      <c r="A138" s="24" t="s">
        <v>630</v>
      </c>
      <c r="B138" s="24" t="s">
        <v>638</v>
      </c>
      <c r="C138" s="25" t="s">
        <v>646</v>
      </c>
      <c r="D138" s="26">
        <f t="shared" si="23"/>
        <v>0</v>
      </c>
      <c r="E138" s="26">
        <f t="shared" si="23"/>
        <v>0</v>
      </c>
      <c r="F138" s="26"/>
      <c r="G138" s="26"/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64" ht="14.1" customHeight="1" x14ac:dyDescent="0.25">
      <c r="A139" s="24" t="s">
        <v>631</v>
      </c>
      <c r="B139" s="24" t="s">
        <v>639</v>
      </c>
      <c r="C139" s="25" t="s">
        <v>647</v>
      </c>
      <c r="D139" s="26">
        <f t="shared" si="23"/>
        <v>0</v>
      </c>
      <c r="E139" s="26">
        <f t="shared" si="23"/>
        <v>0</v>
      </c>
      <c r="F139" s="26"/>
      <c r="G139" s="26"/>
      <c r="H139" s="26"/>
      <c r="I139" s="58"/>
      <c r="J139" s="63"/>
      <c r="K139" s="78"/>
      <c r="L139" s="63"/>
      <c r="M139" s="78"/>
      <c r="N139" s="63"/>
      <c r="O139" s="63"/>
      <c r="P139" s="63"/>
      <c r="Q139" s="63"/>
      <c r="R139" s="63"/>
      <c r="S139" s="63"/>
      <c r="T139" s="63"/>
      <c r="U139" s="63"/>
    </row>
    <row r="140" spans="1:264" ht="14.1" customHeight="1" x14ac:dyDescent="0.25">
      <c r="A140" s="24" t="s">
        <v>632</v>
      </c>
      <c r="B140" s="24" t="s">
        <v>640</v>
      </c>
      <c r="C140" s="25" t="s">
        <v>648</v>
      </c>
      <c r="D140" s="26">
        <f t="shared" si="23"/>
        <v>2600</v>
      </c>
      <c r="E140" s="26">
        <f t="shared" si="23"/>
        <v>0</v>
      </c>
      <c r="F140" s="26"/>
      <c r="G140" s="26"/>
      <c r="H140" s="26"/>
      <c r="I140" s="58"/>
      <c r="J140" s="63"/>
      <c r="K140" s="78"/>
      <c r="L140" s="63"/>
      <c r="M140" s="78"/>
      <c r="N140" s="63"/>
      <c r="O140" s="63"/>
      <c r="P140" s="63"/>
      <c r="Q140" s="63"/>
      <c r="R140" s="63">
        <v>2600</v>
      </c>
      <c r="S140" s="63"/>
      <c r="T140" s="63"/>
      <c r="U140" s="63"/>
    </row>
    <row r="141" spans="1:264" s="3" customFormat="1" ht="14.1" customHeight="1" x14ac:dyDescent="0.25">
      <c r="A141" s="155" t="s">
        <v>623</v>
      </c>
      <c r="B141" s="156" t="s">
        <v>624</v>
      </c>
      <c r="C141" s="157" t="s">
        <v>337</v>
      </c>
      <c r="D141" s="23">
        <f>SUM(D133:D140)</f>
        <v>4620</v>
      </c>
      <c r="E141" s="23">
        <f t="shared" ref="E141:U141" si="24">SUM(E133:E140)</f>
        <v>0</v>
      </c>
      <c r="F141" s="23">
        <f t="shared" si="24"/>
        <v>0</v>
      </c>
      <c r="G141" s="23">
        <f t="shared" si="24"/>
        <v>0</v>
      </c>
      <c r="H141" s="23">
        <f t="shared" si="24"/>
        <v>0</v>
      </c>
      <c r="I141" s="23">
        <f t="shared" si="24"/>
        <v>0</v>
      </c>
      <c r="J141" s="23">
        <f t="shared" si="24"/>
        <v>0</v>
      </c>
      <c r="K141" s="23">
        <f t="shared" si="24"/>
        <v>0</v>
      </c>
      <c r="L141" s="23">
        <f t="shared" si="24"/>
        <v>0</v>
      </c>
      <c r="M141" s="23">
        <f t="shared" si="24"/>
        <v>0</v>
      </c>
      <c r="N141" s="23">
        <f t="shared" si="24"/>
        <v>0</v>
      </c>
      <c r="O141" s="23">
        <f t="shared" si="24"/>
        <v>0</v>
      </c>
      <c r="P141" s="23">
        <f t="shared" si="24"/>
        <v>0</v>
      </c>
      <c r="Q141" s="23">
        <f t="shared" si="24"/>
        <v>0</v>
      </c>
      <c r="R141" s="23">
        <f t="shared" si="24"/>
        <v>4620</v>
      </c>
      <c r="S141" s="23">
        <f t="shared" si="24"/>
        <v>0</v>
      </c>
      <c r="T141" s="23">
        <f t="shared" si="24"/>
        <v>0</v>
      </c>
      <c r="U141" s="23">
        <f t="shared" si="24"/>
        <v>0</v>
      </c>
    </row>
    <row r="142" spans="1:264" ht="14.1" customHeight="1" x14ac:dyDescent="0.2">
      <c r="A142" s="916" t="s">
        <v>291</v>
      </c>
      <c r="B142" s="917"/>
      <c r="C142" s="918"/>
      <c r="D142" s="28">
        <f>D46+D132+D141</f>
        <v>564746</v>
      </c>
      <c r="E142" s="28">
        <f t="shared" ref="E142:U142" si="25">E46+E132+E141</f>
        <v>496090</v>
      </c>
      <c r="F142" s="28">
        <f t="shared" si="25"/>
        <v>490125</v>
      </c>
      <c r="G142" s="28">
        <f t="shared" si="25"/>
        <v>467138</v>
      </c>
      <c r="H142" s="28">
        <f t="shared" si="25"/>
        <v>8532</v>
      </c>
      <c r="I142" s="28">
        <f t="shared" si="25"/>
        <v>0</v>
      </c>
      <c r="J142" s="28">
        <f t="shared" si="25"/>
        <v>2028</v>
      </c>
      <c r="K142" s="28">
        <f t="shared" si="25"/>
        <v>0</v>
      </c>
      <c r="L142" s="28">
        <f t="shared" si="25"/>
        <v>28590</v>
      </c>
      <c r="M142" s="28">
        <f t="shared" si="25"/>
        <v>0</v>
      </c>
      <c r="N142" s="28">
        <f t="shared" si="25"/>
        <v>21337</v>
      </c>
      <c r="O142" s="28">
        <f t="shared" si="25"/>
        <v>19235</v>
      </c>
      <c r="P142" s="28">
        <f t="shared" si="25"/>
        <v>4904</v>
      </c>
      <c r="Q142" s="28">
        <f t="shared" si="25"/>
        <v>4665</v>
      </c>
      <c r="R142" s="28">
        <f t="shared" si="25"/>
        <v>4620</v>
      </c>
      <c r="S142" s="28">
        <f t="shared" si="25"/>
        <v>0</v>
      </c>
      <c r="T142" s="28">
        <f t="shared" si="25"/>
        <v>4610</v>
      </c>
      <c r="U142" s="28">
        <f t="shared" si="25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</row>
    <row r="143" spans="1:264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</row>
    <row r="144" spans="1:264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</row>
    <row r="145" spans="1:21" ht="14.1" customHeight="1" x14ac:dyDescent="0.25"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21" s="1" customFormat="1" ht="12.75" customHeight="1" x14ac:dyDescent="0.25">
      <c r="A146" s="919" t="s">
        <v>609</v>
      </c>
      <c r="B146" s="920"/>
      <c r="C146" s="920"/>
      <c r="D146" s="920"/>
      <c r="E146" s="920"/>
      <c r="F146" s="920"/>
      <c r="G146" s="920"/>
      <c r="H146" s="920"/>
      <c r="I146" s="920"/>
      <c r="J146" s="920"/>
      <c r="K146" s="920"/>
      <c r="L146" s="920"/>
      <c r="M146" s="920"/>
      <c r="N146" s="920" t="s">
        <v>609</v>
      </c>
      <c r="O146" s="920"/>
      <c r="P146" s="920"/>
      <c r="Q146" s="920"/>
      <c r="R146" s="920"/>
      <c r="S146" s="920"/>
      <c r="T146" s="920"/>
      <c r="U146" s="921"/>
    </row>
    <row r="147" spans="1:21" s="1" customFormat="1" ht="14.1" customHeight="1" x14ac:dyDescent="0.25">
      <c r="A147" s="955" t="s">
        <v>0</v>
      </c>
      <c r="B147" s="954" t="s">
        <v>1</v>
      </c>
      <c r="C147" s="955" t="s">
        <v>2</v>
      </c>
      <c r="D147" s="906" t="s">
        <v>260</v>
      </c>
      <c r="E147" s="956" t="s">
        <v>259</v>
      </c>
      <c r="F147" s="952" t="s">
        <v>610</v>
      </c>
      <c r="G147" s="957"/>
      <c r="H147" s="952" t="s">
        <v>611</v>
      </c>
      <c r="I147" s="953"/>
      <c r="J147" s="966" t="s">
        <v>612</v>
      </c>
      <c r="K147" s="960"/>
      <c r="L147" s="969" t="s">
        <v>649</v>
      </c>
      <c r="M147" s="969"/>
      <c r="N147" s="958" t="s">
        <v>613</v>
      </c>
      <c r="O147" s="959"/>
      <c r="P147" s="958" t="s">
        <v>614</v>
      </c>
      <c r="Q147" s="959"/>
      <c r="R147" s="967" t="s">
        <v>615</v>
      </c>
      <c r="S147" s="968"/>
      <c r="T147" s="967" t="s">
        <v>616</v>
      </c>
      <c r="U147" s="968"/>
    </row>
    <row r="148" spans="1:21" s="3" customFormat="1" ht="27" customHeight="1" x14ac:dyDescent="0.25">
      <c r="A148" s="913"/>
      <c r="B148" s="914"/>
      <c r="C148" s="913"/>
      <c r="D148" s="915"/>
      <c r="E148" s="906"/>
      <c r="F148" s="98" t="s">
        <v>263</v>
      </c>
      <c r="G148" s="98" t="s">
        <v>259</v>
      </c>
      <c r="H148" s="98" t="s">
        <v>260</v>
      </c>
      <c r="I148" s="97" t="s">
        <v>259</v>
      </c>
      <c r="J148" s="62" t="s">
        <v>260</v>
      </c>
      <c r="K148" s="77" t="s">
        <v>259</v>
      </c>
      <c r="L148" s="159" t="s">
        <v>260</v>
      </c>
      <c r="M148" s="159" t="s">
        <v>259</v>
      </c>
      <c r="N148" s="84" t="s">
        <v>260</v>
      </c>
      <c r="O148" s="85" t="s">
        <v>259</v>
      </c>
      <c r="P148" s="84" t="s">
        <v>260</v>
      </c>
      <c r="Q148" s="85" t="s">
        <v>259</v>
      </c>
      <c r="R148" s="153" t="s">
        <v>260</v>
      </c>
      <c r="S148" s="154" t="s">
        <v>259</v>
      </c>
      <c r="T148" s="153" t="s">
        <v>260</v>
      </c>
      <c r="U148" s="154" t="s">
        <v>259</v>
      </c>
    </row>
    <row r="149" spans="1:21" ht="5.6" customHeight="1" x14ac:dyDescent="0.25"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912" t="s">
        <v>194</v>
      </c>
      <c r="B150" s="912"/>
      <c r="C150" s="912"/>
      <c r="D150" s="912"/>
      <c r="E150" s="912"/>
      <c r="F150" s="912"/>
      <c r="G150" s="912"/>
      <c r="H150" s="912"/>
      <c r="I150" s="912"/>
      <c r="J150" s="64"/>
      <c r="K150" s="79"/>
      <c r="L150" s="64"/>
      <c r="M150" s="79"/>
      <c r="N150" s="64"/>
      <c r="O150" s="64"/>
      <c r="P150" s="64"/>
      <c r="Q150" s="64"/>
      <c r="R150" s="64"/>
      <c r="S150" s="64"/>
      <c r="T150" s="64"/>
      <c r="U150" s="64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8"/>
      <c r="J151" s="63"/>
      <c r="K151" s="78"/>
      <c r="L151" s="63"/>
      <c r="M151" s="78"/>
      <c r="N151" s="63"/>
      <c r="O151" s="63"/>
      <c r="P151" s="63"/>
      <c r="Q151" s="63"/>
      <c r="R151" s="63"/>
      <c r="S151" s="63"/>
      <c r="T151" s="63"/>
      <c r="U151" s="63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6">F152+H152+J152+L152+N152+P152+R152+T152</f>
        <v>0</v>
      </c>
      <c r="E152" s="26">
        <f t="shared" si="26"/>
        <v>0</v>
      </c>
      <c r="F152" s="26"/>
      <c r="G152" s="26"/>
      <c r="H152" s="26"/>
      <c r="I152" s="58"/>
      <c r="J152" s="63"/>
      <c r="K152" s="78"/>
      <c r="L152" s="63"/>
      <c r="M152" s="78"/>
      <c r="N152" s="63"/>
      <c r="O152" s="63"/>
      <c r="P152" s="63"/>
      <c r="Q152" s="63"/>
      <c r="R152" s="63"/>
      <c r="S152" s="63"/>
      <c r="T152" s="63"/>
      <c r="U152" s="63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6"/>
        <v>1000</v>
      </c>
      <c r="E153" s="26">
        <f t="shared" si="26"/>
        <v>1000</v>
      </c>
      <c r="F153" s="26">
        <v>1000</v>
      </c>
      <c r="G153" s="26">
        <v>1000</v>
      </c>
      <c r="H153" s="26"/>
      <c r="I153" s="58"/>
      <c r="J153" s="63"/>
      <c r="K153" s="78"/>
      <c r="L153" s="63"/>
      <c r="M153" s="78"/>
      <c r="N153" s="63"/>
      <c r="O153" s="63"/>
      <c r="P153" s="63"/>
      <c r="Q153" s="63"/>
      <c r="R153" s="63"/>
      <c r="S153" s="63"/>
      <c r="T153" s="63"/>
      <c r="U153" s="63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6"/>
        <v>900</v>
      </c>
      <c r="E154" s="26">
        <f t="shared" si="26"/>
        <v>4220</v>
      </c>
      <c r="F154" s="26">
        <v>800</v>
      </c>
      <c r="G154" s="26">
        <f>1000+3150</f>
        <v>4150</v>
      </c>
      <c r="H154" s="26"/>
      <c r="I154" s="58"/>
      <c r="J154" s="63"/>
      <c r="K154" s="78"/>
      <c r="L154" s="63"/>
      <c r="M154" s="78"/>
      <c r="N154" s="63">
        <v>100</v>
      </c>
      <c r="O154" s="63">
        <v>40</v>
      </c>
      <c r="P154" s="63"/>
      <c r="Q154" s="63"/>
      <c r="R154" s="63"/>
      <c r="S154" s="63"/>
      <c r="T154" s="63"/>
      <c r="U154" s="63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6"/>
        <v>5000</v>
      </c>
      <c r="E155" s="26">
        <f t="shared" si="26"/>
        <v>0</v>
      </c>
      <c r="F155" s="26">
        <v>5000</v>
      </c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6"/>
        <v>0</v>
      </c>
      <c r="E156" s="26">
        <f t="shared" si="26"/>
        <v>0</v>
      </c>
      <c r="F156" s="26"/>
      <c r="G156" s="26"/>
      <c r="H156" s="26"/>
      <c r="I156" s="58"/>
      <c r="J156" s="63"/>
      <c r="K156" s="78"/>
      <c r="L156" s="63"/>
      <c r="M156" s="78"/>
      <c r="N156" s="63"/>
      <c r="O156" s="63"/>
      <c r="P156" s="63"/>
      <c r="Q156" s="63"/>
      <c r="R156" s="63"/>
      <c r="S156" s="63"/>
      <c r="T156" s="63"/>
      <c r="U156" s="63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6"/>
        <v>0</v>
      </c>
      <c r="E157" s="26">
        <f t="shared" si="26"/>
        <v>0</v>
      </c>
      <c r="F157" s="26"/>
      <c r="G157" s="26"/>
      <c r="H157" s="26"/>
      <c r="I157" s="58"/>
      <c r="J157" s="63"/>
      <c r="K157" s="78"/>
      <c r="L157" s="63"/>
      <c r="M157" s="78"/>
      <c r="N157" s="63"/>
      <c r="O157" s="63"/>
      <c r="P157" s="63"/>
      <c r="Q157" s="63"/>
      <c r="R157" s="63"/>
      <c r="S157" s="63"/>
      <c r="T157" s="63"/>
      <c r="U157" s="63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6"/>
        <v>1863</v>
      </c>
      <c r="E158" s="26">
        <f t="shared" si="26"/>
        <v>1972</v>
      </c>
      <c r="F158" s="26">
        <v>1836</v>
      </c>
      <c r="G158" s="26">
        <f>ROUND((G151+G152+G153+G154+G155)*0.27,0)</f>
        <v>1953</v>
      </c>
      <c r="H158" s="26"/>
      <c r="I158" s="58"/>
      <c r="J158" s="63"/>
      <c r="K158" s="78"/>
      <c r="L158" s="63"/>
      <c r="M158" s="58"/>
      <c r="N158" s="63">
        <v>27</v>
      </c>
      <c r="O158" s="26">
        <f>ROUND((O151+O152+O153+O154+O155)*0.27,0)</f>
        <v>11</v>
      </c>
      <c r="P158" s="63"/>
      <c r="Q158" s="63"/>
      <c r="R158" s="63"/>
      <c r="S158" s="63"/>
      <c r="T158" s="63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7">SUM(F151:F158)</f>
        <v>8636</v>
      </c>
      <c r="G159" s="22">
        <f t="shared" si="27"/>
        <v>9186</v>
      </c>
      <c r="H159" s="22">
        <f t="shared" si="27"/>
        <v>0</v>
      </c>
      <c r="I159" s="22">
        <f t="shared" si="27"/>
        <v>0</v>
      </c>
      <c r="J159" s="22">
        <f t="shared" si="27"/>
        <v>0</v>
      </c>
      <c r="K159" s="22">
        <f t="shared" si="27"/>
        <v>0</v>
      </c>
      <c r="L159" s="22">
        <f t="shared" si="27"/>
        <v>0</v>
      </c>
      <c r="M159" s="22">
        <f t="shared" si="27"/>
        <v>0</v>
      </c>
      <c r="N159" s="22">
        <f t="shared" si="27"/>
        <v>127</v>
      </c>
      <c r="O159" s="22">
        <f t="shared" si="27"/>
        <v>51</v>
      </c>
      <c r="P159" s="22">
        <f t="shared" si="27"/>
        <v>0</v>
      </c>
      <c r="Q159" s="22">
        <f t="shared" si="27"/>
        <v>0</v>
      </c>
      <c r="R159" s="22">
        <f t="shared" si="27"/>
        <v>0</v>
      </c>
      <c r="S159" s="22">
        <f t="shared" si="27"/>
        <v>0</v>
      </c>
      <c r="T159" s="22">
        <f t="shared" si="27"/>
        <v>0</v>
      </c>
      <c r="U159" s="22">
        <f t="shared" si="27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8"/>
      <c r="J160" s="63"/>
      <c r="K160" s="78"/>
      <c r="L160" s="63"/>
      <c r="M160" s="78"/>
      <c r="N160" s="63"/>
      <c r="O160" s="63"/>
      <c r="P160" s="63"/>
      <c r="Q160" s="63"/>
      <c r="R160" s="63"/>
      <c r="S160" s="63"/>
      <c r="T160" s="63"/>
      <c r="U160" s="63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8">F161+H161+J161+L161+N161+P161+R161+T161</f>
        <v>0</v>
      </c>
      <c r="E161" s="26">
        <f t="shared" si="28"/>
        <v>0</v>
      </c>
      <c r="F161" s="26"/>
      <c r="G161" s="26"/>
      <c r="H161" s="26"/>
      <c r="I161" s="58"/>
      <c r="J161" s="63"/>
      <c r="K161" s="78"/>
      <c r="L161" s="63"/>
      <c r="M161" s="78"/>
      <c r="N161" s="63"/>
      <c r="O161" s="63"/>
      <c r="P161" s="63"/>
      <c r="Q161" s="63"/>
      <c r="R161" s="63"/>
      <c r="S161" s="63"/>
      <c r="T161" s="63"/>
      <c r="U161" s="63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8"/>
        <v>0</v>
      </c>
      <c r="E162" s="26">
        <f t="shared" si="28"/>
        <v>0</v>
      </c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8"/>
        <v>0</v>
      </c>
      <c r="E163" s="26">
        <f t="shared" si="28"/>
        <v>0</v>
      </c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8"/>
        <v>0</v>
      </c>
      <c r="E164" s="26">
        <f t="shared" si="28"/>
        <v>0</v>
      </c>
      <c r="F164" s="26"/>
      <c r="G164" s="26">
        <f>ROUND((G160+G161+G162+G163)*0.27,0)</f>
        <v>0</v>
      </c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9">SUM(F160:F164)</f>
        <v>0</v>
      </c>
      <c r="G165" s="22">
        <f t="shared" si="29"/>
        <v>0</v>
      </c>
      <c r="H165" s="22">
        <f t="shared" si="29"/>
        <v>0</v>
      </c>
      <c r="I165" s="22">
        <f t="shared" si="29"/>
        <v>0</v>
      </c>
      <c r="J165" s="22">
        <f t="shared" si="29"/>
        <v>0</v>
      </c>
      <c r="K165" s="22">
        <f t="shared" si="29"/>
        <v>0</v>
      </c>
      <c r="L165" s="22">
        <f t="shared" si="29"/>
        <v>0</v>
      </c>
      <c r="M165" s="22">
        <f t="shared" si="29"/>
        <v>0</v>
      </c>
      <c r="N165" s="22">
        <f t="shared" si="29"/>
        <v>0</v>
      </c>
      <c r="O165" s="22">
        <f t="shared" si="29"/>
        <v>0</v>
      </c>
      <c r="P165" s="22">
        <f t="shared" si="29"/>
        <v>0</v>
      </c>
      <c r="Q165" s="22">
        <f t="shared" si="29"/>
        <v>0</v>
      </c>
      <c r="R165" s="22">
        <f t="shared" si="29"/>
        <v>0</v>
      </c>
      <c r="S165" s="22">
        <f t="shared" si="29"/>
        <v>0</v>
      </c>
      <c r="T165" s="22">
        <f t="shared" si="29"/>
        <v>0</v>
      </c>
      <c r="U165" s="22">
        <f t="shared" si="29"/>
        <v>0</v>
      </c>
    </row>
    <row r="166" spans="1:21" s="3" customFormat="1" ht="14.1" customHeight="1" x14ac:dyDescent="0.25">
      <c r="A166" s="916" t="s">
        <v>293</v>
      </c>
      <c r="B166" s="917"/>
      <c r="C166" s="918" t="s">
        <v>238</v>
      </c>
      <c r="D166" s="28">
        <f>D159+D165</f>
        <v>8763</v>
      </c>
      <c r="E166" s="28">
        <f>E159+E165</f>
        <v>9275</v>
      </c>
      <c r="F166" s="28">
        <f t="shared" ref="F166:U166" si="30">F159+F165</f>
        <v>8636</v>
      </c>
      <c r="G166" s="28">
        <f t="shared" si="30"/>
        <v>9186</v>
      </c>
      <c r="H166" s="28">
        <f t="shared" si="30"/>
        <v>0</v>
      </c>
      <c r="I166" s="28">
        <f t="shared" si="30"/>
        <v>0</v>
      </c>
      <c r="J166" s="28">
        <f t="shared" si="30"/>
        <v>0</v>
      </c>
      <c r="K166" s="28">
        <f t="shared" si="30"/>
        <v>0</v>
      </c>
      <c r="L166" s="28">
        <f t="shared" si="30"/>
        <v>0</v>
      </c>
      <c r="M166" s="28">
        <f t="shared" si="30"/>
        <v>0</v>
      </c>
      <c r="N166" s="28">
        <f t="shared" si="30"/>
        <v>127</v>
      </c>
      <c r="O166" s="28">
        <f t="shared" si="30"/>
        <v>51</v>
      </c>
      <c r="P166" s="28">
        <f t="shared" si="30"/>
        <v>0</v>
      </c>
      <c r="Q166" s="28">
        <f t="shared" si="30"/>
        <v>0</v>
      </c>
      <c r="R166" s="28">
        <f t="shared" si="30"/>
        <v>0</v>
      </c>
      <c r="S166" s="28">
        <f t="shared" si="30"/>
        <v>0</v>
      </c>
      <c r="T166" s="28">
        <f t="shared" si="30"/>
        <v>0</v>
      </c>
      <c r="U166" s="28">
        <f t="shared" si="30"/>
        <v>38</v>
      </c>
    </row>
    <row r="167" spans="1:21" ht="6.8" customHeight="1" x14ac:dyDescent="0.25"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909" t="s">
        <v>294</v>
      </c>
      <c r="B168" s="910"/>
      <c r="C168" s="911"/>
      <c r="D168" s="30">
        <f>D166+D142</f>
        <v>573509</v>
      </c>
      <c r="E168" s="30">
        <f>E166+E142</f>
        <v>505365</v>
      </c>
      <c r="F168" s="30">
        <f t="shared" ref="F168:U168" si="31">F166+F142</f>
        <v>498761</v>
      </c>
      <c r="G168" s="30">
        <f t="shared" si="31"/>
        <v>476324</v>
      </c>
      <c r="H168" s="30">
        <f t="shared" si="31"/>
        <v>8532</v>
      </c>
      <c r="I168" s="30">
        <f t="shared" si="31"/>
        <v>0</v>
      </c>
      <c r="J168" s="30">
        <f t="shared" si="31"/>
        <v>2028</v>
      </c>
      <c r="K168" s="30">
        <f t="shared" si="31"/>
        <v>0</v>
      </c>
      <c r="L168" s="30">
        <f t="shared" si="31"/>
        <v>28590</v>
      </c>
      <c r="M168" s="30">
        <f t="shared" si="31"/>
        <v>0</v>
      </c>
      <c r="N168" s="30">
        <f t="shared" si="31"/>
        <v>21464</v>
      </c>
      <c r="O168" s="30">
        <f t="shared" si="31"/>
        <v>19286</v>
      </c>
      <c r="P168" s="30">
        <f t="shared" si="31"/>
        <v>4904</v>
      </c>
      <c r="Q168" s="30">
        <f t="shared" si="31"/>
        <v>4665</v>
      </c>
      <c r="R168" s="30">
        <f t="shared" si="31"/>
        <v>4620</v>
      </c>
      <c r="S168" s="30">
        <f t="shared" si="31"/>
        <v>0</v>
      </c>
      <c r="T168" s="30">
        <f t="shared" si="31"/>
        <v>4610</v>
      </c>
      <c r="U168" s="30">
        <f t="shared" si="31"/>
        <v>5090</v>
      </c>
    </row>
    <row r="169" spans="1:21" ht="14.1" customHeight="1" x14ac:dyDescent="0.25"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21" ht="14.1" customHeight="1" x14ac:dyDescent="0.25"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21" ht="14.1" customHeight="1" x14ac:dyDescent="0.25"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21" ht="14.1" customHeight="1" x14ac:dyDescent="0.25"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21" s="1" customFormat="1" ht="12.75" customHeight="1" x14ac:dyDescent="0.25">
      <c r="A173" s="919" t="s">
        <v>609</v>
      </c>
      <c r="B173" s="920"/>
      <c r="C173" s="920"/>
      <c r="D173" s="920"/>
      <c r="E173" s="920"/>
      <c r="F173" s="920"/>
      <c r="G173" s="920"/>
      <c r="H173" s="920"/>
      <c r="I173" s="920"/>
      <c r="J173" s="920"/>
      <c r="K173" s="920"/>
      <c r="L173" s="920"/>
      <c r="M173" s="920"/>
      <c r="N173" s="920" t="s">
        <v>609</v>
      </c>
      <c r="O173" s="920"/>
      <c r="P173" s="920"/>
      <c r="Q173" s="920"/>
      <c r="R173" s="920"/>
      <c r="S173" s="920"/>
      <c r="T173" s="920"/>
      <c r="U173" s="921"/>
    </row>
    <row r="174" spans="1:21" s="1" customFormat="1" ht="14.1" customHeight="1" x14ac:dyDescent="0.25">
      <c r="A174" s="955" t="s">
        <v>0</v>
      </c>
      <c r="B174" s="954" t="s">
        <v>1</v>
      </c>
      <c r="C174" s="955" t="s">
        <v>2</v>
      </c>
      <c r="D174" s="906" t="s">
        <v>260</v>
      </c>
      <c r="E174" s="956" t="s">
        <v>259</v>
      </c>
      <c r="F174" s="952" t="s">
        <v>610</v>
      </c>
      <c r="G174" s="957"/>
      <c r="H174" s="952" t="s">
        <v>611</v>
      </c>
      <c r="I174" s="953"/>
      <c r="J174" s="966" t="s">
        <v>612</v>
      </c>
      <c r="K174" s="960"/>
      <c r="L174" s="969" t="s">
        <v>649</v>
      </c>
      <c r="M174" s="969"/>
      <c r="N174" s="958" t="s">
        <v>613</v>
      </c>
      <c r="O174" s="959"/>
      <c r="P174" s="958" t="s">
        <v>614</v>
      </c>
      <c r="Q174" s="959"/>
      <c r="R174" s="967" t="s">
        <v>615</v>
      </c>
      <c r="S174" s="968"/>
      <c r="T174" s="967" t="s">
        <v>616</v>
      </c>
      <c r="U174" s="968"/>
    </row>
    <row r="175" spans="1:21" s="3" customFormat="1" ht="23.3" customHeight="1" x14ac:dyDescent="0.25">
      <c r="A175" s="913"/>
      <c r="B175" s="914"/>
      <c r="C175" s="913"/>
      <c r="D175" s="915"/>
      <c r="E175" s="906"/>
      <c r="F175" s="98" t="s">
        <v>263</v>
      </c>
      <c r="G175" s="98" t="s">
        <v>259</v>
      </c>
      <c r="H175" s="98" t="s">
        <v>260</v>
      </c>
      <c r="I175" s="97" t="s">
        <v>259</v>
      </c>
      <c r="J175" s="62" t="s">
        <v>260</v>
      </c>
      <c r="K175" s="77" t="s">
        <v>259</v>
      </c>
      <c r="L175" s="159" t="s">
        <v>260</v>
      </c>
      <c r="M175" s="159" t="s">
        <v>259</v>
      </c>
      <c r="N175" s="84" t="s">
        <v>260</v>
      </c>
      <c r="O175" s="85" t="s">
        <v>259</v>
      </c>
      <c r="P175" s="84" t="s">
        <v>260</v>
      </c>
      <c r="Q175" s="85" t="s">
        <v>259</v>
      </c>
      <c r="R175" s="153" t="s">
        <v>260</v>
      </c>
      <c r="S175" s="154" t="s">
        <v>259</v>
      </c>
      <c r="T175" s="153" t="s">
        <v>260</v>
      </c>
      <c r="U175" s="154" t="s">
        <v>259</v>
      </c>
    </row>
    <row r="176" spans="1:21" ht="5.6" customHeight="1" x14ac:dyDescent="0.25"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1" ht="14.1" customHeight="1" x14ac:dyDescent="0.25">
      <c r="A177" s="912" t="s">
        <v>239</v>
      </c>
      <c r="B177" s="912"/>
      <c r="C177" s="912"/>
      <c r="D177" s="912"/>
      <c r="E177" s="912"/>
      <c r="F177" s="912"/>
      <c r="G177" s="912"/>
      <c r="H177" s="912"/>
      <c r="I177" s="912"/>
      <c r="J177" s="64"/>
      <c r="K177" s="79"/>
      <c r="L177" s="64"/>
      <c r="M177" s="79"/>
      <c r="N177" s="64"/>
      <c r="O177" s="64"/>
      <c r="P177" s="64"/>
      <c r="Q177" s="64"/>
      <c r="R177" s="64"/>
      <c r="S177" s="64"/>
      <c r="T177" s="64"/>
      <c r="U177" s="64"/>
    </row>
    <row r="178" spans="1:21" s="3" customFormat="1" ht="14.1" customHeight="1" x14ac:dyDescent="0.25">
      <c r="A178" s="20" t="s">
        <v>621</v>
      </c>
      <c r="B178" s="20"/>
      <c r="C178" s="21" t="s">
        <v>488</v>
      </c>
      <c r="D178" s="23">
        <f>D179</f>
        <v>1000</v>
      </c>
      <c r="E178" s="23">
        <f t="shared" ref="E178:U178" si="32">E179</f>
        <v>1000</v>
      </c>
      <c r="F178" s="23">
        <f t="shared" si="32"/>
        <v>1000</v>
      </c>
      <c r="G178" s="23">
        <f t="shared" si="32"/>
        <v>1000</v>
      </c>
      <c r="H178" s="23">
        <f t="shared" si="32"/>
        <v>0</v>
      </c>
      <c r="I178" s="23">
        <f t="shared" si="32"/>
        <v>0</v>
      </c>
      <c r="J178" s="23">
        <f t="shared" si="32"/>
        <v>0</v>
      </c>
      <c r="K178" s="23">
        <f t="shared" si="32"/>
        <v>0</v>
      </c>
      <c r="L178" s="23">
        <f t="shared" si="32"/>
        <v>0</v>
      </c>
      <c r="M178" s="23">
        <f t="shared" si="32"/>
        <v>0</v>
      </c>
      <c r="N178" s="23">
        <f t="shared" si="32"/>
        <v>0</v>
      </c>
      <c r="O178" s="23">
        <f t="shared" si="32"/>
        <v>0</v>
      </c>
      <c r="P178" s="23">
        <f t="shared" si="32"/>
        <v>0</v>
      </c>
      <c r="Q178" s="23">
        <f t="shared" si="32"/>
        <v>0</v>
      </c>
      <c r="R178" s="23">
        <f t="shared" si="32"/>
        <v>0</v>
      </c>
      <c r="S178" s="23">
        <f t="shared" si="32"/>
        <v>0</v>
      </c>
      <c r="T178" s="23">
        <f t="shared" si="32"/>
        <v>0</v>
      </c>
      <c r="U178" s="23">
        <f t="shared" si="32"/>
        <v>0</v>
      </c>
    </row>
    <row r="179" spans="1:21" ht="14.1" customHeight="1" x14ac:dyDescent="0.25">
      <c r="A179" s="24"/>
      <c r="B179" s="24"/>
      <c r="C179" s="25" t="s">
        <v>500</v>
      </c>
      <c r="D179" s="26">
        <f>F179+H179+J179+L179+N179+P179+R179+T179</f>
        <v>1000</v>
      </c>
      <c r="E179" s="26">
        <f t="shared" ref="E179:E190" si="33">G179+I179+K179+M179+O179+Q179+S179</f>
        <v>1000</v>
      </c>
      <c r="F179" s="26">
        <v>1000</v>
      </c>
      <c r="G179" s="26">
        <v>1000</v>
      </c>
      <c r="H179" s="26"/>
      <c r="I179" s="58"/>
      <c r="J179" s="63"/>
      <c r="K179" s="78"/>
      <c r="L179" s="63"/>
      <c r="M179" s="78"/>
      <c r="N179" s="63"/>
      <c r="O179" s="63"/>
      <c r="P179" s="63"/>
      <c r="Q179" s="63"/>
      <c r="R179" s="63"/>
      <c r="S179" s="63"/>
      <c r="T179" s="63"/>
      <c r="U179" s="63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34">SUM(E181:E190)</f>
        <v>1270</v>
      </c>
      <c r="F180" s="23">
        <f t="shared" si="34"/>
        <v>1270</v>
      </c>
      <c r="G180" s="23">
        <f t="shared" si="34"/>
        <v>1270</v>
      </c>
      <c r="H180" s="23">
        <f t="shared" si="34"/>
        <v>0</v>
      </c>
      <c r="I180" s="23">
        <f t="shared" si="34"/>
        <v>0</v>
      </c>
      <c r="J180" s="23">
        <f t="shared" si="34"/>
        <v>0</v>
      </c>
      <c r="K180" s="23">
        <f t="shared" si="34"/>
        <v>0</v>
      </c>
      <c r="L180" s="23">
        <f t="shared" si="34"/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  <c r="T180" s="23">
        <f t="shared" si="34"/>
        <v>203</v>
      </c>
      <c r="U180" s="23">
        <f t="shared" si="34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33"/>
        <v>0</v>
      </c>
      <c r="F181" s="26"/>
      <c r="G181" s="26"/>
      <c r="H181" s="26"/>
      <c r="I181" s="58"/>
      <c r="J181" s="63"/>
      <c r="K181" s="78"/>
      <c r="L181" s="63"/>
      <c r="M181" s="78"/>
      <c r="N181" s="63"/>
      <c r="O181" s="63"/>
      <c r="P181" s="63"/>
      <c r="Q181" s="63"/>
      <c r="R181" s="63"/>
      <c r="S181" s="63"/>
      <c r="T181" s="63"/>
      <c r="U181" s="63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35">F182+H182+J182+L182+N182+P182+R182+T182</f>
        <v>0</v>
      </c>
      <c r="E182" s="26">
        <f t="shared" si="33"/>
        <v>0</v>
      </c>
      <c r="F182" s="26"/>
      <c r="G182" s="26"/>
      <c r="H182" s="26"/>
      <c r="I182" s="58"/>
      <c r="J182" s="63"/>
      <c r="K182" s="78"/>
      <c r="L182" s="63"/>
      <c r="M182" s="78"/>
      <c r="N182" s="63"/>
      <c r="O182" s="63"/>
      <c r="P182" s="63"/>
      <c r="Q182" s="63"/>
      <c r="R182" s="63"/>
      <c r="S182" s="63"/>
      <c r="T182" s="63"/>
      <c r="U182" s="63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33"/>
        <v>1000</v>
      </c>
      <c r="F183" s="26">
        <v>1000</v>
      </c>
      <c r="G183" s="26">
        <v>1000</v>
      </c>
      <c r="H183" s="26"/>
      <c r="I183" s="58"/>
      <c r="J183" s="63"/>
      <c r="K183" s="78"/>
      <c r="L183" s="63"/>
      <c r="M183" s="78"/>
      <c r="N183" s="63"/>
      <c r="O183" s="63"/>
      <c r="P183" s="63"/>
      <c r="Q183" s="63"/>
      <c r="R183" s="63"/>
      <c r="S183" s="63"/>
      <c r="T183" s="63">
        <v>160</v>
      </c>
      <c r="U183" s="63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35"/>
        <v>0</v>
      </c>
      <c r="E184" s="26">
        <f t="shared" si="33"/>
        <v>0</v>
      </c>
      <c r="F184" s="26"/>
      <c r="G184" s="26"/>
      <c r="H184" s="26"/>
      <c r="I184" s="58"/>
      <c r="J184" s="63"/>
      <c r="K184" s="78"/>
      <c r="L184" s="63"/>
      <c r="M184" s="78"/>
      <c r="N184" s="63"/>
      <c r="O184" s="63"/>
      <c r="P184" s="63"/>
      <c r="Q184" s="63"/>
      <c r="R184" s="63"/>
      <c r="S184" s="63"/>
      <c r="T184" s="63"/>
      <c r="U184" s="63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35"/>
        <v>0</v>
      </c>
      <c r="E185" s="26">
        <f t="shared" si="33"/>
        <v>0</v>
      </c>
      <c r="F185" s="26"/>
      <c r="G185" s="26"/>
      <c r="H185" s="26"/>
      <c r="I185" s="58"/>
      <c r="J185" s="63"/>
      <c r="K185" s="78"/>
      <c r="L185" s="63"/>
      <c r="M185" s="78"/>
      <c r="N185" s="63"/>
      <c r="O185" s="63"/>
      <c r="P185" s="63"/>
      <c r="Q185" s="63"/>
      <c r="R185" s="63"/>
      <c r="S185" s="63"/>
      <c r="T185" s="63"/>
      <c r="U185" s="63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35"/>
        <v>313</v>
      </c>
      <c r="E186" s="26">
        <f t="shared" si="33"/>
        <v>270</v>
      </c>
      <c r="F186" s="26">
        <v>270</v>
      </c>
      <c r="G186" s="26">
        <f>ROUND((G181+G182+G183+G184+G185)*0.27,0)</f>
        <v>270</v>
      </c>
      <c r="H186" s="26"/>
      <c r="I186" s="58"/>
      <c r="J186" s="63"/>
      <c r="K186" s="58"/>
      <c r="L186" s="63"/>
      <c r="M186" s="58"/>
      <c r="N186" s="63"/>
      <c r="O186" s="58"/>
      <c r="P186" s="63"/>
      <c r="Q186" s="63"/>
      <c r="R186" s="63"/>
      <c r="S186" s="63"/>
      <c r="T186" s="63">
        <v>43</v>
      </c>
      <c r="U186" s="63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35"/>
        <v>0</v>
      </c>
      <c r="E187" s="26">
        <f t="shared" si="33"/>
        <v>0</v>
      </c>
      <c r="F187" s="26"/>
      <c r="G187" s="26"/>
      <c r="H187" s="26"/>
      <c r="I187" s="58"/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35"/>
        <v>0</v>
      </c>
      <c r="E188" s="26">
        <f t="shared" si="33"/>
        <v>0</v>
      </c>
      <c r="F188" s="26"/>
      <c r="G188" s="26"/>
      <c r="H188" s="26"/>
      <c r="I188" s="58"/>
      <c r="J188" s="63"/>
      <c r="K188" s="78"/>
      <c r="L188" s="63"/>
      <c r="M188" s="78"/>
      <c r="N188" s="63"/>
      <c r="O188" s="63"/>
      <c r="P188" s="63"/>
      <c r="Q188" s="63"/>
      <c r="R188" s="63"/>
      <c r="S188" s="63"/>
      <c r="T188" s="63"/>
      <c r="U188" s="63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35"/>
        <v>0</v>
      </c>
      <c r="E189" s="26">
        <f t="shared" si="33"/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35"/>
        <v>0</v>
      </c>
      <c r="E190" s="26">
        <f t="shared" si="33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60">
        <v>0</v>
      </c>
      <c r="J191" s="72">
        <v>0</v>
      </c>
      <c r="K191" s="82">
        <v>0</v>
      </c>
      <c r="L191" s="72">
        <v>0</v>
      </c>
      <c r="M191" s="8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</row>
    <row r="192" spans="1:21" s="3" customFormat="1" ht="14.1" customHeight="1" x14ac:dyDescent="0.25">
      <c r="A192" s="909" t="s">
        <v>295</v>
      </c>
      <c r="B192" s="910"/>
      <c r="C192" s="911"/>
      <c r="D192" s="30">
        <f>D180+D191+D178</f>
        <v>2473</v>
      </c>
      <c r="E192" s="30">
        <f t="shared" ref="E192:U192" si="36">E180+E191+E178</f>
        <v>2270</v>
      </c>
      <c r="F192" s="30">
        <f t="shared" si="36"/>
        <v>2270</v>
      </c>
      <c r="G192" s="30">
        <f t="shared" si="36"/>
        <v>2270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  <c r="T192" s="30">
        <f t="shared" si="36"/>
        <v>203</v>
      </c>
      <c r="U192" s="30">
        <f t="shared" si="36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A54:I54"/>
    <mergeCell ref="A142:C142"/>
    <mergeCell ref="L2:M2"/>
    <mergeCell ref="N2:O2"/>
    <mergeCell ref="P2:Q2"/>
    <mergeCell ref="R2:S2"/>
    <mergeCell ref="T2:U2"/>
    <mergeCell ref="J2:K2"/>
    <mergeCell ref="A5:I5"/>
    <mergeCell ref="A2:A3"/>
    <mergeCell ref="A1:M1"/>
    <mergeCell ref="A150:I150"/>
    <mergeCell ref="A166:C166"/>
    <mergeCell ref="A168:C168"/>
    <mergeCell ref="N173:U173"/>
    <mergeCell ref="H147:I147"/>
    <mergeCell ref="J147:K147"/>
    <mergeCell ref="L147:M147"/>
    <mergeCell ref="N147:O147"/>
    <mergeCell ref="P147:Q147"/>
    <mergeCell ref="R147:S147"/>
    <mergeCell ref="A147:A148"/>
    <mergeCell ref="B147:B148"/>
    <mergeCell ref="C147:C148"/>
    <mergeCell ref="D147:D148"/>
    <mergeCell ref="E147:E148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H51:I51"/>
    <mergeCell ref="J51:K51"/>
    <mergeCell ref="L51:M51"/>
    <mergeCell ref="N51:O51"/>
    <mergeCell ref="P51:Q51"/>
    <mergeCell ref="R51:S51"/>
    <mergeCell ref="T147:U147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2"/>
  <sheetViews>
    <sheetView view="pageBreakPreview" topLeftCell="A3" zoomScale="75" zoomScaleNormal="100" zoomScaleSheetLayoutView="75" workbookViewId="0">
      <selection activeCell="X6" sqref="X6"/>
    </sheetView>
  </sheetViews>
  <sheetFormatPr defaultColWidth="9.125" defaultRowHeight="14.3" x14ac:dyDescent="0.25"/>
  <cols>
    <col min="1" max="1" width="5.75" style="577" customWidth="1"/>
    <col min="2" max="2" width="35.375" style="578" customWidth="1"/>
    <col min="3" max="9" width="9.875" style="580" hidden="1" customWidth="1"/>
    <col min="10" max="11" width="11" style="580" hidden="1" customWidth="1"/>
    <col min="12" max="12" width="10.125" style="580" hidden="1" customWidth="1"/>
    <col min="13" max="13" width="9.625" style="580" hidden="1" customWidth="1"/>
    <col min="14" max="14" width="10.25" style="580" hidden="1" customWidth="1"/>
    <col min="15" max="15" width="11" style="580" hidden="1" customWidth="1"/>
    <col min="16" max="16" width="9.75" style="580" hidden="1" customWidth="1"/>
    <col min="17" max="17" width="9.625" style="580" hidden="1" customWidth="1"/>
    <col min="18" max="18" width="11" style="580" hidden="1" customWidth="1"/>
    <col min="19" max="19" width="11" style="580" customWidth="1"/>
    <col min="20" max="20" width="11.25" style="580" customWidth="1"/>
    <col min="21" max="21" width="9.625" style="580" customWidth="1"/>
    <col min="22" max="22" width="10.75" style="580" customWidth="1"/>
    <col min="23" max="23" width="11" style="580" customWidth="1"/>
    <col min="24" max="24" width="11.25" style="580" customWidth="1"/>
    <col min="25" max="25" width="9.625" style="580" customWidth="1"/>
    <col min="26" max="26" width="10.75" style="580" customWidth="1"/>
    <col min="27" max="16384" width="9.125" style="580"/>
  </cols>
  <sheetData>
    <row r="1" spans="1:26" ht="14.95" x14ac:dyDescent="0.25">
      <c r="F1" s="579"/>
      <c r="J1" s="581"/>
      <c r="N1" s="581"/>
      <c r="R1" s="581"/>
      <c r="V1" s="581"/>
      <c r="Z1" s="423" t="s">
        <v>302</v>
      </c>
    </row>
    <row r="2" spans="1:26" ht="30.25" customHeight="1" x14ac:dyDescent="0.25">
      <c r="A2" s="883" t="s">
        <v>305</v>
      </c>
      <c r="B2" s="883" t="s">
        <v>586</v>
      </c>
      <c r="C2" s="880" t="s">
        <v>1505</v>
      </c>
      <c r="D2" s="881"/>
      <c r="E2" s="881"/>
      <c r="F2" s="882"/>
      <c r="G2" s="880" t="s">
        <v>1506</v>
      </c>
      <c r="H2" s="881"/>
      <c r="I2" s="881"/>
      <c r="J2" s="882"/>
      <c r="K2" s="880" t="s">
        <v>1507</v>
      </c>
      <c r="L2" s="881"/>
      <c r="M2" s="881"/>
      <c r="N2" s="882"/>
      <c r="O2" s="880" t="s">
        <v>1498</v>
      </c>
      <c r="P2" s="881"/>
      <c r="Q2" s="881"/>
      <c r="R2" s="882"/>
      <c r="S2" s="880" t="s">
        <v>1501</v>
      </c>
      <c r="T2" s="881"/>
      <c r="U2" s="881"/>
      <c r="V2" s="882"/>
      <c r="W2" s="880" t="s">
        <v>1719</v>
      </c>
      <c r="X2" s="881"/>
      <c r="Y2" s="881"/>
      <c r="Z2" s="882"/>
    </row>
    <row r="3" spans="1:26" ht="42.8" x14ac:dyDescent="0.25">
      <c r="A3" s="883"/>
      <c r="B3" s="883"/>
      <c r="C3" s="582" t="s">
        <v>1313</v>
      </c>
      <c r="D3" s="582" t="s">
        <v>1314</v>
      </c>
      <c r="E3" s="582" t="s">
        <v>1315</v>
      </c>
      <c r="F3" s="582" t="s">
        <v>553</v>
      </c>
      <c r="G3" s="582" t="s">
        <v>1313</v>
      </c>
      <c r="H3" s="582" t="s">
        <v>1314</v>
      </c>
      <c r="I3" s="582" t="s">
        <v>1315</v>
      </c>
      <c r="J3" s="582" t="s">
        <v>553</v>
      </c>
      <c r="K3" s="582" t="s">
        <v>1313</v>
      </c>
      <c r="L3" s="582" t="s">
        <v>1314</v>
      </c>
      <c r="M3" s="582" t="s">
        <v>1315</v>
      </c>
      <c r="N3" s="582" t="s">
        <v>553</v>
      </c>
      <c r="O3" s="582" t="s">
        <v>1313</v>
      </c>
      <c r="P3" s="582" t="s">
        <v>1314</v>
      </c>
      <c r="Q3" s="582" t="s">
        <v>1315</v>
      </c>
      <c r="R3" s="582" t="s">
        <v>553</v>
      </c>
      <c r="S3" s="582" t="s">
        <v>1313</v>
      </c>
      <c r="T3" s="582" t="s">
        <v>1314</v>
      </c>
      <c r="U3" s="582" t="s">
        <v>1315</v>
      </c>
      <c r="V3" s="582" t="s">
        <v>553</v>
      </c>
      <c r="W3" s="582" t="s">
        <v>1313</v>
      </c>
      <c r="X3" s="582" t="s">
        <v>1314</v>
      </c>
      <c r="Y3" s="582" t="s">
        <v>1315</v>
      </c>
      <c r="Z3" s="582" t="s">
        <v>553</v>
      </c>
    </row>
    <row r="4" spans="1:26" x14ac:dyDescent="0.25">
      <c r="A4" s="583" t="s">
        <v>309</v>
      </c>
      <c r="B4" s="584" t="s">
        <v>334</v>
      </c>
      <c r="C4" s="585">
        <f t="shared" ref="C4:E4" si="0">SUM(C5:C9)</f>
        <v>3527734.2</v>
      </c>
      <c r="D4" s="585">
        <f t="shared" si="0"/>
        <v>590021</v>
      </c>
      <c r="E4" s="585">
        <f t="shared" si="0"/>
        <v>4290</v>
      </c>
      <c r="F4" s="585">
        <f>SUM(C4:E4)</f>
        <v>4122045.2</v>
      </c>
      <c r="G4" s="585">
        <f t="shared" ref="G4:I4" si="1">SUM(G5:G9)</f>
        <v>3997044</v>
      </c>
      <c r="H4" s="585" t="e">
        <f t="shared" si="1"/>
        <v>#REF!</v>
      </c>
      <c r="I4" s="585" t="e">
        <f t="shared" si="1"/>
        <v>#REF!</v>
      </c>
      <c r="J4" s="585" t="e">
        <f>SUM(G4:I4)+1</f>
        <v>#REF!</v>
      </c>
      <c r="K4" s="585">
        <f t="shared" ref="K4:M4" si="2">SUM(K5:K9)</f>
        <v>3985853</v>
      </c>
      <c r="L4" s="585">
        <f t="shared" si="2"/>
        <v>1503317</v>
      </c>
      <c r="M4" s="585" t="e">
        <f t="shared" si="2"/>
        <v>#REF!</v>
      </c>
      <c r="N4" s="585" t="e">
        <f>SUM(K4:M4)</f>
        <v>#REF!</v>
      </c>
      <c r="O4" s="585">
        <f t="shared" ref="O4:Q4" si="3">SUM(O5:O9)</f>
        <v>3014237</v>
      </c>
      <c r="P4" s="585">
        <f t="shared" si="3"/>
        <v>1360034</v>
      </c>
      <c r="Q4" s="585">
        <f t="shared" si="3"/>
        <v>4037</v>
      </c>
      <c r="R4" s="585">
        <f>SUM(O4:Q4)</f>
        <v>4378308</v>
      </c>
      <c r="S4" s="585">
        <f t="shared" ref="S4:U4" si="4">SUM(S5:S9)</f>
        <v>3536737.7743149605</v>
      </c>
      <c r="T4" s="585">
        <f t="shared" si="4"/>
        <v>637929.41999999993</v>
      </c>
      <c r="U4" s="585">
        <f t="shared" si="4"/>
        <v>3277</v>
      </c>
      <c r="V4" s="585">
        <f>SUM(S4:U4)</f>
        <v>4177944.1943149604</v>
      </c>
      <c r="W4" s="585">
        <f t="shared" ref="W4:Y4" si="5">SUM(W5:W9)</f>
        <v>3701031.6799999997</v>
      </c>
      <c r="X4" s="585">
        <f t="shared" si="5"/>
        <v>680068</v>
      </c>
      <c r="Y4" s="585">
        <f t="shared" si="5"/>
        <v>3277</v>
      </c>
      <c r="Z4" s="585">
        <f>SUM(W4:Y4)</f>
        <v>4384376.68</v>
      </c>
    </row>
    <row r="5" spans="1:26" x14ac:dyDescent="0.25">
      <c r="A5" s="586" t="s">
        <v>311</v>
      </c>
      <c r="B5" s="587" t="s">
        <v>286</v>
      </c>
      <c r="C5" s="588">
        <f>'2B Önk kiad'!C8+'3A PH'!C40+'4H VG bev kiad'!C37+'4A Walla'!C37+'4B Nyitnikék'!C37+'4C Bóbita'!C37+'4D MMMH'!C37+'4E Könyvtár'!C37+'4F Segítő Kéz'!C37+'4G Szérüskert'!C37</f>
        <v>1428644</v>
      </c>
      <c r="D5" s="588">
        <f>'2B Önk kiad'!D8+'3A PH'!D40+'4H VG bev kiad'!D37+'4A Walla'!D37+'4B Nyitnikék'!D37+'4C Bóbita'!D37+'4D MMMH'!D37+'4E Könyvtár'!D37+'4F Segítő Kéz'!D37+'4G Szérüskert'!D37</f>
        <v>87322</v>
      </c>
      <c r="E5" s="588">
        <f>'2B Önk kiad'!E8+'3A PH'!E40</f>
        <v>40</v>
      </c>
      <c r="F5" s="588">
        <f t="shared" ref="F5:F34" si="6">SUM(C5:E5)</f>
        <v>1516006</v>
      </c>
      <c r="G5" s="588">
        <f>'2B Önk kiad'!G8+'3A PH'!G40+'4H VG bev kiad'!F37+'4A Walla'!F37+'4B Nyitnikék'!F37+'4C Bóbita'!F37+'4D MMMH'!F37+'4E Könyvtár'!F37+'4F Segítő Kéz'!F37+'4G Szérüskert'!F37</f>
        <v>1461521</v>
      </c>
      <c r="H5" s="588">
        <f>'2B Önk kiad'!H8+'3A PH'!H40+'4H VG bev kiad'!G37+'4A Walla'!G37+'4B Nyitnikék'!G37+'4C Bóbita'!G37+'4D MMMH'!G37+'4E Könyvtár'!G37+'4F Segítő Kéz'!G37+'4G Szérüskert'!G37</f>
        <v>95468</v>
      </c>
      <c r="I5" s="588">
        <f>'2B Önk kiad'!I8+'3A PH'!I40</f>
        <v>40</v>
      </c>
      <c r="J5" s="588">
        <f t="shared" ref="J5:J35" si="7">SUM(G5:I5)</f>
        <v>1557029</v>
      </c>
      <c r="K5" s="588">
        <f>'2B Önk kiad'!K8+'3A PH'!K40+'4H VG bev kiad'!I37+'4A Walla'!I37+'4B Nyitnikék'!I37+'4C Bóbita'!I37+'4D MMMH'!I37+'4E Könyvtár'!I37+'4F Segítő Kéz'!I37+'4G Szérüskert'!I37</f>
        <v>1461521</v>
      </c>
      <c r="L5" s="588">
        <f>'2B Önk kiad'!L8+'3A PH'!L40+'4H VG bev kiad'!J37+'4A Walla'!J37+'4B Nyitnikék'!J37+'4C Bóbita'!J37+'4D MMMH'!J37+'4E Könyvtár'!J37+'4F Segítő Kéz'!J37+'4G Szérüskert'!J37</f>
        <v>93252</v>
      </c>
      <c r="M5" s="588" t="e">
        <f>'2B Önk kiad'!M8+'3A PH'!M40+'4H VG bev kiad'!#REF!+'4A Walla'!#REF!+'4B Nyitnikék'!#REF!+'4C Bóbita'!#REF!+'4D MMMH'!#REF!+'4E Könyvtár'!#REF!+'4F Segítő Kéz'!#REF!+'4G Szérüskert'!#REF!</f>
        <v>#REF!</v>
      </c>
      <c r="N5" s="588" t="e">
        <f t="shared" ref="N5:N6" si="8">SUM(K5:M5)</f>
        <v>#REF!</v>
      </c>
      <c r="O5" s="588">
        <f>'2B Önk kiad'!O8+'3A PH'!O40+'4H VG bev kiad'!L37+'4A Walla'!L37+'4B Nyitnikék'!L37+'4C Bóbita'!L37+'4D MMMH'!L37+'4E Könyvtár'!L37+'4F Segítő Kéz'!L37+'4G Szérüskert'!L37</f>
        <v>1190010</v>
      </c>
      <c r="P5" s="588">
        <f>'2B Önk kiad'!P8+'3A PH'!P40+'4H VG bev kiad'!M37+'4A Walla'!M37+'4B Nyitnikék'!M37+'4C Bóbita'!M37+'4D MMMH'!M37+'4E Könyvtár'!M37+'4F Segítő Kéz'!M37+'4G Szérüskert'!M37</f>
        <v>179040</v>
      </c>
      <c r="Q5" s="588">
        <f>'2B Önk kiad'!Q8+'3A PH'!Q40</f>
        <v>160</v>
      </c>
      <c r="R5" s="588">
        <f t="shared" ref="R5:R6" si="9">SUM(O5:Q5)</f>
        <v>1369210</v>
      </c>
      <c r="S5" s="588">
        <f>'2B Önk kiad'!S8+'3A PH'!S40+'4H VG bev kiad'!O37+'4A Walla'!O37+'4B Nyitnikék'!O37+'4C Bóbita'!O37+'4D MMMH'!O37+'4E Könyvtár'!O37+'4F Segítő Kéz'!O37+'4G Szérüskert'!O37</f>
        <v>1490353.6</v>
      </c>
      <c r="T5" s="588">
        <f>'2B Önk kiad'!T8+'3A PH'!T40+'4H VG bev kiad'!P37+'4A Walla'!P37+'4B Nyitnikék'!P37+'4C Bóbita'!P37+'4D MMMH'!P37+'4E Könyvtár'!P37+'4F Segítő Kéz'!P37+'4G Szérüskert'!P37</f>
        <v>93472</v>
      </c>
      <c r="U5" s="588">
        <f>'2B Önk kiad'!U8+'3A PH'!U40</f>
        <v>40</v>
      </c>
      <c r="V5" s="588">
        <f t="shared" ref="V5:V6" si="10">SUM(S5:U5)</f>
        <v>1583865.6</v>
      </c>
      <c r="W5" s="588">
        <f>'2B Önk kiad'!W8+'3A PH'!W40+'4H VG bev kiad'!R37+'4A Walla'!R37+'4B Nyitnikék'!R37+'4C Bóbita'!R37+'4D MMMH'!R37+'4E Könyvtár'!R37+'4F Segítő Kéz'!R37+'4G Szérüskert'!R37</f>
        <v>1537672</v>
      </c>
      <c r="X5" s="588">
        <f>'2B Önk kiad'!X8+'3A PH'!X40+'4H VG bev kiad'!S37+'4A Walla'!S37+'4B Nyitnikék'!S37+'4C Bóbita'!S37+'4D MMMH'!S37+'4E Könyvtár'!S37+'4F Segítő Kéz'!S37+'4G Szérüskert'!S37-1</f>
        <v>93668</v>
      </c>
      <c r="Y5" s="588">
        <f>'2B Önk kiad'!Y8+'3A PH'!Y40</f>
        <v>40</v>
      </c>
      <c r="Z5" s="588">
        <f t="shared" ref="Z5:Z6" si="11">SUM(W5:Y5)</f>
        <v>1631380</v>
      </c>
    </row>
    <row r="6" spans="1:26" ht="28.55" x14ac:dyDescent="0.25">
      <c r="A6" s="586" t="s">
        <v>322</v>
      </c>
      <c r="B6" s="587" t="s">
        <v>335</v>
      </c>
      <c r="C6" s="588">
        <f>'2B Önk kiad'!C9+'3A PH'!C41+'4H VG bev kiad'!C38+'4A Walla'!C38+'4B Nyitnikék'!C38+'4C Bóbita'!C38+'4D MMMH'!C38+'4E Könyvtár'!C38+'4F Segítő Kéz'!C38+'4G Szérüskert'!C38</f>
        <v>296310</v>
      </c>
      <c r="D6" s="588">
        <f>'2B Önk kiad'!D9+'3A PH'!D41+'4H VG bev kiad'!D38+'4A Walla'!D38+'4B Nyitnikék'!D38+'4C Bóbita'!D38+'4D MMMH'!D38+'4E Könyvtár'!D38+'4F Segítő Kéz'!D38+'4G Szérüskert'!D38</f>
        <v>17483</v>
      </c>
      <c r="E6" s="588">
        <f>'2B Önk kiad'!E9+'3A PH'!E41</f>
        <v>16</v>
      </c>
      <c r="F6" s="588">
        <f t="shared" si="6"/>
        <v>313809</v>
      </c>
      <c r="G6" s="588">
        <f>'2B Önk kiad'!G9+'3A PH'!G41+'4H VG bev kiad'!F38+'4A Walla'!F38+'4B Nyitnikék'!F38+'4C Bóbita'!F38+'4D MMMH'!F38+'4E Könyvtár'!F38+'4F Segítő Kéz'!F38+'4G Szérüskert'!F38</f>
        <v>301814</v>
      </c>
      <c r="H6" s="588">
        <f>'2B Önk kiad'!H9+'3A PH'!H41+'4H VG bev kiad'!G38+'4A Walla'!G38+'4B Nyitnikék'!G38+'4C Bóbita'!G38+'4D MMMH'!G38+'4E Könyvtár'!G38+'4F Segítő Kéz'!G38+'4G Szérüskert'!G38-1</f>
        <v>17759</v>
      </c>
      <c r="I6" s="588">
        <f>'2B Önk kiad'!I9+'3A PH'!I41</f>
        <v>16</v>
      </c>
      <c r="J6" s="588">
        <f t="shared" si="7"/>
        <v>319589</v>
      </c>
      <c r="K6" s="588">
        <f>'2B Önk kiad'!K9+'3A PH'!K41+'4H VG bev kiad'!I38+'4A Walla'!I38+'4B Nyitnikék'!I38+'4C Bóbita'!I38+'4D MMMH'!I38+'4E Könyvtár'!I38+'4F Segítő Kéz'!I38+'4G Szérüskert'!I38</f>
        <v>301814</v>
      </c>
      <c r="L6" s="588">
        <f>'2B Önk kiad'!L9+'3A PH'!L41+'4H VG bev kiad'!J38+'4A Walla'!J38+'4B Nyitnikék'!J38+'4C Bóbita'!J38+'4D MMMH'!J38+'4E Könyvtár'!J38+'4F Segítő Kéz'!J38+'4G Szérüskert'!J38-1</f>
        <v>18849</v>
      </c>
      <c r="M6" s="588" t="e">
        <f>'2B Önk kiad'!M9+'3A PH'!M41+'4H VG bev kiad'!#REF!+'4A Walla'!#REF!+'4B Nyitnikék'!#REF!+'4C Bóbita'!#REF!+'4D MMMH'!#REF!+'4E Könyvtár'!#REF!+'4F Segítő Kéz'!#REF!+'4G Szérüskert'!#REF!</f>
        <v>#REF!</v>
      </c>
      <c r="N6" s="588" t="e">
        <f t="shared" si="8"/>
        <v>#REF!</v>
      </c>
      <c r="O6" s="588">
        <f>'2B Önk kiad'!O9+'3A PH'!O41+'4H VG bev kiad'!L38+'4A Walla'!L38+'4B Nyitnikék'!L38+'4C Bóbita'!L38+'4D MMMH'!L38+'4E Könyvtár'!L38+'4F Segítő Kéz'!L38+'4G Szérüskert'!L38</f>
        <v>252718</v>
      </c>
      <c r="P6" s="588">
        <f>'2B Önk kiad'!P9+'3A PH'!P41+'4H VG bev kiad'!M38+'4A Walla'!M38+'4B Nyitnikék'!M38+'4C Bóbita'!M38+'4D MMMH'!M38+'4E Könyvtár'!M38+'4F Segítő Kéz'!M38+'4G Szérüskert'!M38</f>
        <v>10248</v>
      </c>
      <c r="Q6" s="588">
        <f>'2B Önk kiad'!Q9+'3A PH'!Q41</f>
        <v>0</v>
      </c>
      <c r="R6" s="588">
        <f t="shared" si="9"/>
        <v>262966</v>
      </c>
      <c r="S6" s="588">
        <f>'2B Önk kiad'!S9+'3A PH'!S41+'4H VG bev kiad'!O38+'4A Walla'!O38+'4B Nyitnikék'!O38+'4C Bóbita'!O38+'4D MMMH'!O38+'4E Könyvtár'!O38+'4F Segítő Kéz'!O38+'4G Szérüskert'!O38</f>
        <v>294264.864</v>
      </c>
      <c r="T6" s="588">
        <f>'2B Önk kiad'!T9+'3A PH'!T41+'4H VG bev kiad'!P38+'4A Walla'!P38+'4B Nyitnikék'!P38+'4C Bóbita'!P38+'4D MMMH'!P38+'4E Könyvtár'!P38+'4F Segítő Kéz'!P38+'4G Szérüskert'!P38</f>
        <v>11400</v>
      </c>
      <c r="U6" s="588">
        <f>'2B Önk kiad'!U9+'3A PH'!U41</f>
        <v>7</v>
      </c>
      <c r="V6" s="588">
        <f t="shared" si="10"/>
        <v>305671.864</v>
      </c>
      <c r="W6" s="588">
        <f>'2B Önk kiad'!W9+'3A PH'!W41+'4H VG bev kiad'!R38+'4A Walla'!R38+'4B Nyitnikék'!R38+'4C Bóbita'!R38+'4D MMMH'!R38+'4E Könyvtár'!R38+'4F Segítő Kéz'!R38+'4G Szérüskert'!R38</f>
        <v>303525</v>
      </c>
      <c r="X6" s="588">
        <f>'2B Önk kiad'!X9+'3A PH'!X41+'4H VG bev kiad'!S38+'4A Walla'!S38+'4B Nyitnikék'!S38+'4C Bóbita'!S38+'4D MMMH'!S38+'4E Könyvtár'!S38+'4F Segítő Kéz'!S38+'4G Szérüskert'!S38</f>
        <v>11523</v>
      </c>
      <c r="Y6" s="588">
        <f>'2B Önk kiad'!Y9+'3A PH'!Y41</f>
        <v>7</v>
      </c>
      <c r="Z6" s="588">
        <f t="shared" si="11"/>
        <v>315055</v>
      </c>
    </row>
    <row r="7" spans="1:26" x14ac:dyDescent="0.25">
      <c r="A7" s="586" t="s">
        <v>315</v>
      </c>
      <c r="B7" s="587" t="s">
        <v>292</v>
      </c>
      <c r="C7" s="589">
        <f>'2B Önk kiad'!C10+'3A PH'!C42+'4H VG bev kiad'!C39+'4A Walla'!C39+'4B Nyitnikék'!C39+'4C Bóbita'!C39+'4D MMMH'!C39+'4E Könyvtár'!C39+'4F Segítő Kéz'!C39+'4G Szérüskert'!C39</f>
        <v>1286418.2</v>
      </c>
      <c r="D7" s="589">
        <f>'2B Önk kiad'!D10+'3A PH'!D42+'4H VG bev kiad'!D39+'4A Walla'!D39+'4B Nyitnikék'!D39+'4C Bóbita'!D39+'4D MMMH'!D39+'4E Könyvtár'!D39+'4F Segítő Kéz'!D39+'4G Szérüskert'!D39</f>
        <v>163697</v>
      </c>
      <c r="E7" s="589">
        <f>'2B Önk kiad'!E10+'3A PH'!E42</f>
        <v>4234</v>
      </c>
      <c r="F7" s="589">
        <f t="shared" si="6"/>
        <v>1454349.2</v>
      </c>
      <c r="G7" s="589">
        <f>'2B Önk kiad'!G10+'3A PH'!G42+'4H VG bev kiad'!F39+'4A Walla'!F39+'4B Nyitnikék'!F39+'4C Bóbita'!F39+'4D MMMH'!F39+'4E Könyvtár'!F39+'4F Segítő Kéz'!F39+'4G Szérüskert'!F39</f>
        <v>1900489</v>
      </c>
      <c r="H7" s="589">
        <f>'2B Önk kiad'!H10+'3A PH'!H42+'4H VG bev kiad'!G39+'4A Walla'!G39+'4B Nyitnikék'!G39+'4C Bóbita'!G39+'4D MMMH'!G39+'4E Könyvtár'!G39+'4F Segítő Kéz'!G39+'4G Szérüskert'!G39</f>
        <v>242626</v>
      </c>
      <c r="I7" s="589">
        <f>'2B Önk kiad'!I10+'3A PH'!I42</f>
        <v>4234</v>
      </c>
      <c r="J7" s="589">
        <f>SUM(G7:I7)</f>
        <v>2147349</v>
      </c>
      <c r="K7" s="589">
        <f>'2B Önk kiad'!K10+'3A PH'!K42+'4H VG bev kiad'!I39+'4A Walla'!I39+'4B Nyitnikék'!I39+'4C Bóbita'!I39+'4D MMMH'!I39+'4E Könyvtár'!I39+'4F Segítő Kéz'!I39+'4G Szérüskert'!I39</f>
        <v>1807880</v>
      </c>
      <c r="L7" s="589">
        <f>'2B Önk kiad'!L10+'3A PH'!L42+'4H VG bev kiad'!J39+'4A Walla'!J39+'4B Nyitnikék'!J39+'4C Bóbita'!J39+'4D MMMH'!J39+'4E Könyvtár'!J39+'4F Segítő Kéz'!J39+'4G Szérüskert'!J39</f>
        <v>956321</v>
      </c>
      <c r="M7" s="589" t="e">
        <f>'2B Önk kiad'!M10+'3A PH'!M42+'4H VG bev kiad'!#REF!+'4A Walla'!#REF!+'4B Nyitnikék'!#REF!+'4C Bóbita'!#REF!+'4D MMMH'!#REF!+'4E Könyvtár'!#REF!+'4F Segítő Kéz'!#REF!+'4G Szérüskert'!#REF!</f>
        <v>#REF!</v>
      </c>
      <c r="N7" s="589" t="e">
        <f>SUM(K7:M7)</f>
        <v>#REF!</v>
      </c>
      <c r="O7" s="589">
        <f>'2B Önk kiad'!O10+'3A PH'!O42+'4H VG bev kiad'!L39+'4A Walla'!L39+'4B Nyitnikék'!L39+'4C Bóbita'!L39+'4D MMMH'!L39+'4E Könyvtár'!L39+'4F Segítő Kéz'!L39+'4G Szérüskert'!L39</f>
        <v>1560497</v>
      </c>
      <c r="P7" s="589">
        <f>'2B Önk kiad'!P10+'3A PH'!P42+'4H VG bev kiad'!M39+'4A Walla'!M39+'4B Nyitnikék'!M39+'4C Bóbita'!M39+'4D MMMH'!M39+'4E Könyvtár'!M39+'4F Segítő Kéz'!M39+'4G Szérüskert'!M39</f>
        <v>770873</v>
      </c>
      <c r="Q7" s="589">
        <f>'2B Önk kiad'!Q10+'3A PH'!Q42</f>
        <v>3877</v>
      </c>
      <c r="R7" s="589">
        <f>SUM(O7:Q7)</f>
        <v>2335247</v>
      </c>
      <c r="S7" s="589">
        <f>'2B Önk kiad'!S10+'3A PH'!S42+'4H VG bev kiad'!O39+'4A Walla'!O39+'4B Nyitnikék'!O39+'4C Bóbita'!O39+'4D MMMH'!O39+'4E Könyvtár'!O39+'4F Segítő Kéz'!O39+'4G Szérüskert'!O39</f>
        <v>1223614.3103149605</v>
      </c>
      <c r="T7" s="589">
        <f>'2B Önk kiad'!T10+'3A PH'!T42+'4H VG bev kiad'!P39+'4A Walla'!P39+'4B Nyitnikék'!P39+'4C Bóbita'!P39+'4D MMMH'!P39+'4E Könyvtár'!P39+'4F Segítő Kéz'!P39+'4G Szérüskert'!P39</f>
        <v>219702.41999999998</v>
      </c>
      <c r="U7" s="589">
        <f>'2B Önk kiad'!U10+'3A PH'!U42</f>
        <v>3230</v>
      </c>
      <c r="V7" s="589">
        <f>SUM(S7:U7)</f>
        <v>1446546.7303149605</v>
      </c>
      <c r="W7" s="589">
        <f>'2B Önk kiad'!W10+'3A PH'!W42+'4H VG bev kiad'!R39+'4A Walla'!R39+'4B Nyitnikék'!R39+'4C Bóbita'!R39+'4D MMMH'!R39+'4E Könyvtár'!R39+'4F Segítő Kéz'!R39+'4G Szérüskert'!R39</f>
        <v>1365031.68</v>
      </c>
      <c r="X7" s="589">
        <f>'2B Önk kiad'!X10+'3A PH'!X42+'4H VG bev kiad'!S39+'4A Walla'!S39+'4B Nyitnikék'!S39+'4C Bóbita'!S39+'4D MMMH'!S39+'4E Könyvtár'!S39+'4F Segítő Kéz'!S39+'4G Szérüskert'!S39</f>
        <v>249382</v>
      </c>
      <c r="Y7" s="589">
        <f>'2B Önk kiad'!Y10+'3A PH'!Y42</f>
        <v>3230</v>
      </c>
      <c r="Z7" s="589">
        <f>SUM(W7:Y7)</f>
        <v>1617643.68</v>
      </c>
    </row>
    <row r="8" spans="1:26" x14ac:dyDescent="0.25">
      <c r="A8" s="586" t="s">
        <v>336</v>
      </c>
      <c r="B8" s="587" t="s">
        <v>337</v>
      </c>
      <c r="C8" s="589">
        <f>'2B Önk kiad'!C11+'3A PH'!C43+'4H VG bev kiad'!C40+'4A Walla'!C40+'4B Nyitnikék'!C40+'4C Bóbita'!C40+'4D MMMH'!C40+'4E Könyvtár'!C40+'4F Segítő Kéz'!C40+'4G Szérüskert'!C40</f>
        <v>0</v>
      </c>
      <c r="D8" s="589">
        <f>'2B Önk kiad'!D11+'3A PH'!D43+'4H VG bev kiad'!D40+'4A Walla'!D40+'4B Nyitnikék'!D40+'4C Bóbita'!D40+'4D MMMH'!D40+'4E Könyvtár'!D40+'4F Segítő Kéz'!D40+'4G Szérüskert'!D40</f>
        <v>30000</v>
      </c>
      <c r="E8" s="589">
        <f>'2B Önk kiad'!E11+'3A PH'!E43</f>
        <v>0</v>
      </c>
      <c r="F8" s="589">
        <f t="shared" si="6"/>
        <v>30000</v>
      </c>
      <c r="G8" s="589">
        <f>'2B Önk kiad'!G11+'3A PH'!G43+'4H VG bev kiad'!F40+'4A Walla'!F40+'4B Nyitnikék'!F40+'4C Bóbita'!F40+'4D MMMH'!F40+'4E Könyvtár'!F40+'4F Segítő Kéz'!F40+'4G Szérüskert'!F40</f>
        <v>0</v>
      </c>
      <c r="H8" s="589">
        <f>'2B Önk kiad'!H11+'3A PH'!H43+'4H VG bev kiad'!G40+'4A Walla'!G40+'4B Nyitnikék'!G40+'4C Bóbita'!G40+'4D MMMH'!G40+'4E Könyvtár'!G40+'4F Segítő Kéz'!G40+'4G Szérüskert'!G40</f>
        <v>30223</v>
      </c>
      <c r="I8" s="589">
        <f>'2B Önk kiad'!I11+'3A PH'!I43</f>
        <v>0</v>
      </c>
      <c r="J8" s="589">
        <f t="shared" si="7"/>
        <v>30223</v>
      </c>
      <c r="K8" s="589">
        <f>'2B Önk kiad'!K11+'3A PH'!K43+'4H VG bev kiad'!I40+'4A Walla'!I40+'4B Nyitnikék'!I40+'4C Bóbita'!I40+'4D MMMH'!I40+'4E Könyvtár'!I40+'4F Segítő Kéz'!I40+'4G Szérüskert'!I40</f>
        <v>0</v>
      </c>
      <c r="L8" s="589">
        <f>'2B Önk kiad'!L11+'3A PH'!L43+'4H VG bev kiad'!J40+'4A Walla'!J40+'4B Nyitnikék'!J40+'4C Bóbita'!J40+'4D MMMH'!J40+'4E Könyvtár'!J40+'4F Segítő Kéz'!J40+'4G Szérüskert'!J40</f>
        <v>30223</v>
      </c>
      <c r="M8" s="589" t="e">
        <f>'2B Önk kiad'!M11+'3A PH'!M43+'4H VG bev kiad'!#REF!+'4A Walla'!#REF!+'4B Nyitnikék'!#REF!+'4C Bóbita'!#REF!+'4D MMMH'!#REF!+'4E Könyvtár'!#REF!+'4F Segítő Kéz'!#REF!+'4G Szérüskert'!#REF!</f>
        <v>#REF!</v>
      </c>
      <c r="N8" s="589" t="e">
        <f t="shared" ref="N8:N14" si="12">SUM(K8:M8)</f>
        <v>#REF!</v>
      </c>
      <c r="O8" s="589">
        <f>'2B Önk kiad'!O11+'3A PH'!O43+'4H VG bev kiad'!L40+'4A Walla'!L40+'4B Nyitnikék'!L40+'4C Bóbita'!L40+'4D MMMH'!L40+'4E Könyvtár'!L40+'4F Segítő Kéz'!L40+'4G Szérüskert'!L40</f>
        <v>0</v>
      </c>
      <c r="P8" s="589">
        <f>'2B Önk kiad'!P11+'3A PH'!P43+'4H VG bev kiad'!M40+'4A Walla'!M40+'4B Nyitnikék'!M40+'4C Bóbita'!M40+'4D MMMH'!M40+'4E Könyvtár'!M40+'4F Segítő Kéz'!M40+'4G Szérüskert'!M40</f>
        <v>11767</v>
      </c>
      <c r="Q8" s="589">
        <f>'2B Önk kiad'!Q11+'3A PH'!Q43</f>
        <v>0</v>
      </c>
      <c r="R8" s="589">
        <f t="shared" ref="R8:R14" si="13">SUM(O8:Q8)</f>
        <v>11767</v>
      </c>
      <c r="S8" s="589">
        <f>'2B Önk kiad'!S11+'3A PH'!S43+'4H VG bev kiad'!O40+'4A Walla'!O40+'4B Nyitnikék'!O40+'4C Bóbita'!O40+'4D MMMH'!O40+'4E Könyvtár'!O40+'4F Segítő Kéz'!O40+'4G Szérüskert'!O40</f>
        <v>18000</v>
      </c>
      <c r="T8" s="589">
        <f>'2B Önk kiad'!T11+'3A PH'!T43+'4H VG bev kiad'!P40+'4A Walla'!P40+'4B Nyitnikék'!P40+'4C Bóbita'!P40+'4D MMMH'!P40+'4E Könyvtár'!P40+'4F Segítő Kéz'!P40+'4G Szérüskert'!P40</f>
        <v>16000</v>
      </c>
      <c r="U8" s="589">
        <f>'2B Önk kiad'!U11+'3A PH'!U43</f>
        <v>0</v>
      </c>
      <c r="V8" s="589">
        <f t="shared" ref="V8:V14" si="14">SUM(S8:U8)</f>
        <v>34000</v>
      </c>
      <c r="W8" s="589">
        <f>'2B Önk kiad'!W11+'3A PH'!W43+'4H VG bev kiad'!R40+'4A Walla'!R40+'4B Nyitnikék'!R40+'4C Bóbita'!R40+'4D MMMH'!R40+'4E Könyvtár'!R40+'4F Segítő Kéz'!R40+'4G Szérüskert'!R40</f>
        <v>20455</v>
      </c>
      <c r="X8" s="589">
        <f>'2B Önk kiad'!X11+'3A PH'!X43+'4H VG bev kiad'!S40+'4A Walla'!S40+'4B Nyitnikék'!S40+'4C Bóbita'!S40+'4D MMMH'!S40+'4E Könyvtár'!S40+'4F Segítő Kéz'!S40+'4G Szérüskert'!S40</f>
        <v>16000</v>
      </c>
      <c r="Y8" s="589">
        <f>'2B Önk kiad'!Y11+'3A PH'!Y43</f>
        <v>0</v>
      </c>
      <c r="Z8" s="589">
        <f t="shared" ref="Z8:Z14" si="15">SUM(W8:Y8)</f>
        <v>36455</v>
      </c>
    </row>
    <row r="9" spans="1:26" x14ac:dyDescent="0.25">
      <c r="A9" s="586" t="s">
        <v>338</v>
      </c>
      <c r="B9" s="587" t="s">
        <v>339</v>
      </c>
      <c r="C9" s="589">
        <f>'2B Önk kiad'!C12+'3A PH'!C44+'4H VG bev kiad'!C41+'4A Walla'!C41+'4B Nyitnikék'!C41+'4C Bóbita'!C41+'4D MMMH'!C41+'4E Könyvtár'!C41+'4F Segítő Kéz'!C41+'4G Szérüskert'!C41</f>
        <v>516362</v>
      </c>
      <c r="D9" s="589">
        <f>'2B Önk kiad'!D12+'3A PH'!D44+'4H VG bev kiad'!D41+'4A Walla'!D41+'4B Nyitnikék'!D41+'4C Bóbita'!D41+'4D MMMH'!D41+'4E Könyvtár'!D41+'4F Segítő Kéz'!D41+'4G Szérüskert'!D41</f>
        <v>291519</v>
      </c>
      <c r="E9" s="589">
        <f>'2B Önk kiad'!E12+'3A PH'!E44</f>
        <v>0</v>
      </c>
      <c r="F9" s="589">
        <f t="shared" si="6"/>
        <v>807881</v>
      </c>
      <c r="G9" s="589">
        <f>'2B Önk kiad'!G12+'3A PH'!G44+'4H VG bev kiad'!F41+'4A Walla'!F41+'4B Nyitnikék'!F41+'4C Bóbita'!F41+'4D MMMH'!F41+'4E Könyvtár'!F41+'4F Segítő Kéz'!F41+'4G Szérüskert'!F41</f>
        <v>333220</v>
      </c>
      <c r="H9" s="589" t="e">
        <f>'2B Önk kiad'!H12+'3A PH'!H44+'4H VG bev kiad'!G41+'4A Walla'!G41+'4B Nyitnikék'!G41+'4C Bóbita'!G41+'4D MMMH'!G41+'4E Könyvtár'!G41+'4F Segítő Kéz'!G41+'4G Szérüskert'!G41</f>
        <v>#REF!</v>
      </c>
      <c r="I9" s="589" t="e">
        <f>'2B Önk kiad'!I12+'3A PH'!I44</f>
        <v>#REF!</v>
      </c>
      <c r="J9" s="589" t="e">
        <f t="shared" si="7"/>
        <v>#REF!</v>
      </c>
      <c r="K9" s="589">
        <f>'2B Önk kiad'!K12+'3A PH'!K44+'4H VG bev kiad'!I41+'4A Walla'!I41+'4B Nyitnikék'!I41+'4C Bóbita'!I41+'4D MMMH'!I41+'4E Könyvtár'!I41+'4F Segítő Kéz'!I41+'4G Szérüskert'!I41</f>
        <v>414638</v>
      </c>
      <c r="L9" s="589">
        <f>'2B Önk kiad'!L12+'3A PH'!L44+'4H VG bev kiad'!J41+'4A Walla'!J41+'4B Nyitnikék'!J41+'4C Bóbita'!J41+'4D MMMH'!J41+'4E Könyvtár'!J41+'4F Segítő Kéz'!J41+'4G Szérüskert'!J41</f>
        <v>404672</v>
      </c>
      <c r="M9" s="589" t="e">
        <f>'2B Önk kiad'!M12+'3A PH'!M44+'4H VG bev kiad'!#REF!+'4A Walla'!#REF!+'4B Nyitnikék'!#REF!+'4C Bóbita'!#REF!+'4D MMMH'!#REF!+'4E Könyvtár'!#REF!+'4F Segítő Kéz'!#REF!+'4G Szérüskert'!#REF!</f>
        <v>#REF!</v>
      </c>
      <c r="N9" s="589" t="e">
        <f t="shared" si="12"/>
        <v>#REF!</v>
      </c>
      <c r="O9" s="589">
        <f>'2B Önk kiad'!O12+'3A PH'!O44+'4H VG bev kiad'!L41+'4A Walla'!L41+'4B Nyitnikék'!L41+'4C Bóbita'!L41+'4D MMMH'!L41+'4E Könyvtár'!L41+'4F Segítő Kéz'!L41+'4G Szérüskert'!L41</f>
        <v>11012</v>
      </c>
      <c r="P9" s="589">
        <f>'2B Önk kiad'!P12+'3A PH'!P44+'4H VG bev kiad'!M41+'4A Walla'!M41+'4B Nyitnikék'!M41+'4C Bóbita'!M41+'4D MMMH'!M41+'4E Könyvtár'!M41+'4F Segítő Kéz'!M41+'4G Szérüskert'!M41</f>
        <v>388106</v>
      </c>
      <c r="Q9" s="589">
        <f>'2B Önk kiad'!Q12+'3A PH'!Q44</f>
        <v>0</v>
      </c>
      <c r="R9" s="589">
        <f t="shared" si="13"/>
        <v>399118</v>
      </c>
      <c r="S9" s="589">
        <f>'2B Önk kiad'!S12+'3A PH'!S44+'4H VG bev kiad'!O41+'4A Walla'!O41+'4B Nyitnikék'!O41+'4C Bóbita'!O41+'4D MMMH'!O41+'4E Könyvtár'!O41+'4F Segítő Kéz'!O41+'4G Szérüskert'!O41</f>
        <v>510505</v>
      </c>
      <c r="T9" s="589">
        <f>'2B Önk kiad'!T12+'3A PH'!T44+'4H VG bev kiad'!P41+'4A Walla'!P41+'4B Nyitnikék'!P41+'4C Bóbita'!P41+'4D MMMH'!P41+'4E Könyvtár'!P41+'4F Segítő Kéz'!P41+'4G Szérüskert'!P41</f>
        <v>297355</v>
      </c>
      <c r="U9" s="589">
        <f>'2B Önk kiad'!U12+'3A PH'!U44</f>
        <v>0</v>
      </c>
      <c r="V9" s="589">
        <f t="shared" si="14"/>
        <v>807860</v>
      </c>
      <c r="W9" s="589">
        <f>'2B Önk kiad'!W12+'3A PH'!W44+'4H VG bev kiad'!R41+'4A Walla'!R41+'4B Nyitnikék'!R41+'4C Bóbita'!R41+'4D MMMH'!R41+'4E Könyvtár'!R41+'4F Segítő Kéz'!R41+'4G Szérüskert'!R41</f>
        <v>474348</v>
      </c>
      <c r="X9" s="589">
        <f>'2B Önk kiad'!X12+'3A PH'!X44+'4H VG bev kiad'!S41+'4A Walla'!S41+'4B Nyitnikék'!S41+'4C Bóbita'!S41+'4D MMMH'!S41+'4E Könyvtár'!S41+'4F Segítő Kéz'!S41+'4G Szérüskert'!S41</f>
        <v>309495</v>
      </c>
      <c r="Y9" s="589">
        <f>'2B Önk kiad'!Y12+'3A PH'!Y44</f>
        <v>0</v>
      </c>
      <c r="Z9" s="589">
        <f t="shared" si="15"/>
        <v>783843</v>
      </c>
    </row>
    <row r="10" spans="1:26" ht="14.3" hidden="1" customHeight="1" x14ac:dyDescent="0.25">
      <c r="A10" s="590"/>
      <c r="B10" s="591" t="s">
        <v>671</v>
      </c>
      <c r="C10" s="593"/>
      <c r="D10" s="593"/>
      <c r="E10" s="593"/>
      <c r="F10" s="593">
        <f t="shared" si="6"/>
        <v>0</v>
      </c>
      <c r="G10" s="593"/>
      <c r="H10" s="593"/>
      <c r="I10" s="593"/>
      <c r="J10" s="593">
        <f t="shared" si="7"/>
        <v>0</v>
      </c>
      <c r="K10" s="593"/>
      <c r="L10" s="593"/>
      <c r="M10" s="593"/>
      <c r="N10" s="593">
        <f t="shared" si="12"/>
        <v>0</v>
      </c>
      <c r="O10" s="593"/>
      <c r="P10" s="593"/>
      <c r="Q10" s="593"/>
      <c r="R10" s="593">
        <f t="shared" si="13"/>
        <v>0</v>
      </c>
      <c r="S10" s="593"/>
      <c r="T10" s="593"/>
      <c r="U10" s="593"/>
      <c r="V10" s="593">
        <f t="shared" si="14"/>
        <v>0</v>
      </c>
      <c r="W10" s="593"/>
      <c r="X10" s="593"/>
      <c r="Y10" s="593"/>
      <c r="Z10" s="593">
        <f t="shared" si="15"/>
        <v>0</v>
      </c>
    </row>
    <row r="11" spans="1:26" s="578" customFormat="1" ht="28.55" hidden="1" customHeight="1" x14ac:dyDescent="0.25">
      <c r="A11" s="590"/>
      <c r="B11" s="591" t="s">
        <v>672</v>
      </c>
      <c r="C11" s="593"/>
      <c r="D11" s="593"/>
      <c r="E11" s="593"/>
      <c r="F11" s="593">
        <f t="shared" si="6"/>
        <v>0</v>
      </c>
      <c r="G11" s="593"/>
      <c r="H11" s="593"/>
      <c r="I11" s="593"/>
      <c r="J11" s="593">
        <f t="shared" si="7"/>
        <v>0</v>
      </c>
      <c r="K11" s="593"/>
      <c r="L11" s="593"/>
      <c r="M11" s="593"/>
      <c r="N11" s="593">
        <f t="shared" si="12"/>
        <v>0</v>
      </c>
      <c r="O11" s="593"/>
      <c r="P11" s="593"/>
      <c r="Q11" s="593"/>
      <c r="R11" s="593">
        <f t="shared" si="13"/>
        <v>0</v>
      </c>
      <c r="S11" s="593"/>
      <c r="T11" s="593"/>
      <c r="U11" s="593"/>
      <c r="V11" s="593">
        <f t="shared" si="14"/>
        <v>0</v>
      </c>
      <c r="W11" s="593"/>
      <c r="X11" s="593"/>
      <c r="Y11" s="593"/>
      <c r="Z11" s="593">
        <f t="shared" si="15"/>
        <v>0</v>
      </c>
    </row>
    <row r="12" spans="1:26" s="578" customFormat="1" ht="28.55" hidden="1" customHeight="1" x14ac:dyDescent="0.25">
      <c r="A12" s="590"/>
      <c r="B12" s="591" t="s">
        <v>673</v>
      </c>
      <c r="C12" s="593"/>
      <c r="D12" s="593"/>
      <c r="E12" s="593"/>
      <c r="F12" s="593">
        <f t="shared" si="6"/>
        <v>0</v>
      </c>
      <c r="G12" s="593"/>
      <c r="H12" s="593"/>
      <c r="I12" s="593"/>
      <c r="J12" s="593">
        <f t="shared" si="7"/>
        <v>0</v>
      </c>
      <c r="K12" s="593"/>
      <c r="L12" s="593"/>
      <c r="M12" s="593"/>
      <c r="N12" s="593">
        <f t="shared" si="12"/>
        <v>0</v>
      </c>
      <c r="O12" s="593"/>
      <c r="P12" s="593"/>
      <c r="Q12" s="593"/>
      <c r="R12" s="593">
        <f t="shared" si="13"/>
        <v>0</v>
      </c>
      <c r="S12" s="593"/>
      <c r="T12" s="593"/>
      <c r="U12" s="593"/>
      <c r="V12" s="593">
        <f t="shared" si="14"/>
        <v>0</v>
      </c>
      <c r="W12" s="593"/>
      <c r="X12" s="593"/>
      <c r="Y12" s="593"/>
      <c r="Z12" s="593">
        <f t="shared" si="15"/>
        <v>0</v>
      </c>
    </row>
    <row r="13" spans="1:26" ht="28.55" hidden="1" customHeight="1" x14ac:dyDescent="0.25">
      <c r="A13" s="590"/>
      <c r="B13" s="591" t="s">
        <v>674</v>
      </c>
      <c r="C13" s="595"/>
      <c r="D13" s="595"/>
      <c r="E13" s="595"/>
      <c r="F13" s="595">
        <f t="shared" si="6"/>
        <v>0</v>
      </c>
      <c r="G13" s="595"/>
      <c r="H13" s="595"/>
      <c r="I13" s="595"/>
      <c r="J13" s="595">
        <f t="shared" si="7"/>
        <v>0</v>
      </c>
      <c r="K13" s="595"/>
      <c r="L13" s="595"/>
      <c r="M13" s="595"/>
      <c r="N13" s="595">
        <f t="shared" si="12"/>
        <v>0</v>
      </c>
      <c r="O13" s="595"/>
      <c r="P13" s="595"/>
      <c r="Q13" s="595"/>
      <c r="R13" s="595">
        <f t="shared" si="13"/>
        <v>0</v>
      </c>
      <c r="S13" s="595"/>
      <c r="T13" s="595"/>
      <c r="U13" s="595"/>
      <c r="V13" s="595">
        <f t="shared" si="14"/>
        <v>0</v>
      </c>
      <c r="W13" s="595"/>
      <c r="X13" s="595"/>
      <c r="Y13" s="595"/>
      <c r="Z13" s="595">
        <f t="shared" si="15"/>
        <v>0</v>
      </c>
    </row>
    <row r="14" spans="1:26" ht="14.3" hidden="1" customHeight="1" x14ac:dyDescent="0.25">
      <c r="A14" s="590"/>
      <c r="B14" s="591" t="s">
        <v>675</v>
      </c>
      <c r="C14" s="593"/>
      <c r="D14" s="593"/>
      <c r="E14" s="593"/>
      <c r="F14" s="593">
        <f t="shared" si="6"/>
        <v>0</v>
      </c>
      <c r="G14" s="593"/>
      <c r="H14" s="593"/>
      <c r="I14" s="593"/>
      <c r="J14" s="593">
        <f t="shared" si="7"/>
        <v>0</v>
      </c>
      <c r="K14" s="593"/>
      <c r="L14" s="593"/>
      <c r="M14" s="593"/>
      <c r="N14" s="593">
        <f t="shared" si="12"/>
        <v>0</v>
      </c>
      <c r="O14" s="593"/>
      <c r="P14" s="593"/>
      <c r="Q14" s="593"/>
      <c r="R14" s="593">
        <f t="shared" si="13"/>
        <v>0</v>
      </c>
      <c r="S14" s="593"/>
      <c r="T14" s="593"/>
      <c r="U14" s="593"/>
      <c r="V14" s="593">
        <f t="shared" si="14"/>
        <v>0</v>
      </c>
      <c r="W14" s="593"/>
      <c r="X14" s="593"/>
      <c r="Y14" s="593"/>
      <c r="Z14" s="593">
        <f t="shared" si="15"/>
        <v>0</v>
      </c>
    </row>
    <row r="15" spans="1:26" ht="28.55" x14ac:dyDescent="0.25">
      <c r="A15" s="583" t="s">
        <v>318</v>
      </c>
      <c r="B15" s="584" t="s">
        <v>340</v>
      </c>
      <c r="C15" s="596">
        <f t="shared" ref="C15:E15" si="16">SUM(C16:C18)</f>
        <v>1098534.74</v>
      </c>
      <c r="D15" s="596">
        <f t="shared" si="16"/>
        <v>744223.5</v>
      </c>
      <c r="E15" s="596">
        <f t="shared" si="16"/>
        <v>0</v>
      </c>
      <c r="F15" s="596">
        <f>SUM(C15:E15)+1</f>
        <v>1842759.24</v>
      </c>
      <c r="G15" s="596">
        <f t="shared" ref="G15:I15" si="17">SUM(G16:G18)</f>
        <v>1332626</v>
      </c>
      <c r="H15" s="596">
        <f t="shared" si="17"/>
        <v>683967.5</v>
      </c>
      <c r="I15" s="596">
        <f t="shared" si="17"/>
        <v>0</v>
      </c>
      <c r="J15" s="596">
        <f>SUM(G15:I15)+1</f>
        <v>2016594.5</v>
      </c>
      <c r="K15" s="596" t="e">
        <f t="shared" ref="K15:M15" si="18">SUM(K16:K18)</f>
        <v>#REF!</v>
      </c>
      <c r="L15" s="596" t="e">
        <f t="shared" si="18"/>
        <v>#REF!</v>
      </c>
      <c r="M15" s="596" t="e">
        <f t="shared" si="18"/>
        <v>#REF!</v>
      </c>
      <c r="N15" s="596" t="e">
        <f>SUM(K15:M15)+1</f>
        <v>#REF!</v>
      </c>
      <c r="O15" s="596">
        <f t="shared" ref="O15:Q15" si="19">SUM(O16:O18)</f>
        <v>1494053</v>
      </c>
      <c r="P15" s="596">
        <f t="shared" si="19"/>
        <v>285815</v>
      </c>
      <c r="Q15" s="596">
        <f t="shared" si="19"/>
        <v>0</v>
      </c>
      <c r="R15" s="596">
        <f>SUM(O15:Q15)</f>
        <v>1779868</v>
      </c>
      <c r="S15" s="596">
        <f t="shared" ref="S15:U15" si="20">SUM(S16:S18)</f>
        <v>1071368.6499999999</v>
      </c>
      <c r="T15" s="596">
        <f t="shared" si="20"/>
        <v>324950</v>
      </c>
      <c r="U15" s="596">
        <f t="shared" si="20"/>
        <v>0</v>
      </c>
      <c r="V15" s="596">
        <f>SUM(S15:U15)</f>
        <v>1396318.65</v>
      </c>
      <c r="W15" s="596">
        <f t="shared" ref="W15:Y15" si="21">SUM(W16:W18)</f>
        <v>1219443.6499999999</v>
      </c>
      <c r="X15" s="596">
        <f t="shared" si="21"/>
        <v>399341</v>
      </c>
      <c r="Y15" s="596">
        <f t="shared" si="21"/>
        <v>0</v>
      </c>
      <c r="Z15" s="596">
        <f>SUM(W15:Y15)</f>
        <v>1618784.65</v>
      </c>
    </row>
    <row r="16" spans="1:26" x14ac:dyDescent="0.25">
      <c r="A16" s="586" t="s">
        <v>311</v>
      </c>
      <c r="B16" s="587" t="s">
        <v>351</v>
      </c>
      <c r="C16" s="589">
        <f>'2B Önk kiad'!C22+'3A PH'!C46+'4H VG bev kiad'!C43+'4A Walla'!C43+'4B Nyitnikék'!C43+'4C Bóbita'!C43+'4D MMMH'!C43+'4E Könyvtár'!C43+'4F Segítő Kéz'!C43+'4G Szérüskert'!C43</f>
        <v>936169.74</v>
      </c>
      <c r="D16" s="589">
        <f>'2B Önk kiad'!D22+'3A PH'!D46+'4H VG bev kiad'!D43+'4A Walla'!D43+'4B Nyitnikék'!D43+'4C Bóbita'!D43+'4D MMMH'!D43+'4E Könyvtár'!D43+'4F Segítő Kéz'!D43+'4G Szérüskert'!D43</f>
        <v>611140.5</v>
      </c>
      <c r="E16" s="589">
        <f>'2B Önk kiad'!E22+'3A PH'!E46</f>
        <v>0</v>
      </c>
      <c r="F16" s="589">
        <f t="shared" si="6"/>
        <v>1547310.24</v>
      </c>
      <c r="G16" s="589">
        <f>'2B Önk kiad'!G22+'3A PH'!G46+'4H VG bev kiad'!F43+'4A Walla'!F43+'4B Nyitnikék'!F43+'4C Bóbita'!F43+'4D MMMH'!F43+'4E Könyvtár'!F43+'4F Segítő Kéz'!F43+'4G Szérüskert'!F43</f>
        <v>1196770</v>
      </c>
      <c r="H16" s="589">
        <f>'2B Önk kiad'!H22+'3A PH'!H46+'4H VG bev kiad'!G43+'4A Walla'!G43+'4B Nyitnikék'!G43+'4C Bóbita'!G43+'4D MMMH'!G43+'4E Könyvtár'!G43+'4F Segítő Kéz'!G43+'4G Szérüskert'!G43-1</f>
        <v>568629.5</v>
      </c>
      <c r="I16" s="589">
        <f>'2B Önk kiad'!I22+'3A PH'!I46</f>
        <v>0</v>
      </c>
      <c r="J16" s="589">
        <f>SUM(G16:I16)+1</f>
        <v>1765400.5</v>
      </c>
      <c r="K16" s="589">
        <f>'2B Önk kiad'!K22+'3A PH'!K46+'4H VG bev kiad'!I43+'4A Walla'!I43+'4B Nyitnikék'!I43+'4C Bóbita'!I43+'4D MMMH'!I43+'4E Könyvtár'!I43+'4F Segítő Kéz'!I43+'4G Szérüskert'!I43</f>
        <v>1435902.4</v>
      </c>
      <c r="L16" s="589" t="e">
        <f>'2B Önk kiad'!L22+'3A PH'!L46+'4H VG bev kiad'!J43+'4A Walla'!J43+'4B Nyitnikék'!J43+'4C Bóbita'!J43+'4D MMMH'!J43+'4E Könyvtár'!J43+'4F Segítő Kéz'!J43+'4G Szérüskert'!J43-1</f>
        <v>#REF!</v>
      </c>
      <c r="M16" s="589" t="e">
        <f>'2B Önk kiad'!M22+'3A PH'!M46+'4H VG bev kiad'!#REF!+'4A Walla'!#REF!+'4B Nyitnikék'!#REF!+'4C Bóbita'!#REF!+'4D MMMH'!#REF!+'4E Könyvtár'!#REF!+'4F Segítő Kéz'!#REF!+'4G Szérüskert'!#REF!</f>
        <v>#REF!</v>
      </c>
      <c r="N16" s="589" t="e">
        <f>SUM(K16:M16)+1</f>
        <v>#REF!</v>
      </c>
      <c r="O16" s="589">
        <f>'2B Önk kiad'!O22+'3A PH'!O46+'4H VG bev kiad'!L43+'4A Walla'!L43+'4B Nyitnikék'!L43+'4C Bóbita'!L43+'4D MMMH'!L43+'4E Könyvtár'!L43+'4F Segítő Kéz'!L43+'4G Szérüskert'!L43</f>
        <v>1406408</v>
      </c>
      <c r="P16" s="589">
        <f>'2B Önk kiad'!P22+'3A PH'!P46+'4H VG bev kiad'!M43+'4A Walla'!M43+'4B Nyitnikék'!M43+'4C Bóbita'!M43+'4D MMMH'!M43+'4E Könyvtár'!M43+'4F Segítő Kéz'!M43+'4G Szérüskert'!M43</f>
        <v>175205</v>
      </c>
      <c r="Q16" s="589">
        <f>'2B Önk kiad'!Q22+'3A PH'!Q46</f>
        <v>0</v>
      </c>
      <c r="R16" s="589">
        <f>SUM(O16:Q16)</f>
        <v>1581613</v>
      </c>
      <c r="S16" s="589">
        <f>'2B Önk kiad'!S22+'3A PH'!S46+'4H VG bev kiad'!O43+'4A Walla'!O43+'4B Nyitnikék'!O43+'4C Bóbita'!O43+'4D MMMH'!O43+'4E Könyvtár'!O43+'4F Segítő Kéz'!O43+'4G Szérüskert'!O43</f>
        <v>702130.65</v>
      </c>
      <c r="T16" s="589">
        <f>'2B Önk kiad'!T22+'3A PH'!T46+'4H VG bev kiad'!P43+'4A Walla'!P43+'4B Nyitnikék'!P43+'4C Bóbita'!P43+'4D MMMH'!P43+'4E Könyvtár'!P43+'4F Segítő Kéz'!P43+'4G Szérüskert'!P43</f>
        <v>255750</v>
      </c>
      <c r="U16" s="589">
        <f>'2B Önk kiad'!U22+'3A PH'!U46</f>
        <v>0</v>
      </c>
      <c r="V16" s="589">
        <f>SUM(S16:U16)</f>
        <v>957880.65</v>
      </c>
      <c r="W16" s="589">
        <f>'2B Önk kiad'!W22+'3A PH'!W46+'4H VG bev kiad'!R43+'4A Walla'!R43+'4B Nyitnikék'!R43+'4C Bóbita'!R43+'4D MMMH'!R43+'4E Könyvtár'!R43+'4F Segítő Kéz'!R43+'4G Szérüskert'!R43</f>
        <v>888444.65</v>
      </c>
      <c r="X16" s="589">
        <f>'2B Önk kiad'!X22+'3A PH'!X46+'4H VG bev kiad'!S43+'4A Walla'!S43+'4B Nyitnikék'!S43+'4C Bóbita'!S43+'4D MMMH'!S43+'4E Könyvtár'!S43+'4F Segítő Kéz'!S43+'4G Szérüskert'!S43</f>
        <v>303617</v>
      </c>
      <c r="Y16" s="589">
        <f>'2B Önk kiad'!Y22+'3A PH'!Y46</f>
        <v>0</v>
      </c>
      <c r="Z16" s="589">
        <f>SUM(W16:Y16)</f>
        <v>1192061.6499999999</v>
      </c>
    </row>
    <row r="17" spans="1:26" x14ac:dyDescent="0.25">
      <c r="A17" s="586" t="s">
        <v>322</v>
      </c>
      <c r="B17" s="587" t="s">
        <v>342</v>
      </c>
      <c r="C17" s="589">
        <f>'2B Önk kiad'!C23+'3A PH'!C47+'4H VG bev kiad'!C44+'4A Walla'!C44+'4B Nyitnikék'!C44+'4C Bóbita'!C44+'4D MMMH'!C44+'4E Könyvtár'!C44+'4F Segítő Kéz'!C44+'4G Szérüskert'!C44</f>
        <v>161665</v>
      </c>
      <c r="D17" s="589">
        <f>'2B Önk kiad'!D23+'3A PH'!D47+'4H VG bev kiad'!D44+'4A Walla'!D44+'4B Nyitnikék'!D44+'4C Bóbita'!D44+'4D MMMH'!D44+'4E Könyvtár'!D44+'4F Segítő Kéz'!D44+'4G Szérüskert'!D44</f>
        <v>133083</v>
      </c>
      <c r="E17" s="589">
        <f>'2B Önk kiad'!E23+'3A PH'!E47</f>
        <v>0</v>
      </c>
      <c r="F17" s="589">
        <f t="shared" si="6"/>
        <v>294748</v>
      </c>
      <c r="G17" s="589">
        <f>'2B Önk kiad'!G23+'3A PH'!G47+'4H VG bev kiad'!F44+'4A Walla'!F44+'4B Nyitnikék'!F44+'4C Bóbita'!F44+'4D MMMH'!F44+'4E Könyvtár'!F44+'4F Segítő Kéz'!F44+'4G Szérüskert'!F44</f>
        <v>133584</v>
      </c>
      <c r="H17" s="589">
        <f>'2B Önk kiad'!H23+'3A PH'!H47+'4H VG bev kiad'!G44+'4A Walla'!G44+'4B Nyitnikék'!G44+'4C Bóbita'!G44+'4D MMMH'!G44+'4E Könyvtár'!G44+'4F Segítő Kéz'!G44+'4G Szérüskert'!G44</f>
        <v>114338</v>
      </c>
      <c r="I17" s="589">
        <f>'2B Önk kiad'!I23+'3A PH'!I47</f>
        <v>0</v>
      </c>
      <c r="J17" s="589">
        <f t="shared" si="7"/>
        <v>247922</v>
      </c>
      <c r="K17" s="589" t="e">
        <f>'2B Önk kiad'!K23+'3A PH'!K47+'4H VG bev kiad'!I44+'4A Walla'!I44+'4B Nyitnikék'!I44+'4C Bóbita'!I44+'4D MMMH'!I44+'4E Könyvtár'!I44+'4F Segítő Kéz'!I44+'4G Szérüskert'!I44</f>
        <v>#REF!</v>
      </c>
      <c r="L17" s="589" t="e">
        <f>'2B Önk kiad'!L23+'3A PH'!L47+'4H VG bev kiad'!J44+'4A Walla'!J44+'4B Nyitnikék'!J44+'4C Bóbita'!J44+'4D MMMH'!J44+'4E Könyvtár'!J44+'4F Segítő Kéz'!J44+'4G Szérüskert'!J44</f>
        <v>#REF!</v>
      </c>
      <c r="M17" s="589" t="e">
        <f>'2B Önk kiad'!M23+'3A PH'!M47+'4H VG bev kiad'!#REF!+'4A Walla'!#REF!+'4B Nyitnikék'!#REF!+'4C Bóbita'!#REF!+'4D MMMH'!#REF!+'4E Könyvtár'!#REF!+'4F Segítő Kéz'!#REF!+'4G Szérüskert'!#REF!</f>
        <v>#REF!</v>
      </c>
      <c r="N17" s="589" t="e">
        <f t="shared" ref="N17:N23" si="22">SUM(K17:M17)</f>
        <v>#REF!</v>
      </c>
      <c r="O17" s="589">
        <f>'2B Önk kiad'!O23+'3A PH'!O47+'4H VG bev kiad'!L44+'4A Walla'!L44+'4B Nyitnikék'!L44+'4C Bóbita'!L44+'4D MMMH'!L44+'4E Könyvtár'!L44+'4F Segítő Kéz'!L44+'4G Szérüskert'!L44</f>
        <v>87073</v>
      </c>
      <c r="P17" s="589">
        <f>'2B Önk kiad'!P23+'3A PH'!P47+'4H VG bev kiad'!M44+'4A Walla'!M44+'4B Nyitnikék'!M44+'4C Bóbita'!M44+'4D MMMH'!M44+'4E Könyvtár'!M44+'4F Segítő Kéz'!M44+'4G Szérüskert'!M44</f>
        <v>110610</v>
      </c>
      <c r="Q17" s="589">
        <f>'2B Önk kiad'!Q23+'3A PH'!Q47</f>
        <v>0</v>
      </c>
      <c r="R17" s="589">
        <f t="shared" ref="R17:R23" si="23">SUM(O17:Q17)</f>
        <v>197683</v>
      </c>
      <c r="S17" s="589">
        <f>'2B Önk kiad'!S23+'3A PH'!S47+'4H VG bev kiad'!O44+'4A Walla'!O44+'4B Nyitnikék'!O44+'4C Bóbita'!O44+'4D MMMH'!O44+'4E Könyvtár'!O44+'4F Segítő Kéz'!O44+'4G Szérüskert'!O44</f>
        <v>368538</v>
      </c>
      <c r="T17" s="589">
        <f>'2B Önk kiad'!T23+'3A PH'!T47+'4H VG bev kiad'!P44+'4A Walla'!P44+'4B Nyitnikék'!P44+'4C Bóbita'!P44+'4D MMMH'!P44+'4E Könyvtár'!P44+'4F Segítő Kéz'!P44+'4G Szérüskert'!P44</f>
        <v>69200</v>
      </c>
      <c r="U17" s="589">
        <f>'2B Önk kiad'!U23+'3A PH'!U47</f>
        <v>0</v>
      </c>
      <c r="V17" s="589">
        <f t="shared" ref="V17:V23" si="24">SUM(S17:U17)</f>
        <v>437738</v>
      </c>
      <c r="W17" s="589">
        <f>'2B Önk kiad'!W23+'3A PH'!W47+'4H VG bev kiad'!R44+'4A Walla'!R44+'4B Nyitnikék'!R44+'4C Bóbita'!R44+'4D MMMH'!R44+'4E Könyvtár'!R44+'4F Segítő Kéz'!R44+'4G Szérüskert'!R44</f>
        <v>329580</v>
      </c>
      <c r="X17" s="589">
        <f>'2B Önk kiad'!X23+'3A PH'!X47+'4H VG bev kiad'!S44+'4A Walla'!S44+'4B Nyitnikék'!S44+'4C Bóbita'!S44+'4D MMMH'!S44+'4E Könyvtár'!S44+'4F Segítő Kéz'!S44+'4G Szérüskert'!S44</f>
        <v>83117</v>
      </c>
      <c r="Y17" s="589">
        <f>'2B Önk kiad'!Y23+'3A PH'!Y47</f>
        <v>0</v>
      </c>
      <c r="Z17" s="589">
        <f t="shared" ref="Z17:Z23" si="25">SUM(W17:Y17)</f>
        <v>412697</v>
      </c>
    </row>
    <row r="18" spans="1:26" x14ac:dyDescent="0.25">
      <c r="A18" s="586" t="s">
        <v>315</v>
      </c>
      <c r="B18" s="587" t="s">
        <v>343</v>
      </c>
      <c r="C18" s="588">
        <f>'2B Önk kiad'!C24+'3A PH'!C48+'4H VG bev kiad'!C45+'4A Walla'!C45+'4B Nyitnikék'!C45+'4C Bóbita'!C45+'4D MMMH'!C45+'4E Könyvtár'!C45+'4F Segítő Kéz'!C45+'4G Szérüskert'!C45</f>
        <v>700</v>
      </c>
      <c r="D18" s="588">
        <f>'2B Önk kiad'!D24+'3A PH'!D48+'4H VG bev kiad'!D45+'4A Walla'!D45+'4B Nyitnikék'!D45+'4C Bóbita'!D45+'4D MMMH'!D45+'4E Könyvtár'!D45+'4F Segítő Kéz'!D45+'4G Szérüskert'!D45</f>
        <v>0</v>
      </c>
      <c r="E18" s="588">
        <f>'2B Önk kiad'!E24+'3A PH'!E48</f>
        <v>0</v>
      </c>
      <c r="F18" s="588">
        <f t="shared" si="6"/>
        <v>700</v>
      </c>
      <c r="G18" s="588">
        <f>'2B Önk kiad'!G24+'3A PH'!G48+'4H VG bev kiad'!F45+'4A Walla'!F45+'4B Nyitnikék'!F45+'4C Bóbita'!F45+'4D MMMH'!F45+'4E Könyvtár'!F45+'4F Segítő Kéz'!F45+'4G Szérüskert'!F45</f>
        <v>2272</v>
      </c>
      <c r="H18" s="588">
        <f>'2B Önk kiad'!H24+'3A PH'!H48+'4H VG bev kiad'!G45+'4A Walla'!G45+'4B Nyitnikék'!G45+'4C Bóbita'!G45+'4D MMMH'!G45+'4E Könyvtár'!G45+'4F Segítő Kéz'!G45+'4G Szérüskert'!G45</f>
        <v>1000</v>
      </c>
      <c r="I18" s="588">
        <f>'2B Önk kiad'!I24+'3A PH'!I48</f>
        <v>0</v>
      </c>
      <c r="J18" s="588">
        <f t="shared" si="7"/>
        <v>3272</v>
      </c>
      <c r="K18" s="588">
        <f>'2B Önk kiad'!K24+'3A PH'!K48+'4H VG bev kiad'!I45+'4A Walla'!I45+'4B Nyitnikék'!I45+'4C Bóbita'!I45+'4D MMMH'!I45+'4E Könyvtár'!I45+'4F Segítő Kéz'!I45+'4G Szérüskert'!I45</f>
        <v>2272</v>
      </c>
      <c r="L18" s="588">
        <f>'2B Önk kiad'!L24+'3A PH'!L48+'4H VG bev kiad'!J45+'4A Walla'!J45+'4B Nyitnikék'!J45+'4C Bóbita'!J45+'4D MMMH'!J45+'4E Könyvtár'!J45+'4F Segítő Kéz'!J45+'4G Szérüskert'!J45</f>
        <v>0</v>
      </c>
      <c r="M18" s="588" t="e">
        <f>'2B Önk kiad'!M24+'3A PH'!M48+'4H VG bev kiad'!#REF!+'4A Walla'!#REF!+'4B Nyitnikék'!#REF!+'4C Bóbita'!#REF!+'4D MMMH'!#REF!+'4E Könyvtár'!#REF!+'4F Segítő Kéz'!#REF!+'4G Szérüskert'!#REF!</f>
        <v>#REF!</v>
      </c>
      <c r="N18" s="588" t="e">
        <f t="shared" si="22"/>
        <v>#REF!</v>
      </c>
      <c r="O18" s="588">
        <f>'2B Önk kiad'!O24+'3A PH'!O48+'4H VG bev kiad'!L45+'4A Walla'!L45+'4B Nyitnikék'!L45+'4C Bóbita'!L45+'4D MMMH'!L45+'4E Könyvtár'!L45+'4F Segítő Kéz'!L45+'4G Szérüskert'!L45</f>
        <v>572</v>
      </c>
      <c r="P18" s="588">
        <f>'2B Önk kiad'!P24+'3A PH'!P48+'4H VG bev kiad'!M45+'4A Walla'!M45+'4B Nyitnikék'!M45+'4C Bóbita'!M45+'4D MMMH'!M45+'4E Könyvtár'!M45+'4F Segítő Kéz'!M45+'4G Szérüskert'!M45</f>
        <v>0</v>
      </c>
      <c r="Q18" s="588">
        <f>'2B Önk kiad'!Q24+'3A PH'!Q48</f>
        <v>0</v>
      </c>
      <c r="R18" s="588">
        <f t="shared" si="23"/>
        <v>572</v>
      </c>
      <c r="S18" s="588">
        <f>'2B Önk kiad'!S24+'3A PH'!S48</f>
        <v>700</v>
      </c>
      <c r="T18" s="588">
        <f>'2B Önk kiad'!T24+'3A PH'!T48+'4H VG bev kiad'!P45+'4A Walla'!P45+'4B Nyitnikék'!P45+'4C Bóbita'!P45+'4D MMMH'!P45+'4E Könyvtár'!P45+'4F Segítő Kéz'!P45+'4G Szérüskert'!P45</f>
        <v>0</v>
      </c>
      <c r="U18" s="588">
        <f>'2B Önk kiad'!U24+'3A PH'!U48</f>
        <v>0</v>
      </c>
      <c r="V18" s="588">
        <f t="shared" si="24"/>
        <v>700</v>
      </c>
      <c r="W18" s="588">
        <f>'2B Önk kiad'!W24+'3A PH'!W48</f>
        <v>1419</v>
      </c>
      <c r="X18" s="588">
        <f>'2B Önk kiad'!X24+'3A PH'!X48+'4H VG bev kiad'!T45+'4A Walla'!T45+'4B Nyitnikék'!T45+'4C Bóbita'!T45+'4D MMMH'!T45+'4E Könyvtár'!T45+'4F Segítő Kéz'!T45+'4G Szérüskert'!T45</f>
        <v>12607</v>
      </c>
      <c r="Y18" s="588">
        <f>'2B Önk kiad'!Y24+'3A PH'!Y48</f>
        <v>0</v>
      </c>
      <c r="Z18" s="588">
        <f t="shared" si="25"/>
        <v>14026</v>
      </c>
    </row>
    <row r="19" spans="1:26" ht="28.55" hidden="1" customHeight="1" x14ac:dyDescent="0.25">
      <c r="A19" s="590"/>
      <c r="B19" s="591" t="s">
        <v>679</v>
      </c>
      <c r="C19" s="592"/>
      <c r="D19" s="592"/>
      <c r="E19" s="592"/>
      <c r="F19" s="592">
        <f t="shared" si="6"/>
        <v>0</v>
      </c>
      <c r="G19" s="592"/>
      <c r="H19" s="592"/>
      <c r="I19" s="592"/>
      <c r="J19" s="592">
        <f t="shared" si="7"/>
        <v>0</v>
      </c>
      <c r="K19" s="592"/>
      <c r="L19" s="592"/>
      <c r="M19" s="592"/>
      <c r="N19" s="592">
        <f t="shared" si="22"/>
        <v>0</v>
      </c>
      <c r="O19" s="592"/>
      <c r="P19" s="592"/>
      <c r="Q19" s="592"/>
      <c r="R19" s="592">
        <f t="shared" si="23"/>
        <v>0</v>
      </c>
      <c r="S19" s="592"/>
      <c r="T19" s="592"/>
      <c r="U19" s="592"/>
      <c r="V19" s="592">
        <f t="shared" si="24"/>
        <v>0</v>
      </c>
      <c r="W19" s="592"/>
      <c r="X19" s="592"/>
      <c r="Y19" s="592"/>
      <c r="Z19" s="592">
        <f t="shared" si="25"/>
        <v>0</v>
      </c>
    </row>
    <row r="20" spans="1:26" ht="28.55" hidden="1" customHeight="1" x14ac:dyDescent="0.25">
      <c r="A20" s="590"/>
      <c r="B20" s="591" t="s">
        <v>680</v>
      </c>
      <c r="C20" s="592"/>
      <c r="D20" s="592"/>
      <c r="E20" s="592"/>
      <c r="F20" s="592">
        <f t="shared" si="6"/>
        <v>0</v>
      </c>
      <c r="G20" s="592"/>
      <c r="H20" s="592"/>
      <c r="I20" s="592"/>
      <c r="J20" s="592">
        <f t="shared" si="7"/>
        <v>0</v>
      </c>
      <c r="K20" s="592"/>
      <c r="L20" s="592"/>
      <c r="M20" s="592"/>
      <c r="N20" s="592">
        <f t="shared" si="22"/>
        <v>0</v>
      </c>
      <c r="O20" s="592"/>
      <c r="P20" s="592"/>
      <c r="Q20" s="592"/>
      <c r="R20" s="592">
        <f t="shared" si="23"/>
        <v>0</v>
      </c>
      <c r="S20" s="592"/>
      <c r="T20" s="592"/>
      <c r="U20" s="592"/>
      <c r="V20" s="592">
        <f t="shared" si="24"/>
        <v>0</v>
      </c>
      <c r="W20" s="592"/>
      <c r="X20" s="592"/>
      <c r="Y20" s="592"/>
      <c r="Z20" s="592">
        <f t="shared" si="25"/>
        <v>0</v>
      </c>
    </row>
    <row r="21" spans="1:26" ht="14.3" hidden="1" customHeight="1" x14ac:dyDescent="0.25">
      <c r="A21" s="590"/>
      <c r="B21" s="591" t="s">
        <v>681</v>
      </c>
      <c r="C21" s="592"/>
      <c r="D21" s="592"/>
      <c r="E21" s="592"/>
      <c r="F21" s="592">
        <f t="shared" si="6"/>
        <v>0</v>
      </c>
      <c r="G21" s="592"/>
      <c r="H21" s="592"/>
      <c r="I21" s="592"/>
      <c r="J21" s="592">
        <f t="shared" si="7"/>
        <v>0</v>
      </c>
      <c r="K21" s="592"/>
      <c r="L21" s="592"/>
      <c r="M21" s="592"/>
      <c r="N21" s="592">
        <f t="shared" si="22"/>
        <v>0</v>
      </c>
      <c r="O21" s="592"/>
      <c r="P21" s="592"/>
      <c r="Q21" s="592"/>
      <c r="R21" s="592">
        <f t="shared" si="23"/>
        <v>0</v>
      </c>
      <c r="S21" s="592"/>
      <c r="T21" s="592"/>
      <c r="U21" s="592"/>
      <c r="V21" s="592">
        <f t="shared" si="24"/>
        <v>0</v>
      </c>
      <c r="W21" s="592"/>
      <c r="X21" s="592"/>
      <c r="Y21" s="592"/>
      <c r="Z21" s="592">
        <f t="shared" si="25"/>
        <v>0</v>
      </c>
    </row>
    <row r="22" spans="1:26" ht="28.55" hidden="1" customHeight="1" x14ac:dyDescent="0.25">
      <c r="A22" s="590"/>
      <c r="B22" s="591" t="s">
        <v>682</v>
      </c>
      <c r="C22" s="592"/>
      <c r="D22" s="592"/>
      <c r="E22" s="592"/>
      <c r="F22" s="592">
        <f t="shared" si="6"/>
        <v>0</v>
      </c>
      <c r="G22" s="592"/>
      <c r="H22" s="592"/>
      <c r="I22" s="592"/>
      <c r="J22" s="592">
        <f t="shared" si="7"/>
        <v>0</v>
      </c>
      <c r="K22" s="592"/>
      <c r="L22" s="592"/>
      <c r="M22" s="592"/>
      <c r="N22" s="592">
        <f t="shared" si="22"/>
        <v>0</v>
      </c>
      <c r="O22" s="592"/>
      <c r="P22" s="592"/>
      <c r="Q22" s="592"/>
      <c r="R22" s="592">
        <f t="shared" si="23"/>
        <v>0</v>
      </c>
      <c r="S22" s="592"/>
      <c r="T22" s="592"/>
      <c r="U22" s="592"/>
      <c r="V22" s="592">
        <f t="shared" si="24"/>
        <v>0</v>
      </c>
      <c r="W22" s="592"/>
      <c r="X22" s="592"/>
      <c r="Y22" s="592"/>
      <c r="Z22" s="592">
        <f t="shared" si="25"/>
        <v>0</v>
      </c>
    </row>
    <row r="23" spans="1:26" ht="28.55" hidden="1" customHeight="1" x14ac:dyDescent="0.25">
      <c r="A23" s="590"/>
      <c r="B23" s="591" t="s">
        <v>683</v>
      </c>
      <c r="C23" s="592"/>
      <c r="D23" s="592"/>
      <c r="E23" s="592"/>
      <c r="F23" s="592">
        <f t="shared" si="6"/>
        <v>0</v>
      </c>
      <c r="G23" s="592"/>
      <c r="H23" s="592"/>
      <c r="I23" s="592"/>
      <c r="J23" s="592">
        <f t="shared" si="7"/>
        <v>0</v>
      </c>
      <c r="K23" s="592"/>
      <c r="L23" s="592"/>
      <c r="M23" s="592"/>
      <c r="N23" s="592">
        <f t="shared" si="22"/>
        <v>0</v>
      </c>
      <c r="O23" s="592"/>
      <c r="P23" s="592"/>
      <c r="Q23" s="592"/>
      <c r="R23" s="592">
        <f t="shared" si="23"/>
        <v>0</v>
      </c>
      <c r="S23" s="592"/>
      <c r="T23" s="592"/>
      <c r="U23" s="592"/>
      <c r="V23" s="592">
        <f t="shared" si="24"/>
        <v>0</v>
      </c>
      <c r="W23" s="592"/>
      <c r="X23" s="592"/>
      <c r="Y23" s="592"/>
      <c r="Z23" s="592">
        <f t="shared" si="25"/>
        <v>0</v>
      </c>
    </row>
    <row r="24" spans="1:26" x14ac:dyDescent="0.25">
      <c r="A24" s="597"/>
      <c r="B24" s="598" t="s">
        <v>593</v>
      </c>
      <c r="C24" s="599">
        <f t="shared" ref="C24:E24" si="26">C4+C15</f>
        <v>4626268.9400000004</v>
      </c>
      <c r="D24" s="599">
        <f t="shared" si="26"/>
        <v>1334244.5</v>
      </c>
      <c r="E24" s="599">
        <f t="shared" si="26"/>
        <v>4290</v>
      </c>
      <c r="F24" s="599">
        <f>SUM(C24:E24)+1</f>
        <v>5964804.4400000004</v>
      </c>
      <c r="G24" s="599">
        <f>G4+G15+1</f>
        <v>5329671</v>
      </c>
      <c r="H24" s="599" t="e">
        <f>H4+H15+1</f>
        <v>#REF!</v>
      </c>
      <c r="I24" s="599" t="e">
        <f t="shared" ref="I24" si="27">I4+I15</f>
        <v>#REF!</v>
      </c>
      <c r="J24" s="599" t="e">
        <f>SUM(G24:I24)-1</f>
        <v>#REF!</v>
      </c>
      <c r="K24" s="599" t="e">
        <f>K4+K15+1</f>
        <v>#REF!</v>
      </c>
      <c r="L24" s="599" t="e">
        <f>L4+L15+1</f>
        <v>#REF!</v>
      </c>
      <c r="M24" s="599" t="e">
        <f t="shared" ref="M24" si="28">M4+M15</f>
        <v>#REF!</v>
      </c>
      <c r="N24" s="599" t="e">
        <f>SUM(K24:M24)-1</f>
        <v>#REF!</v>
      </c>
      <c r="O24" s="599">
        <f>O4+O15</f>
        <v>4508290</v>
      </c>
      <c r="P24" s="599">
        <f>P4+P15</f>
        <v>1645849</v>
      </c>
      <c r="Q24" s="599">
        <f t="shared" ref="Q24" si="29">Q4+Q15</f>
        <v>4037</v>
      </c>
      <c r="R24" s="599">
        <f>SUM(O24:Q24)</f>
        <v>6158176</v>
      </c>
      <c r="S24" s="599">
        <f>S4+S15</f>
        <v>4608106.4243149608</v>
      </c>
      <c r="T24" s="599">
        <f>T4+T15</f>
        <v>962879.41999999993</v>
      </c>
      <c r="U24" s="599">
        <f t="shared" ref="U24" si="30">U4+U15</f>
        <v>3277</v>
      </c>
      <c r="V24" s="599">
        <f>SUM(S24:U24)</f>
        <v>5574262.8443149608</v>
      </c>
      <c r="W24" s="599">
        <f>W4+W15+1</f>
        <v>4920476.33</v>
      </c>
      <c r="X24" s="599">
        <f>X4+X15</f>
        <v>1079409</v>
      </c>
      <c r="Y24" s="599">
        <f t="shared" ref="Y24" si="31">Y4+Y15</f>
        <v>3277</v>
      </c>
      <c r="Z24" s="599">
        <f>SUM(W24:Y24)</f>
        <v>6003162.3300000001</v>
      </c>
    </row>
    <row r="25" spans="1:26" x14ac:dyDescent="0.25">
      <c r="A25" s="583" t="s">
        <v>328</v>
      </c>
      <c r="B25" s="584" t="s">
        <v>596</v>
      </c>
      <c r="C25" s="585">
        <f t="shared" ref="C25:E25" si="32">C26+C32</f>
        <v>0</v>
      </c>
      <c r="D25" s="585">
        <f t="shared" si="32"/>
        <v>0</v>
      </c>
      <c r="E25" s="585">
        <f t="shared" si="32"/>
        <v>410430</v>
      </c>
      <c r="F25" s="585">
        <f t="shared" si="6"/>
        <v>410430</v>
      </c>
      <c r="G25" s="585">
        <f t="shared" ref="G25:I25" si="33">G26+G32</f>
        <v>0</v>
      </c>
      <c r="H25" s="585">
        <f t="shared" si="33"/>
        <v>0</v>
      </c>
      <c r="I25" s="585">
        <f t="shared" si="33"/>
        <v>711873</v>
      </c>
      <c r="J25" s="585">
        <f t="shared" si="7"/>
        <v>711873</v>
      </c>
      <c r="K25" s="585">
        <f t="shared" ref="K25:M25" si="34">K26+K32</f>
        <v>0</v>
      </c>
      <c r="L25" s="585">
        <f t="shared" si="34"/>
        <v>0</v>
      </c>
      <c r="M25" s="585">
        <f t="shared" si="34"/>
        <v>411619</v>
      </c>
      <c r="N25" s="585">
        <f t="shared" ref="N25:N35" si="35">SUM(K25:M25)</f>
        <v>411619</v>
      </c>
      <c r="O25" s="585">
        <f t="shared" ref="O25:Q25" si="36">O26+O32</f>
        <v>0</v>
      </c>
      <c r="P25" s="585">
        <f t="shared" si="36"/>
        <v>0</v>
      </c>
      <c r="Q25" s="585">
        <f t="shared" si="36"/>
        <v>311873</v>
      </c>
      <c r="R25" s="585">
        <f t="shared" ref="R25:R35" si="37">SUM(O25:Q25)</f>
        <v>311873</v>
      </c>
      <c r="S25" s="585">
        <f t="shared" ref="S25:U25" si="38">S26+S32</f>
        <v>180645</v>
      </c>
      <c r="T25" s="585">
        <f t="shared" si="38"/>
        <v>0</v>
      </c>
      <c r="U25" s="585">
        <f t="shared" si="38"/>
        <v>17063</v>
      </c>
      <c r="V25" s="585">
        <f t="shared" ref="V25:V34" si="39">SUM(S25:U25)</f>
        <v>197708</v>
      </c>
      <c r="W25" s="585">
        <f t="shared" ref="W25:Y25" si="40">W26+W32</f>
        <v>180645</v>
      </c>
      <c r="X25" s="585">
        <f t="shared" si="40"/>
        <v>0</v>
      </c>
      <c r="Y25" s="585">
        <f t="shared" si="40"/>
        <v>149361</v>
      </c>
      <c r="Z25" s="585">
        <f t="shared" ref="Z25:Z34" si="41">SUM(W25:Y25)</f>
        <v>330006</v>
      </c>
    </row>
    <row r="26" spans="1:26" x14ac:dyDescent="0.25">
      <c r="A26" s="586" t="s">
        <v>311</v>
      </c>
      <c r="B26" s="587" t="s">
        <v>599</v>
      </c>
      <c r="C26" s="600">
        <f t="shared" ref="C26:E26" si="42">SUM(C27:C31)</f>
        <v>0</v>
      </c>
      <c r="D26" s="600">
        <f t="shared" si="42"/>
        <v>0</v>
      </c>
      <c r="E26" s="600">
        <f t="shared" si="42"/>
        <v>410430</v>
      </c>
      <c r="F26" s="600">
        <f t="shared" si="6"/>
        <v>410430</v>
      </c>
      <c r="G26" s="600">
        <f t="shared" ref="G26:I26" si="43">SUM(G27:G31)</f>
        <v>0</v>
      </c>
      <c r="H26" s="600">
        <f t="shared" si="43"/>
        <v>0</v>
      </c>
      <c r="I26" s="600">
        <f t="shared" si="43"/>
        <v>711873</v>
      </c>
      <c r="J26" s="600">
        <f t="shared" si="7"/>
        <v>711873</v>
      </c>
      <c r="K26" s="600">
        <f t="shared" ref="K26:M26" si="44">SUM(K27:K31)</f>
        <v>0</v>
      </c>
      <c r="L26" s="600">
        <f t="shared" si="44"/>
        <v>0</v>
      </c>
      <c r="M26" s="600">
        <f t="shared" si="44"/>
        <v>411619</v>
      </c>
      <c r="N26" s="600">
        <f t="shared" si="35"/>
        <v>411619</v>
      </c>
      <c r="O26" s="600">
        <f t="shared" ref="O26:Q26" si="45">SUM(O27:O31)</f>
        <v>0</v>
      </c>
      <c r="P26" s="600">
        <f t="shared" si="45"/>
        <v>0</v>
      </c>
      <c r="Q26" s="600">
        <f t="shared" si="45"/>
        <v>311873</v>
      </c>
      <c r="R26" s="600">
        <f t="shared" si="37"/>
        <v>311873</v>
      </c>
      <c r="S26" s="600">
        <f t="shared" ref="S26:U26" si="46">SUM(S27:S31)</f>
        <v>180645</v>
      </c>
      <c r="T26" s="600">
        <f t="shared" si="46"/>
        <v>0</v>
      </c>
      <c r="U26" s="600">
        <f t="shared" si="46"/>
        <v>17063</v>
      </c>
      <c r="V26" s="600">
        <f t="shared" si="39"/>
        <v>197708</v>
      </c>
      <c r="W26" s="600">
        <f t="shared" ref="W26:Y26" si="47">SUM(W27:W31)</f>
        <v>180645</v>
      </c>
      <c r="X26" s="600">
        <f t="shared" si="47"/>
        <v>0</v>
      </c>
      <c r="Y26" s="600">
        <f t="shared" si="47"/>
        <v>149361</v>
      </c>
      <c r="Z26" s="600">
        <f t="shared" si="41"/>
        <v>330006</v>
      </c>
    </row>
    <row r="27" spans="1:26" ht="28.55" x14ac:dyDescent="0.25">
      <c r="A27" s="590"/>
      <c r="B27" s="601" t="s">
        <v>684</v>
      </c>
      <c r="C27" s="594">
        <f>'2B Önk kiad'!C33</f>
        <v>0</v>
      </c>
      <c r="D27" s="594">
        <f>'2B Önk kiad'!D33</f>
        <v>0</v>
      </c>
      <c r="E27" s="594">
        <f>'2B Önk kiad'!E33</f>
        <v>0</v>
      </c>
      <c r="F27" s="594">
        <f t="shared" si="6"/>
        <v>0</v>
      </c>
      <c r="G27" s="594">
        <f>'2B Önk kiad'!G33</f>
        <v>0</v>
      </c>
      <c r="H27" s="594">
        <f>'2B Önk kiad'!H33</f>
        <v>0</v>
      </c>
      <c r="I27" s="594">
        <f>'2B Önk kiad'!I33</f>
        <v>0</v>
      </c>
      <c r="J27" s="594">
        <f t="shared" si="7"/>
        <v>0</v>
      </c>
      <c r="K27" s="594">
        <f>'2B Önk kiad'!K33</f>
        <v>0</v>
      </c>
      <c r="L27" s="594">
        <f>'2B Önk kiad'!L33</f>
        <v>0</v>
      </c>
      <c r="M27" s="594">
        <f>'2B Önk kiad'!M33</f>
        <v>0</v>
      </c>
      <c r="N27" s="594">
        <f t="shared" si="35"/>
        <v>0</v>
      </c>
      <c r="O27" s="594">
        <f>'2B Önk kiad'!O33</f>
        <v>0</v>
      </c>
      <c r="P27" s="594">
        <f>'2B Önk kiad'!P33</f>
        <v>0</v>
      </c>
      <c r="Q27" s="594">
        <f>'2B Önk kiad'!Q33</f>
        <v>0</v>
      </c>
      <c r="R27" s="594">
        <f t="shared" si="37"/>
        <v>0</v>
      </c>
      <c r="S27" s="594">
        <f>'2B Önk kiad'!S33</f>
        <v>180645</v>
      </c>
      <c r="T27" s="594">
        <f>'2B Önk kiad'!T33</f>
        <v>0</v>
      </c>
      <c r="U27" s="594">
        <f>'2B Önk kiad'!U33</f>
        <v>0</v>
      </c>
      <c r="V27" s="594">
        <f t="shared" si="39"/>
        <v>180645</v>
      </c>
      <c r="W27" s="594">
        <f>'2B Önk kiad'!W33</f>
        <v>180645</v>
      </c>
      <c r="X27" s="594">
        <f>'2B Önk kiad'!X33</f>
        <v>0</v>
      </c>
      <c r="Y27" s="594">
        <f>'2B Önk kiad'!Y33</f>
        <v>0</v>
      </c>
      <c r="Z27" s="594">
        <f t="shared" si="41"/>
        <v>180645</v>
      </c>
    </row>
    <row r="28" spans="1:26" x14ac:dyDescent="0.25">
      <c r="A28" s="590"/>
      <c r="B28" s="772" t="s">
        <v>687</v>
      </c>
      <c r="C28" s="594">
        <f>'2B Önk kiad'!C36</f>
        <v>0</v>
      </c>
      <c r="D28" s="594">
        <f>'2B Önk kiad'!D36</f>
        <v>0</v>
      </c>
      <c r="E28" s="594">
        <f>'2B Önk kiad'!E36</f>
        <v>0</v>
      </c>
      <c r="F28" s="594">
        <f t="shared" si="6"/>
        <v>0</v>
      </c>
      <c r="G28" s="594">
        <f>'2B Önk kiad'!G36</f>
        <v>0</v>
      </c>
      <c r="H28" s="594">
        <f>'2B Önk kiad'!H36</f>
        <v>0</v>
      </c>
      <c r="I28" s="594">
        <f>'2B Önk kiad'!I36</f>
        <v>0</v>
      </c>
      <c r="J28" s="594">
        <f t="shared" si="7"/>
        <v>0</v>
      </c>
      <c r="K28" s="594">
        <f>'2B Önk kiad'!K36</f>
        <v>0</v>
      </c>
      <c r="L28" s="594">
        <f>'2B Önk kiad'!L36</f>
        <v>0</v>
      </c>
      <c r="M28" s="594">
        <f>'2B Önk kiad'!M36</f>
        <v>0</v>
      </c>
      <c r="N28" s="594">
        <f t="shared" si="35"/>
        <v>0</v>
      </c>
      <c r="O28" s="594">
        <f>'2B Önk kiad'!O36</f>
        <v>0</v>
      </c>
      <c r="P28" s="594">
        <f>'2B Önk kiad'!P36</f>
        <v>0</v>
      </c>
      <c r="Q28" s="594">
        <f>'2B Önk kiad'!Q36</f>
        <v>0</v>
      </c>
      <c r="R28" s="594">
        <f t="shared" si="37"/>
        <v>0</v>
      </c>
      <c r="S28" s="594">
        <f>'2B Önk kiad'!S36</f>
        <v>0</v>
      </c>
      <c r="T28" s="594">
        <f>'2B Önk kiad'!T36</f>
        <v>0</v>
      </c>
      <c r="U28" s="594">
        <f>'2B Önk kiad'!U36</f>
        <v>0</v>
      </c>
      <c r="V28" s="594">
        <f t="shared" si="39"/>
        <v>0</v>
      </c>
      <c r="W28" s="594">
        <f>'2B Önk kiad'!W36</f>
        <v>0</v>
      </c>
      <c r="X28" s="594">
        <f>'2B Önk kiad'!X36</f>
        <v>0</v>
      </c>
      <c r="Y28" s="594">
        <f>'2B Önk kiad'!Y36</f>
        <v>0</v>
      </c>
      <c r="Z28" s="594">
        <f t="shared" si="41"/>
        <v>0</v>
      </c>
    </row>
    <row r="29" spans="1:26" ht="28.55" x14ac:dyDescent="0.25">
      <c r="A29" s="590"/>
      <c r="B29" s="601" t="s">
        <v>694</v>
      </c>
      <c r="C29" s="594">
        <f>'2B Önk kiad'!C37</f>
        <v>0</v>
      </c>
      <c r="D29" s="594">
        <f>'2B Önk kiad'!D37</f>
        <v>0</v>
      </c>
      <c r="E29" s="594">
        <f>'2B Önk kiad'!E37</f>
        <v>10430</v>
      </c>
      <c r="F29" s="594">
        <f t="shared" si="6"/>
        <v>10430</v>
      </c>
      <c r="G29" s="594">
        <f>'2B Önk kiad'!G37</f>
        <v>0</v>
      </c>
      <c r="H29" s="594">
        <f>'2B Önk kiad'!H37</f>
        <v>0</v>
      </c>
      <c r="I29" s="594">
        <f>'2B Önk kiad'!I37</f>
        <v>311873</v>
      </c>
      <c r="J29" s="594">
        <f t="shared" si="7"/>
        <v>311873</v>
      </c>
      <c r="K29" s="594">
        <f>'2B Önk kiad'!K37</f>
        <v>0</v>
      </c>
      <c r="L29" s="594">
        <f>'2B Önk kiad'!L37</f>
        <v>0</v>
      </c>
      <c r="M29" s="594">
        <f>'2B Önk kiad'!M37</f>
        <v>11619</v>
      </c>
      <c r="N29" s="594">
        <f t="shared" si="35"/>
        <v>11619</v>
      </c>
      <c r="O29" s="594">
        <f>'2B Önk kiad'!O37</f>
        <v>0</v>
      </c>
      <c r="P29" s="594">
        <f>'2B Önk kiad'!P37</f>
        <v>0</v>
      </c>
      <c r="Q29" s="594">
        <f>'2B Önk kiad'!Q37</f>
        <v>311873</v>
      </c>
      <c r="R29" s="594">
        <f t="shared" si="37"/>
        <v>311873</v>
      </c>
      <c r="S29" s="594">
        <f>'2B Önk kiad'!S37</f>
        <v>0</v>
      </c>
      <c r="T29" s="594">
        <f>'2B Önk kiad'!T37</f>
        <v>0</v>
      </c>
      <c r="U29" s="594">
        <f>'2B Önk kiad'!U37</f>
        <v>17063</v>
      </c>
      <c r="V29" s="594">
        <f t="shared" si="39"/>
        <v>17063</v>
      </c>
      <c r="W29" s="594">
        <f>'2B Önk kiad'!W37</f>
        <v>0</v>
      </c>
      <c r="X29" s="594">
        <f>'2B Önk kiad'!X37</f>
        <v>0</v>
      </c>
      <c r="Y29" s="594">
        <f>'2B Önk kiad'!Y37</f>
        <v>149361</v>
      </c>
      <c r="Z29" s="594">
        <f t="shared" si="41"/>
        <v>149361</v>
      </c>
    </row>
    <row r="30" spans="1:26" x14ac:dyDescent="0.25">
      <c r="A30" s="590"/>
      <c r="B30" s="601" t="s">
        <v>695</v>
      </c>
      <c r="C30" s="594">
        <f>'2B Önk kiad'!C39</f>
        <v>0</v>
      </c>
      <c r="D30" s="594">
        <f>'2B Önk kiad'!D39</f>
        <v>0</v>
      </c>
      <c r="E30" s="594">
        <f>'2B Önk kiad'!E39</f>
        <v>400000</v>
      </c>
      <c r="F30" s="594">
        <f t="shared" si="6"/>
        <v>400000</v>
      </c>
      <c r="G30" s="594">
        <f>'2B Önk kiad'!G39</f>
        <v>0</v>
      </c>
      <c r="H30" s="594">
        <f>'2B Önk kiad'!H39</f>
        <v>0</v>
      </c>
      <c r="I30" s="594">
        <f>'2B Önk kiad'!I39</f>
        <v>400000</v>
      </c>
      <c r="J30" s="594">
        <f t="shared" si="7"/>
        <v>400000</v>
      </c>
      <c r="K30" s="594">
        <f>'2B Önk kiad'!K39</f>
        <v>0</v>
      </c>
      <c r="L30" s="594">
        <f>'2B Önk kiad'!L39</f>
        <v>0</v>
      </c>
      <c r="M30" s="594">
        <f>'2B Önk kiad'!M39</f>
        <v>400000</v>
      </c>
      <c r="N30" s="594">
        <f t="shared" si="35"/>
        <v>400000</v>
      </c>
      <c r="O30" s="594">
        <f>'2B Önk kiad'!O39</f>
        <v>0</v>
      </c>
      <c r="P30" s="594">
        <f>'2B Önk kiad'!P39</f>
        <v>0</v>
      </c>
      <c r="Q30" s="594">
        <f>'2B Önk kiad'!Q39</f>
        <v>0</v>
      </c>
      <c r="R30" s="594">
        <f t="shared" si="37"/>
        <v>0</v>
      </c>
      <c r="S30" s="594">
        <f>'2B Önk kiad'!S39</f>
        <v>0</v>
      </c>
      <c r="T30" s="594">
        <f>'2B Önk kiad'!T39</f>
        <v>0</v>
      </c>
      <c r="U30" s="594">
        <f>'2B Önk kiad'!U39</f>
        <v>0</v>
      </c>
      <c r="V30" s="594">
        <f t="shared" si="39"/>
        <v>0</v>
      </c>
      <c r="W30" s="594">
        <f>'2B Önk kiad'!W39</f>
        <v>0</v>
      </c>
      <c r="X30" s="594">
        <f>'2B Önk kiad'!X39</f>
        <v>0</v>
      </c>
      <c r="Y30" s="594">
        <f>'2B Önk kiad'!Y39</f>
        <v>0</v>
      </c>
      <c r="Z30" s="594">
        <f t="shared" si="41"/>
        <v>0</v>
      </c>
    </row>
    <row r="31" spans="1:26" x14ac:dyDescent="0.25">
      <c r="A31" s="590"/>
      <c r="B31" s="601" t="s">
        <v>696</v>
      </c>
      <c r="C31" s="594">
        <f>'2B Önk kiad'!C40</f>
        <v>0</v>
      </c>
      <c r="D31" s="594">
        <f>'2B Önk kiad'!D40</f>
        <v>0</v>
      </c>
      <c r="E31" s="594">
        <f>'2B Önk kiad'!E40</f>
        <v>0</v>
      </c>
      <c r="F31" s="594">
        <f t="shared" si="6"/>
        <v>0</v>
      </c>
      <c r="G31" s="594">
        <f>'2B Önk kiad'!G40</f>
        <v>0</v>
      </c>
      <c r="H31" s="594">
        <f>'2B Önk kiad'!H40</f>
        <v>0</v>
      </c>
      <c r="I31" s="594">
        <f>'2B Önk kiad'!I40</f>
        <v>0</v>
      </c>
      <c r="J31" s="594">
        <f t="shared" si="7"/>
        <v>0</v>
      </c>
      <c r="K31" s="594">
        <f>'2B Önk kiad'!K40</f>
        <v>0</v>
      </c>
      <c r="L31" s="594">
        <f>'2B Önk kiad'!L40</f>
        <v>0</v>
      </c>
      <c r="M31" s="594">
        <f>'2B Önk kiad'!M40</f>
        <v>0</v>
      </c>
      <c r="N31" s="594">
        <f t="shared" si="35"/>
        <v>0</v>
      </c>
      <c r="O31" s="594">
        <f>'2B Önk kiad'!O40</f>
        <v>0</v>
      </c>
      <c r="P31" s="594">
        <f>'2B Önk kiad'!P40</f>
        <v>0</v>
      </c>
      <c r="Q31" s="594">
        <f>'2B Önk kiad'!Q40</f>
        <v>0</v>
      </c>
      <c r="R31" s="594">
        <f t="shared" si="37"/>
        <v>0</v>
      </c>
      <c r="S31" s="594">
        <f>'2B Önk kiad'!S40</f>
        <v>0</v>
      </c>
      <c r="T31" s="594">
        <f>'2B Önk kiad'!T40</f>
        <v>0</v>
      </c>
      <c r="U31" s="594">
        <f>'2B Önk kiad'!U40</f>
        <v>0</v>
      </c>
      <c r="V31" s="594">
        <f t="shared" si="39"/>
        <v>0</v>
      </c>
      <c r="W31" s="594">
        <f>'2B Önk kiad'!W40</f>
        <v>0</v>
      </c>
      <c r="X31" s="594">
        <f>'2B Önk kiad'!X40</f>
        <v>0</v>
      </c>
      <c r="Y31" s="594">
        <f>'2B Önk kiad'!Y40</f>
        <v>0</v>
      </c>
      <c r="Z31" s="594">
        <f t="shared" si="41"/>
        <v>0</v>
      </c>
    </row>
    <row r="32" spans="1:26" x14ac:dyDescent="0.25">
      <c r="A32" s="586" t="s">
        <v>322</v>
      </c>
      <c r="B32" s="587" t="s">
        <v>600</v>
      </c>
      <c r="C32" s="600">
        <f t="shared" ref="C32:E32" si="48">SUM(C33:C34)</f>
        <v>0</v>
      </c>
      <c r="D32" s="600">
        <f t="shared" si="48"/>
        <v>0</v>
      </c>
      <c r="E32" s="600">
        <f t="shared" si="48"/>
        <v>0</v>
      </c>
      <c r="F32" s="600">
        <f t="shared" si="6"/>
        <v>0</v>
      </c>
      <c r="G32" s="600">
        <f t="shared" ref="G32:I32" si="49">SUM(G33:G34)</f>
        <v>0</v>
      </c>
      <c r="H32" s="600">
        <f t="shared" si="49"/>
        <v>0</v>
      </c>
      <c r="I32" s="600">
        <f t="shared" si="49"/>
        <v>0</v>
      </c>
      <c r="J32" s="600">
        <f t="shared" si="7"/>
        <v>0</v>
      </c>
      <c r="K32" s="600">
        <f t="shared" ref="K32:M32" si="50">SUM(K33:K34)</f>
        <v>0</v>
      </c>
      <c r="L32" s="600">
        <f t="shared" si="50"/>
        <v>0</v>
      </c>
      <c r="M32" s="600">
        <f t="shared" si="50"/>
        <v>0</v>
      </c>
      <c r="N32" s="600">
        <f t="shared" si="35"/>
        <v>0</v>
      </c>
      <c r="O32" s="600">
        <f t="shared" ref="O32:Q32" si="51">SUM(O33:O34)</f>
        <v>0</v>
      </c>
      <c r="P32" s="600">
        <f t="shared" si="51"/>
        <v>0</v>
      </c>
      <c r="Q32" s="600">
        <f t="shared" si="51"/>
        <v>0</v>
      </c>
      <c r="R32" s="600">
        <f t="shared" si="37"/>
        <v>0</v>
      </c>
      <c r="S32" s="600">
        <f t="shared" ref="S32:U32" si="52">SUM(S33:S34)</f>
        <v>0</v>
      </c>
      <c r="T32" s="600">
        <f t="shared" si="52"/>
        <v>0</v>
      </c>
      <c r="U32" s="600">
        <f t="shared" si="52"/>
        <v>0</v>
      </c>
      <c r="V32" s="600">
        <f t="shared" si="39"/>
        <v>0</v>
      </c>
      <c r="W32" s="600">
        <f t="shared" ref="W32:Y32" si="53">SUM(W33:W34)</f>
        <v>0</v>
      </c>
      <c r="X32" s="600">
        <f t="shared" si="53"/>
        <v>0</v>
      </c>
      <c r="Y32" s="600">
        <f t="shared" si="53"/>
        <v>0</v>
      </c>
      <c r="Z32" s="600">
        <f t="shared" si="41"/>
        <v>0</v>
      </c>
    </row>
    <row r="33" spans="1:26" x14ac:dyDescent="0.25">
      <c r="A33" s="590"/>
      <c r="B33" s="601" t="s">
        <v>692</v>
      </c>
      <c r="C33" s="594">
        <f>'2B Önk kiad'!C42</f>
        <v>0</v>
      </c>
      <c r="D33" s="594">
        <f>'2B Önk kiad'!D42</f>
        <v>0</v>
      </c>
      <c r="E33" s="594">
        <f>'2B Önk kiad'!E42</f>
        <v>0</v>
      </c>
      <c r="F33" s="594">
        <f t="shared" si="6"/>
        <v>0</v>
      </c>
      <c r="G33" s="594">
        <f>'2B Önk kiad'!G42</f>
        <v>0</v>
      </c>
      <c r="H33" s="594">
        <f>'2B Önk kiad'!H42</f>
        <v>0</v>
      </c>
      <c r="I33" s="594">
        <f>'2B Önk kiad'!I42</f>
        <v>0</v>
      </c>
      <c r="J33" s="594">
        <f t="shared" si="7"/>
        <v>0</v>
      </c>
      <c r="K33" s="594">
        <f>'2B Önk kiad'!K42</f>
        <v>0</v>
      </c>
      <c r="L33" s="594">
        <f>'2B Önk kiad'!L42</f>
        <v>0</v>
      </c>
      <c r="M33" s="594">
        <f>'2B Önk kiad'!M42</f>
        <v>0</v>
      </c>
      <c r="N33" s="594">
        <f t="shared" si="35"/>
        <v>0</v>
      </c>
      <c r="O33" s="594">
        <f>'2B Önk kiad'!O42</f>
        <v>0</v>
      </c>
      <c r="P33" s="594">
        <f>'2B Önk kiad'!P42</f>
        <v>0</v>
      </c>
      <c r="Q33" s="594">
        <f>'2B Önk kiad'!Q42</f>
        <v>0</v>
      </c>
      <c r="R33" s="594">
        <f t="shared" si="37"/>
        <v>0</v>
      </c>
      <c r="S33" s="594">
        <f>'2B Önk kiad'!S42</f>
        <v>0</v>
      </c>
      <c r="T33" s="594">
        <f>'2B Önk kiad'!T42</f>
        <v>0</v>
      </c>
      <c r="U33" s="594">
        <f>'2B Önk kiad'!U42</f>
        <v>0</v>
      </c>
      <c r="V33" s="594">
        <f t="shared" si="39"/>
        <v>0</v>
      </c>
      <c r="W33" s="594">
        <f>'2B Önk kiad'!W42</f>
        <v>0</v>
      </c>
      <c r="X33" s="594">
        <f>'2B Önk kiad'!X42</f>
        <v>0</v>
      </c>
      <c r="Y33" s="594">
        <f>'2B Önk kiad'!Y42</f>
        <v>0</v>
      </c>
      <c r="Z33" s="594">
        <f t="shared" si="41"/>
        <v>0</v>
      </c>
    </row>
    <row r="34" spans="1:26" x14ac:dyDescent="0.25">
      <c r="A34" s="590"/>
      <c r="B34" s="601" t="s">
        <v>693</v>
      </c>
      <c r="C34" s="594">
        <f>'2B Önk kiad'!C43</f>
        <v>0</v>
      </c>
      <c r="D34" s="594">
        <f>'2B Önk kiad'!D43</f>
        <v>0</v>
      </c>
      <c r="E34" s="594">
        <f>'2B Önk kiad'!E43</f>
        <v>0</v>
      </c>
      <c r="F34" s="594">
        <f t="shared" si="6"/>
        <v>0</v>
      </c>
      <c r="G34" s="594">
        <f>'2B Önk kiad'!G43</f>
        <v>0</v>
      </c>
      <c r="H34" s="594">
        <f>'2B Önk kiad'!H43</f>
        <v>0</v>
      </c>
      <c r="I34" s="594">
        <f>'2B Önk kiad'!I43</f>
        <v>0</v>
      </c>
      <c r="J34" s="594">
        <f t="shared" si="7"/>
        <v>0</v>
      </c>
      <c r="K34" s="594">
        <f>'2B Önk kiad'!K43</f>
        <v>0</v>
      </c>
      <c r="L34" s="594">
        <f>'2B Önk kiad'!L43</f>
        <v>0</v>
      </c>
      <c r="M34" s="594">
        <f>'2B Önk kiad'!M43</f>
        <v>0</v>
      </c>
      <c r="N34" s="594">
        <f t="shared" si="35"/>
        <v>0</v>
      </c>
      <c r="O34" s="594">
        <f>'2B Önk kiad'!O43</f>
        <v>0</v>
      </c>
      <c r="P34" s="594">
        <f>'2B Önk kiad'!P43</f>
        <v>0</v>
      </c>
      <c r="Q34" s="594">
        <f>'2B Önk kiad'!Q43</f>
        <v>0</v>
      </c>
      <c r="R34" s="594">
        <f t="shared" si="37"/>
        <v>0</v>
      </c>
      <c r="S34" s="594">
        <f>'2B Önk kiad'!S43</f>
        <v>0</v>
      </c>
      <c r="T34" s="594">
        <f>'2B Önk kiad'!T43</f>
        <v>0</v>
      </c>
      <c r="U34" s="594">
        <f>'2B Önk kiad'!U43</f>
        <v>0</v>
      </c>
      <c r="V34" s="594">
        <f t="shared" si="39"/>
        <v>0</v>
      </c>
      <c r="W34" s="594">
        <f>'2B Önk kiad'!W43</f>
        <v>0</v>
      </c>
      <c r="X34" s="594">
        <f>'2B Önk kiad'!X43</f>
        <v>0</v>
      </c>
      <c r="Y34" s="594">
        <f>'2B Önk kiad'!Y43</f>
        <v>0</v>
      </c>
      <c r="Z34" s="594">
        <f t="shared" si="41"/>
        <v>0</v>
      </c>
    </row>
    <row r="35" spans="1:26" x14ac:dyDescent="0.25">
      <c r="A35" s="602"/>
      <c r="B35" s="603" t="s">
        <v>344</v>
      </c>
      <c r="C35" s="604">
        <f t="shared" ref="C35:E35" si="54">C24+C25</f>
        <v>4626268.9400000004</v>
      </c>
      <c r="D35" s="604">
        <f t="shared" si="54"/>
        <v>1334244.5</v>
      </c>
      <c r="E35" s="604">
        <f t="shared" si="54"/>
        <v>414720</v>
      </c>
      <c r="F35" s="604">
        <f>SUM(C35:E35)+1</f>
        <v>6375234.4400000004</v>
      </c>
      <c r="G35" s="604">
        <f t="shared" ref="G35:I35" si="55">G24+G25</f>
        <v>5329671</v>
      </c>
      <c r="H35" s="604" t="e">
        <f>H24+H25</f>
        <v>#REF!</v>
      </c>
      <c r="I35" s="604" t="e">
        <f t="shared" si="55"/>
        <v>#REF!</v>
      </c>
      <c r="J35" s="604" t="e">
        <f t="shared" si="7"/>
        <v>#REF!</v>
      </c>
      <c r="K35" s="604" t="e">
        <f t="shared" ref="K35" si="56">K24+K25</f>
        <v>#REF!</v>
      </c>
      <c r="L35" s="604" t="e">
        <f>L24+L25</f>
        <v>#REF!</v>
      </c>
      <c r="M35" s="604" t="e">
        <f t="shared" ref="M35" si="57">M24+M25</f>
        <v>#REF!</v>
      </c>
      <c r="N35" s="604" t="e">
        <f t="shared" si="35"/>
        <v>#REF!</v>
      </c>
      <c r="O35" s="604">
        <f t="shared" ref="O35" si="58">O24+O25</f>
        <v>4508290</v>
      </c>
      <c r="P35" s="604">
        <f>P24+P25</f>
        <v>1645849</v>
      </c>
      <c r="Q35" s="604">
        <f t="shared" ref="Q35" si="59">Q24+Q25</f>
        <v>315910</v>
      </c>
      <c r="R35" s="604">
        <f t="shared" si="37"/>
        <v>6470049</v>
      </c>
      <c r="S35" s="604">
        <f t="shared" ref="S35" si="60">S24+S25</f>
        <v>4788751.4243149608</v>
      </c>
      <c r="T35" s="604">
        <f>T24+T25</f>
        <v>962879.41999999993</v>
      </c>
      <c r="U35" s="604">
        <f t="shared" ref="U35" si="61">U24+U25</f>
        <v>20340</v>
      </c>
      <c r="V35" s="604">
        <f>SUM(S35:U35)</f>
        <v>5771970.8443149608</v>
      </c>
      <c r="W35" s="604">
        <f t="shared" ref="W35" si="62">W24+W25</f>
        <v>5101121.33</v>
      </c>
      <c r="X35" s="604">
        <f>X24+X25</f>
        <v>1079409</v>
      </c>
      <c r="Y35" s="604">
        <f t="shared" ref="Y35" si="63">Y24+Y25</f>
        <v>152638</v>
      </c>
      <c r="Z35" s="604">
        <f>SUM(W35:Y35)</f>
        <v>6333168.3300000001</v>
      </c>
    </row>
    <row r="36" spans="1:26" ht="14.95" x14ac:dyDescent="0.25">
      <c r="K36" s="605"/>
      <c r="O36" s="605"/>
      <c r="S36" s="605"/>
      <c r="W36" s="605"/>
    </row>
    <row r="50" spans="11:23" ht="14.95" x14ac:dyDescent="0.25">
      <c r="K50" s="605"/>
      <c r="O50" s="605"/>
      <c r="S50" s="605"/>
      <c r="W50" s="605"/>
    </row>
    <row r="51" spans="11:23" x14ac:dyDescent="0.25">
      <c r="K51" s="605"/>
      <c r="O51" s="605"/>
      <c r="S51" s="605"/>
      <c r="W51" s="605"/>
    </row>
    <row r="52" spans="11:23" x14ac:dyDescent="0.25">
      <c r="K52" s="605"/>
      <c r="O52" s="605"/>
      <c r="S52" s="605"/>
      <c r="W52" s="605"/>
    </row>
  </sheetData>
  <mergeCells count="8">
    <mergeCell ref="A2:A3"/>
    <mergeCell ref="C2:F2"/>
    <mergeCell ref="G2:J2"/>
    <mergeCell ref="W2:Z2"/>
    <mergeCell ref="O2:R2"/>
    <mergeCell ref="S2:V2"/>
    <mergeCell ref="K2:N2"/>
    <mergeCell ref="B2:B3"/>
  </mergeCells>
  <printOptions horizontalCentered="1"/>
  <pageMargins left="0.23622047244094491" right="0.15748031496062992" top="1.1811023622047245" bottom="0.74803149606299213" header="0.31496062992125984" footer="0.31496062992125984"/>
  <pageSetup paperSize="9" scale="61" fitToWidth="0" fitToHeight="0" orientation="portrait" r:id="rId1"/>
  <headerFooter>
    <oddHeader>&amp;L1/B.  melléklet a ...../2019. (.......) önkormányzati rendelethez&amp;C&amp;"-,Félkövér"&amp;16
Az Önkormányzat 2019. évi összevont kiadásai jogcímenként és feladatonként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2"/>
  <sheetViews>
    <sheetView view="pageBreakPreview" topLeftCell="A37" zoomScale="80" zoomScaleNormal="100" zoomScaleSheetLayoutView="80" workbookViewId="0">
      <selection activeCell="V79" sqref="V78:V79"/>
    </sheetView>
  </sheetViews>
  <sheetFormatPr defaultRowHeight="14.3" x14ac:dyDescent="0.25"/>
  <cols>
    <col min="1" max="1" width="5.125" style="41" customWidth="1"/>
    <col min="2" max="2" width="40.125" style="42" customWidth="1"/>
    <col min="3" max="3" width="8.125" style="241" hidden="1" customWidth="1"/>
    <col min="4" max="4" width="9.25" style="241" hidden="1" customWidth="1"/>
    <col min="5" max="5" width="8.375" style="241" hidden="1" customWidth="1"/>
    <col min="6" max="6" width="11.625" hidden="1" customWidth="1"/>
    <col min="7" max="7" width="8.625" style="241" hidden="1" customWidth="1"/>
    <col min="8" max="8" width="8.875" style="241" hidden="1" customWidth="1"/>
    <col min="9" max="9" width="8.625" style="241" hidden="1" customWidth="1"/>
    <col min="10" max="10" width="11.625" hidden="1" customWidth="1"/>
    <col min="11" max="12" width="9" hidden="1" customWidth="1"/>
    <col min="13" max="13" width="8.375" hidden="1" customWidth="1"/>
    <col min="14" max="14" width="13.75" hidden="1" customWidth="1"/>
    <col min="15" max="16" width="9" hidden="1" customWidth="1"/>
    <col min="17" max="17" width="8.25" hidden="1" customWidth="1"/>
    <col min="18" max="18" width="13.625" hidden="1" customWidth="1"/>
    <col min="19" max="19" width="8.875" customWidth="1"/>
    <col min="20" max="20" width="10.25" customWidth="1"/>
    <col min="21" max="21" width="8.375" customWidth="1"/>
    <col min="22" max="22" width="15.375" customWidth="1"/>
    <col min="23" max="23" width="8.875" customWidth="1"/>
    <col min="24" max="24" width="10.25" customWidth="1"/>
    <col min="25" max="25" width="8.375" customWidth="1"/>
    <col min="26" max="26" width="15.375" customWidth="1"/>
  </cols>
  <sheetData>
    <row r="1" spans="1:26" ht="14.95" x14ac:dyDescent="0.25">
      <c r="F1" s="32"/>
      <c r="N1" s="32"/>
      <c r="R1" s="32"/>
      <c r="V1" s="32"/>
      <c r="Z1" s="423" t="s">
        <v>302</v>
      </c>
    </row>
    <row r="2" spans="1:26" s="31" customFormat="1" ht="45.7" customHeight="1" x14ac:dyDescent="0.25">
      <c r="A2" s="886" t="s">
        <v>305</v>
      </c>
      <c r="B2" s="887" t="s">
        <v>306</v>
      </c>
      <c r="C2" s="393" t="s">
        <v>1377</v>
      </c>
      <c r="D2" s="393" t="s">
        <v>1378</v>
      </c>
      <c r="E2" s="393" t="s">
        <v>1379</v>
      </c>
      <c r="F2" s="398" t="s">
        <v>345</v>
      </c>
      <c r="G2" s="393" t="s">
        <v>1377</v>
      </c>
      <c r="H2" s="393" t="s">
        <v>1378</v>
      </c>
      <c r="I2" s="393" t="s">
        <v>1379</v>
      </c>
      <c r="J2" s="520" t="s">
        <v>345</v>
      </c>
      <c r="K2" s="393" t="s">
        <v>1377</v>
      </c>
      <c r="L2" s="393" t="s">
        <v>1378</v>
      </c>
      <c r="M2" s="393" t="s">
        <v>1379</v>
      </c>
      <c r="N2" s="520" t="s">
        <v>345</v>
      </c>
      <c r="O2" s="393" t="s">
        <v>1377</v>
      </c>
      <c r="P2" s="393" t="s">
        <v>1378</v>
      </c>
      <c r="Q2" s="393" t="s">
        <v>1379</v>
      </c>
      <c r="R2" s="640" t="s">
        <v>345</v>
      </c>
      <c r="S2" s="393" t="s">
        <v>1377</v>
      </c>
      <c r="T2" s="393" t="s">
        <v>1378</v>
      </c>
      <c r="U2" s="393" t="s">
        <v>1379</v>
      </c>
      <c r="V2" s="640" t="s">
        <v>345</v>
      </c>
      <c r="W2" s="393" t="s">
        <v>1377</v>
      </c>
      <c r="X2" s="393" t="s">
        <v>1378</v>
      </c>
      <c r="Y2" s="393" t="s">
        <v>1379</v>
      </c>
      <c r="Z2" s="858" t="s">
        <v>345</v>
      </c>
    </row>
    <row r="3" spans="1:26" s="31" customFormat="1" ht="50.3" customHeight="1" x14ac:dyDescent="0.25">
      <c r="A3" s="885"/>
      <c r="B3" s="888"/>
      <c r="C3" s="884" t="s">
        <v>1496</v>
      </c>
      <c r="D3" s="885"/>
      <c r="E3" s="885"/>
      <c r="F3" s="885"/>
      <c r="G3" s="884" t="s">
        <v>1519</v>
      </c>
      <c r="H3" s="885"/>
      <c r="I3" s="885"/>
      <c r="J3" s="885"/>
      <c r="K3" s="884" t="s">
        <v>1520</v>
      </c>
      <c r="L3" s="885"/>
      <c r="M3" s="885"/>
      <c r="N3" s="885"/>
      <c r="O3" s="880" t="s">
        <v>1498</v>
      </c>
      <c r="P3" s="881"/>
      <c r="Q3" s="881"/>
      <c r="R3" s="882"/>
      <c r="S3" s="880" t="s">
        <v>1501</v>
      </c>
      <c r="T3" s="881"/>
      <c r="U3" s="881"/>
      <c r="V3" s="882"/>
      <c r="W3" s="880" t="s">
        <v>1719</v>
      </c>
      <c r="X3" s="881"/>
      <c r="Y3" s="881"/>
      <c r="Z3" s="882"/>
    </row>
    <row r="4" spans="1:26" s="31" customFormat="1" x14ac:dyDescent="0.25">
      <c r="A4" s="331"/>
      <c r="B4" s="332" t="s">
        <v>1039</v>
      </c>
      <c r="C4" s="374">
        <f>C5+C41+C86+C89</f>
        <v>242.5</v>
      </c>
      <c r="D4" s="416"/>
      <c r="E4" s="416"/>
      <c r="F4" s="401">
        <f>F5+F41+F86+F89+1</f>
        <v>6375234.4399999995</v>
      </c>
      <c r="G4" s="374">
        <f>G5+G41+G86+G89</f>
        <v>242.5</v>
      </c>
      <c r="H4" s="416"/>
      <c r="I4" s="416"/>
      <c r="J4" s="401">
        <f>J5+J41+J86+J89</f>
        <v>7504911.5</v>
      </c>
      <c r="K4" s="374" t="e">
        <f>K5+K41+K86+K89</f>
        <v>#REF!</v>
      </c>
      <c r="L4" s="416"/>
      <c r="M4" s="416"/>
      <c r="N4" s="401" t="e">
        <f>N5+N41+N86+N89</f>
        <v>#REF!</v>
      </c>
      <c r="O4" s="374">
        <f>O5+O41+O86+O89</f>
        <v>242.5</v>
      </c>
      <c r="P4" s="416"/>
      <c r="Q4" s="416"/>
      <c r="R4" s="401">
        <f>R5+R41+R86+R89</f>
        <v>6172301</v>
      </c>
      <c r="S4" s="374">
        <f>S5+S41+S86+S89</f>
        <v>329</v>
      </c>
      <c r="T4" s="416"/>
      <c r="U4" s="416"/>
      <c r="V4" s="401">
        <f>V5+V41+V86+V89</f>
        <v>5771970.6979999989</v>
      </c>
      <c r="W4" s="374">
        <f>W5+W41+W86+W89</f>
        <v>329</v>
      </c>
      <c r="X4" s="416"/>
      <c r="Y4" s="416"/>
      <c r="Z4" s="401">
        <f>Z5+Z41+Z86+Z89</f>
        <v>6333168.3300000001</v>
      </c>
    </row>
    <row r="5" spans="1:26" x14ac:dyDescent="0.25">
      <c r="A5" s="334" t="s">
        <v>309</v>
      </c>
      <c r="B5" s="335" t="s">
        <v>348</v>
      </c>
      <c r="C5" s="375">
        <f>SUM(C6:C40)</f>
        <v>236.5</v>
      </c>
      <c r="D5" s="375"/>
      <c r="E5" s="375"/>
      <c r="F5" s="336">
        <f>SUM(F6:F40)</f>
        <v>4626268.9399999995</v>
      </c>
      <c r="G5" s="375">
        <f>SUM(G6:G40)</f>
        <v>236.5</v>
      </c>
      <c r="H5" s="375"/>
      <c r="I5" s="375"/>
      <c r="J5" s="336">
        <f>SUM(J6:J40)</f>
        <v>5329263</v>
      </c>
      <c r="K5" s="375" t="e">
        <f>SUM(K6:K40)</f>
        <v>#REF!</v>
      </c>
      <c r="L5" s="375"/>
      <c r="M5" s="375"/>
      <c r="N5" s="336" t="e">
        <f>SUM(N6:N40)</f>
        <v>#REF!</v>
      </c>
      <c r="O5" s="375">
        <f>SUM(O6:O40)</f>
        <v>236.5</v>
      </c>
      <c r="P5" s="375"/>
      <c r="Q5" s="375"/>
      <c r="R5" s="336">
        <f>SUM(R6:R40)</f>
        <v>4913118</v>
      </c>
      <c r="S5" s="375">
        <f>SUM(S6:S40)</f>
        <v>322.5</v>
      </c>
      <c r="T5" s="375"/>
      <c r="U5" s="375"/>
      <c r="V5" s="336">
        <f>SUM(V6:V40)+1</f>
        <v>4608106.6979999989</v>
      </c>
      <c r="W5" s="375">
        <f>SUM(W6:W40)</f>
        <v>322.5</v>
      </c>
      <c r="X5" s="375"/>
      <c r="Y5" s="375"/>
      <c r="Z5" s="336">
        <f>SUM(Z6:Z40)+1</f>
        <v>4920476.33</v>
      </c>
    </row>
    <row r="6" spans="1:26" x14ac:dyDescent="0.25">
      <c r="A6" s="435" t="s">
        <v>1040</v>
      </c>
      <c r="B6" s="341" t="s">
        <v>698</v>
      </c>
      <c r="C6" s="376"/>
      <c r="D6" s="376"/>
      <c r="E6" s="376"/>
      <c r="F6" s="345">
        <f>'2C Önk bev kiad fel'!E7</f>
        <v>3994</v>
      </c>
      <c r="G6" s="376"/>
      <c r="H6" s="376"/>
      <c r="I6" s="376"/>
      <c r="J6" s="345">
        <f>'2C Önk bev kiad fel'!H7</f>
        <v>11035</v>
      </c>
      <c r="K6" s="376"/>
      <c r="L6" s="376"/>
      <c r="M6" s="376"/>
      <c r="N6" s="345">
        <f>'2C Önk bev kiad fel'!K7</f>
        <v>11035</v>
      </c>
      <c r="O6" s="376"/>
      <c r="P6" s="376"/>
      <c r="Q6" s="376"/>
      <c r="R6" s="345">
        <f>'2C Önk bev kiad fel'!N7</f>
        <v>6541</v>
      </c>
      <c r="S6" s="376"/>
      <c r="T6" s="376"/>
      <c r="U6" s="376"/>
      <c r="V6" s="345">
        <f>'2C Önk bev kiad fel'!Q7</f>
        <v>8510</v>
      </c>
      <c r="W6" s="376"/>
      <c r="X6" s="376"/>
      <c r="Y6" s="376"/>
      <c r="Z6" s="345">
        <f>'2C Önk bev kiad fel'!T7</f>
        <v>12023</v>
      </c>
    </row>
    <row r="7" spans="1:26" x14ac:dyDescent="0.25">
      <c r="A7" s="435" t="s">
        <v>1041</v>
      </c>
      <c r="B7" s="341" t="s">
        <v>699</v>
      </c>
      <c r="C7" s="376"/>
      <c r="D7" s="376"/>
      <c r="E7" s="376"/>
      <c r="F7" s="345">
        <f>'2C Önk bev kiad fel'!E11</f>
        <v>2770</v>
      </c>
      <c r="G7" s="376"/>
      <c r="H7" s="376"/>
      <c r="I7" s="376"/>
      <c r="J7" s="345">
        <f>'2C Önk bev kiad fel'!H11</f>
        <v>1270</v>
      </c>
      <c r="K7" s="376"/>
      <c r="L7" s="376"/>
      <c r="M7" s="376"/>
      <c r="N7" s="345">
        <f>'2C Önk bev kiad fel'!K11</f>
        <v>1270</v>
      </c>
      <c r="O7" s="376"/>
      <c r="P7" s="376"/>
      <c r="Q7" s="376"/>
      <c r="R7" s="345">
        <f>'2C Önk bev kiad fel'!N11</f>
        <v>1270</v>
      </c>
      <c r="S7" s="376"/>
      <c r="T7" s="376"/>
      <c r="U7" s="376"/>
      <c r="V7" s="345">
        <f>'2C Önk bev kiad fel'!Q11</f>
        <v>21500</v>
      </c>
      <c r="W7" s="376"/>
      <c r="X7" s="376"/>
      <c r="Y7" s="376"/>
      <c r="Z7" s="345">
        <f>'2C Önk bev kiad fel'!T11</f>
        <v>21500</v>
      </c>
    </row>
    <row r="8" spans="1:26" x14ac:dyDescent="0.25">
      <c r="A8" s="435" t="s">
        <v>1042</v>
      </c>
      <c r="B8" s="341" t="s">
        <v>700</v>
      </c>
      <c r="C8" s="376"/>
      <c r="D8" s="376"/>
      <c r="E8" s="376"/>
      <c r="F8" s="345">
        <f>'2C Önk bev kiad fel'!E14</f>
        <v>17969</v>
      </c>
      <c r="G8" s="376"/>
      <c r="H8" s="376"/>
      <c r="I8" s="376"/>
      <c r="J8" s="345">
        <f>'2C Önk bev kiad fel'!H14</f>
        <v>20244</v>
      </c>
      <c r="K8" s="376"/>
      <c r="L8" s="376"/>
      <c r="M8" s="376"/>
      <c r="N8" s="345">
        <f>'2C Önk bev kiad fel'!K14</f>
        <v>20244</v>
      </c>
      <c r="O8" s="376"/>
      <c r="P8" s="376"/>
      <c r="Q8" s="376"/>
      <c r="R8" s="345">
        <f>'2C Önk bev kiad fel'!N14</f>
        <v>18964</v>
      </c>
      <c r="S8" s="376"/>
      <c r="T8" s="376"/>
      <c r="U8" s="376"/>
      <c r="V8" s="345">
        <f>'2C Önk bev kiad fel'!Q14</f>
        <v>17524.868000000002</v>
      </c>
      <c r="W8" s="376"/>
      <c r="X8" s="376"/>
      <c r="Y8" s="376"/>
      <c r="Z8" s="345">
        <f>'2C Önk bev kiad fel'!T14</f>
        <v>17825</v>
      </c>
    </row>
    <row r="9" spans="1:26" x14ac:dyDescent="0.25">
      <c r="A9" s="435" t="s">
        <v>1043</v>
      </c>
      <c r="B9" s="341" t="s">
        <v>658</v>
      </c>
      <c r="C9" s="376">
        <v>7</v>
      </c>
      <c r="D9" s="376"/>
      <c r="E9" s="376"/>
      <c r="F9" s="345">
        <f>'2C Önk bev kiad fel'!E19</f>
        <v>43832</v>
      </c>
      <c r="G9" s="376">
        <v>7</v>
      </c>
      <c r="H9" s="376"/>
      <c r="I9" s="376"/>
      <c r="J9" s="345">
        <f>'2C Önk bev kiad fel'!H19</f>
        <v>43832</v>
      </c>
      <c r="K9" s="376">
        <v>7</v>
      </c>
      <c r="L9" s="376"/>
      <c r="M9" s="376"/>
      <c r="N9" s="345" t="e">
        <f>'2C Önk bev kiad fel'!K19+'3B PH fel'!#REF!</f>
        <v>#REF!</v>
      </c>
      <c r="O9" s="376">
        <v>7</v>
      </c>
      <c r="P9" s="376"/>
      <c r="Q9" s="376"/>
      <c r="R9" s="345">
        <f>'2C Önk bev kiad fel'!N19</f>
        <v>1902</v>
      </c>
      <c r="S9" s="376">
        <v>7</v>
      </c>
      <c r="T9" s="376"/>
      <c r="U9" s="376"/>
      <c r="V9" s="345">
        <f>'2C Önk bev kiad fel'!Q19</f>
        <v>49738</v>
      </c>
      <c r="W9" s="376">
        <v>7</v>
      </c>
      <c r="X9" s="376"/>
      <c r="Y9" s="376"/>
      <c r="Z9" s="345">
        <f>'2C Önk bev kiad fel'!T19</f>
        <v>49738</v>
      </c>
    </row>
    <row r="10" spans="1:26" x14ac:dyDescent="0.25">
      <c r="A10" s="435" t="s">
        <v>1044</v>
      </c>
      <c r="B10" s="341" t="s">
        <v>1272</v>
      </c>
      <c r="C10" s="376"/>
      <c r="D10" s="376"/>
      <c r="E10" s="376"/>
      <c r="F10" s="345">
        <f>'2C Önk bev kiad fel'!E24</f>
        <v>1000</v>
      </c>
      <c r="G10" s="376"/>
      <c r="H10" s="376"/>
      <c r="I10" s="376"/>
      <c r="J10" s="345">
        <f>'2C Önk bev kiad fel'!H24</f>
        <v>1000</v>
      </c>
      <c r="K10" s="376"/>
      <c r="L10" s="376"/>
      <c r="M10" s="376"/>
      <c r="N10" s="345">
        <f>'2C Önk bev kiad fel'!K24</f>
        <v>1000</v>
      </c>
      <c r="O10" s="376"/>
      <c r="P10" s="376"/>
      <c r="Q10" s="376"/>
      <c r="R10" s="345">
        <f>'2C Önk bev kiad fel'!N24</f>
        <v>0</v>
      </c>
      <c r="S10" s="376"/>
      <c r="T10" s="376"/>
      <c r="U10" s="376"/>
      <c r="V10" s="345">
        <f>'2C Önk bev kiad fel'!Q24</f>
        <v>1000</v>
      </c>
      <c r="W10" s="376"/>
      <c r="X10" s="376"/>
      <c r="Y10" s="376"/>
      <c r="Z10" s="345">
        <f>'2C Önk bev kiad fel'!T24</f>
        <v>1000</v>
      </c>
    </row>
    <row r="11" spans="1:26" x14ac:dyDescent="0.25">
      <c r="A11" s="435" t="s">
        <v>1045</v>
      </c>
      <c r="B11" s="341" t="s">
        <v>1659</v>
      </c>
      <c r="C11" s="376"/>
      <c r="D11" s="376"/>
      <c r="E11" s="376"/>
      <c r="F11" s="345">
        <f>'2C Önk bev kiad fel'!E26</f>
        <v>500</v>
      </c>
      <c r="G11" s="376"/>
      <c r="H11" s="376"/>
      <c r="I11" s="376"/>
      <c r="J11" s="345">
        <f>'2C Önk bev kiad fel'!H26</f>
        <v>500</v>
      </c>
      <c r="K11" s="376"/>
      <c r="L11" s="376"/>
      <c r="M11" s="376"/>
      <c r="N11" s="345">
        <f>'2C Önk bev kiad fel'!K26</f>
        <v>500</v>
      </c>
      <c r="O11" s="376"/>
      <c r="P11" s="376"/>
      <c r="Q11" s="376"/>
      <c r="R11" s="345">
        <f>'2C Önk bev kiad fel'!N26</f>
        <v>0</v>
      </c>
      <c r="S11" s="376"/>
      <c r="T11" s="376"/>
      <c r="U11" s="376"/>
      <c r="V11" s="345">
        <f>'2C Önk bev kiad fel'!Q26</f>
        <v>500</v>
      </c>
      <c r="W11" s="376"/>
      <c r="X11" s="376"/>
      <c r="Y11" s="376"/>
      <c r="Z11" s="345">
        <f>'2C Önk bev kiad fel'!T26</f>
        <v>500</v>
      </c>
    </row>
    <row r="12" spans="1:26" x14ac:dyDescent="0.25">
      <c r="A12" s="435" t="s">
        <v>1046</v>
      </c>
      <c r="B12" s="341" t="s">
        <v>701</v>
      </c>
      <c r="C12" s="376"/>
      <c r="D12" s="376"/>
      <c r="E12" s="376"/>
      <c r="F12" s="345">
        <f>'2C Önk bev kiad fel'!E28</f>
        <v>8793</v>
      </c>
      <c r="G12" s="376"/>
      <c r="H12" s="376"/>
      <c r="I12" s="376"/>
      <c r="J12" s="345">
        <f>+'3B PH fel'!J12</f>
        <v>4126</v>
      </c>
      <c r="K12" s="376"/>
      <c r="L12" s="376"/>
      <c r="M12" s="376"/>
      <c r="N12" s="345">
        <f>'2C Önk bev kiad fel'!K28</f>
        <v>0</v>
      </c>
      <c r="O12" s="376"/>
      <c r="P12" s="376"/>
      <c r="Q12" s="376"/>
      <c r="R12" s="345">
        <f>+'3B PH fel'!R12</f>
        <v>3508</v>
      </c>
      <c r="S12" s="376"/>
      <c r="T12" s="376"/>
      <c r="U12" s="376"/>
      <c r="V12" s="345">
        <f>+'3B PH fel'!V12</f>
        <v>8565</v>
      </c>
      <c r="W12" s="376"/>
      <c r="X12" s="376"/>
      <c r="Y12" s="376"/>
      <c r="Z12" s="345">
        <f>+'3B PH fel'!Z12</f>
        <v>12426</v>
      </c>
    </row>
    <row r="13" spans="1:26" x14ac:dyDescent="0.25">
      <c r="A13" s="435" t="s">
        <v>1047</v>
      </c>
      <c r="B13" s="341" t="s">
        <v>702</v>
      </c>
      <c r="C13" s="376"/>
      <c r="D13" s="376"/>
      <c r="E13" s="376"/>
      <c r="F13" s="345">
        <f>'2C Önk bev kiad fel'!E33+'5 GSZNR fel'!E161</f>
        <v>64109.7</v>
      </c>
      <c r="G13" s="376"/>
      <c r="H13" s="376"/>
      <c r="I13" s="376"/>
      <c r="J13" s="345">
        <f>'2C Önk bev kiad fel'!H33+'5 GSZNR fel'!H161</f>
        <v>65577</v>
      </c>
      <c r="K13" s="376"/>
      <c r="L13" s="376"/>
      <c r="M13" s="376"/>
      <c r="N13" s="345" t="e">
        <f>'2C Önk bev kiad fel'!K33+#REF!</f>
        <v>#REF!</v>
      </c>
      <c r="O13" s="376"/>
      <c r="P13" s="376"/>
      <c r="Q13" s="376"/>
      <c r="R13" s="345">
        <f>'2C Önk bev kiad fel'!N33+'5 GSZNR fel'!N161</f>
        <v>63008</v>
      </c>
      <c r="S13" s="376"/>
      <c r="T13" s="376"/>
      <c r="U13" s="376"/>
      <c r="V13" s="345">
        <f>'2C Önk bev kiad fel'!Q33+'5 GSZNR fel'!Q161</f>
        <v>88400</v>
      </c>
      <c r="W13" s="376"/>
      <c r="X13" s="376"/>
      <c r="Y13" s="376"/>
      <c r="Z13" s="345">
        <f>'2C Önk bev kiad fel'!T33+'5 GSZNR fel'!T161</f>
        <v>88400</v>
      </c>
    </row>
    <row r="14" spans="1:26" x14ac:dyDescent="0.25">
      <c r="A14" s="435" t="s">
        <v>1048</v>
      </c>
      <c r="B14" s="370" t="s">
        <v>703</v>
      </c>
      <c r="C14" s="376"/>
      <c r="D14" s="376"/>
      <c r="E14" s="376"/>
      <c r="F14" s="345">
        <f>'2C Önk bev kiad fel'!E36</f>
        <v>1000</v>
      </c>
      <c r="G14" s="376"/>
      <c r="H14" s="376"/>
      <c r="I14" s="376"/>
      <c r="J14" s="345">
        <f>'2C Önk bev kiad fel'!H36</f>
        <v>1000</v>
      </c>
      <c r="K14" s="376"/>
      <c r="L14" s="376"/>
      <c r="M14" s="376"/>
      <c r="N14" s="345">
        <f>'2C Önk bev kiad fel'!K36</f>
        <v>1000</v>
      </c>
      <c r="O14" s="376"/>
      <c r="P14" s="376"/>
      <c r="Q14" s="376"/>
      <c r="R14" s="345">
        <f>'2C Önk bev kiad fel'!N36</f>
        <v>450</v>
      </c>
      <c r="S14" s="376"/>
      <c r="T14" s="376"/>
      <c r="U14" s="376"/>
      <c r="V14" s="345">
        <f>'2C Önk bev kiad fel'!Q36</f>
        <v>5513</v>
      </c>
      <c r="W14" s="376"/>
      <c r="X14" s="376"/>
      <c r="Y14" s="376"/>
      <c r="Z14" s="345">
        <f>'2C Önk bev kiad fel'!T36</f>
        <v>8545</v>
      </c>
    </row>
    <row r="15" spans="1:26" x14ac:dyDescent="0.25">
      <c r="A15" s="435" t="s">
        <v>1049</v>
      </c>
      <c r="B15" s="341" t="s">
        <v>704</v>
      </c>
      <c r="C15" s="376"/>
      <c r="D15" s="376"/>
      <c r="E15" s="376"/>
      <c r="F15" s="345">
        <f>'2C Önk bev kiad fel'!E39</f>
        <v>5347</v>
      </c>
      <c r="G15" s="376"/>
      <c r="H15" s="376"/>
      <c r="I15" s="376"/>
      <c r="J15" s="345">
        <f>'2C Önk bev kiad fel'!H39</f>
        <v>5347</v>
      </c>
      <c r="K15" s="376"/>
      <c r="L15" s="376"/>
      <c r="M15" s="376"/>
      <c r="N15" s="345">
        <f>'2C Önk bev kiad fel'!K39</f>
        <v>5347</v>
      </c>
      <c r="O15" s="376"/>
      <c r="P15" s="376"/>
      <c r="Q15" s="376"/>
      <c r="R15" s="345">
        <f>'2C Önk bev kiad fel'!N39</f>
        <v>6707</v>
      </c>
      <c r="S15" s="376"/>
      <c r="T15" s="376"/>
      <c r="U15" s="376"/>
      <c r="V15" s="345">
        <f>'2C Önk bev kiad fel'!Q39</f>
        <v>4331</v>
      </c>
      <c r="W15" s="376"/>
      <c r="X15" s="376"/>
      <c r="Y15" s="376"/>
      <c r="Z15" s="345">
        <f>'2C Önk bev kiad fel'!T39</f>
        <v>4331</v>
      </c>
    </row>
    <row r="16" spans="1:26" x14ac:dyDescent="0.25">
      <c r="A16" s="435" t="s">
        <v>1050</v>
      </c>
      <c r="B16" s="341" t="s">
        <v>705</v>
      </c>
      <c r="C16" s="376">
        <v>5</v>
      </c>
      <c r="D16" s="376"/>
      <c r="E16" s="376"/>
      <c r="F16" s="345">
        <f>'2C Önk bev kiad fel'!E43+'5 GSZNR fel'!E165+'5 GSZNR fel'!E171</f>
        <v>2080619.64</v>
      </c>
      <c r="G16" s="376">
        <v>5</v>
      </c>
      <c r="H16" s="376"/>
      <c r="I16" s="376"/>
      <c r="J16" s="345">
        <f>'2C Önk bev kiad fel'!H43+'5 GSZNR fel'!H165+'5 GSZNR fel'!H171</f>
        <v>2661671</v>
      </c>
      <c r="K16" s="345" t="e">
        <f>'2C Önk bev kiad fel'!I43+#REF!+#REF!+#REF!+#REF!+#REF!</f>
        <v>#REF!</v>
      </c>
      <c r="L16" s="376"/>
      <c r="M16" s="376"/>
      <c r="N16" s="345" t="e">
        <f>'2C Önk bev kiad fel'!K43+#REF!+#REF!+#REF!+#REF!+#REF!</f>
        <v>#REF!</v>
      </c>
      <c r="O16" s="345"/>
      <c r="P16" s="376"/>
      <c r="Q16" s="376"/>
      <c r="R16" s="345">
        <f>'2C Önk bev kiad fel'!N43+'5 GSZNR fel'!N165+'5 GSZNR fel'!N171</f>
        <v>2430595</v>
      </c>
      <c r="S16" s="376">
        <f>9+11+9</f>
        <v>29</v>
      </c>
      <c r="T16" s="376"/>
      <c r="U16" s="860"/>
      <c r="V16" s="861">
        <f>'2C Önk bev kiad fel'!$Q$43+'5 GSZNR fel'!$Q$165+'5 GSZNR fel'!$Q$171</f>
        <v>977899</v>
      </c>
      <c r="W16" s="860">
        <f>9+11+9</f>
        <v>29</v>
      </c>
      <c r="X16" s="860"/>
      <c r="Y16" s="860"/>
      <c r="Z16" s="861">
        <f>'2C Önk bev kiad fel'!T43+'5 GSZNR fel'!T165+'5 GSZNR fel'!T171</f>
        <v>1013014</v>
      </c>
    </row>
    <row r="17" spans="1:26" x14ac:dyDescent="0.25">
      <c r="A17" s="435" t="s">
        <v>1051</v>
      </c>
      <c r="B17" s="341" t="s">
        <v>1533</v>
      </c>
      <c r="C17" s="376"/>
      <c r="D17" s="376"/>
      <c r="E17" s="376"/>
      <c r="F17" s="345"/>
      <c r="G17" s="376"/>
      <c r="H17" s="376"/>
      <c r="I17" s="376"/>
      <c r="J17" s="345"/>
      <c r="K17" s="345"/>
      <c r="L17" s="376"/>
      <c r="M17" s="376"/>
      <c r="N17" s="345"/>
      <c r="O17" s="345"/>
      <c r="P17" s="376"/>
      <c r="Q17" s="376"/>
      <c r="R17" s="345"/>
      <c r="S17" s="345"/>
      <c r="T17" s="376"/>
      <c r="U17" s="860"/>
      <c r="V17" s="861">
        <f>+'2C Önk bev kiad fel'!Q51</f>
        <v>883753</v>
      </c>
      <c r="W17" s="861"/>
      <c r="X17" s="860"/>
      <c r="Y17" s="860"/>
      <c r="Z17" s="861">
        <f>+'2C Önk bev kiad fel'!T51</f>
        <v>1069744</v>
      </c>
    </row>
    <row r="18" spans="1:26" x14ac:dyDescent="0.25">
      <c r="A18" s="435" t="s">
        <v>1052</v>
      </c>
      <c r="B18" s="341" t="s">
        <v>605</v>
      </c>
      <c r="C18" s="376"/>
      <c r="D18" s="376"/>
      <c r="E18" s="376"/>
      <c r="F18" s="345">
        <f>'2C Önk bev kiad fel'!E57+'5 GSZNR fel'!E62</f>
        <v>25617</v>
      </c>
      <c r="G18" s="376"/>
      <c r="H18" s="376"/>
      <c r="I18" s="376"/>
      <c r="J18" s="345">
        <f>'2C Önk bev kiad fel'!H57+'5 GSZNR fel'!H62</f>
        <v>25475</v>
      </c>
      <c r="K18" s="376"/>
      <c r="L18" s="376"/>
      <c r="M18" s="376"/>
      <c r="N18" s="345">
        <f>'2C Önk bev kiad fel'!K57+'5 GSZNR fel'!K62</f>
        <v>25475</v>
      </c>
      <c r="O18" s="376"/>
      <c r="P18" s="376"/>
      <c r="Q18" s="376"/>
      <c r="R18" s="345">
        <f>'2C Önk bev kiad fel'!N57+'5 GSZNR fel'!N62</f>
        <v>23063</v>
      </c>
      <c r="S18" s="376"/>
      <c r="T18" s="376"/>
      <c r="U18" s="376"/>
      <c r="V18" s="345">
        <f>'2C Önk bev kiad fel'!Q57+'5 GSZNR fel'!Q62</f>
        <v>508</v>
      </c>
      <c r="W18" s="376"/>
      <c r="X18" s="376"/>
      <c r="Y18" s="376"/>
      <c r="Z18" s="345">
        <f>'2C Önk bev kiad fel'!T57+'5 GSZNR fel'!T62</f>
        <v>508</v>
      </c>
    </row>
    <row r="19" spans="1:26" s="47" customFormat="1" x14ac:dyDescent="0.25">
      <c r="A19" s="435" t="s">
        <v>1054</v>
      </c>
      <c r="B19" s="341" t="s">
        <v>615</v>
      </c>
      <c r="C19" s="376"/>
      <c r="D19" s="376"/>
      <c r="E19" s="376"/>
      <c r="F19" s="345">
        <f>'2C Önk bev kiad fel'!F59</f>
        <v>0</v>
      </c>
      <c r="G19" s="376"/>
      <c r="H19" s="376"/>
      <c r="I19" s="376"/>
      <c r="J19" s="345">
        <f>'2C Önk bev kiad fel'!I59</f>
        <v>0</v>
      </c>
      <c r="K19" s="376"/>
      <c r="L19" s="376"/>
      <c r="M19" s="376"/>
      <c r="N19" s="345">
        <f>'2C Önk bev kiad fel'!M59</f>
        <v>0</v>
      </c>
      <c r="O19" s="376"/>
      <c r="P19" s="376"/>
      <c r="Q19" s="376"/>
      <c r="R19" s="345">
        <f>'2C Önk bev kiad fel'!N59</f>
        <v>19081</v>
      </c>
      <c r="S19" s="376"/>
      <c r="T19" s="376"/>
      <c r="U19" s="376"/>
      <c r="V19" s="345">
        <f>'2C Önk bev kiad fel'!Q59</f>
        <v>18000</v>
      </c>
      <c r="W19" s="376"/>
      <c r="X19" s="376"/>
      <c r="Y19" s="376"/>
      <c r="Z19" s="345">
        <f>'2C Önk bev kiad fel'!T59</f>
        <v>20455</v>
      </c>
    </row>
    <row r="20" spans="1:26" s="47" customFormat="1" x14ac:dyDescent="0.25">
      <c r="A20" s="435" t="s">
        <v>1055</v>
      </c>
      <c r="B20" s="341" t="s">
        <v>1053</v>
      </c>
      <c r="C20" s="376">
        <v>64</v>
      </c>
      <c r="D20" s="376"/>
      <c r="E20" s="376">
        <v>7</v>
      </c>
      <c r="F20" s="345">
        <f>'3B PH fel'!F6</f>
        <v>692586</v>
      </c>
      <c r="G20" s="376">
        <v>64</v>
      </c>
      <c r="H20" s="376"/>
      <c r="I20" s="376">
        <v>7</v>
      </c>
      <c r="J20" s="345">
        <f>'3B PH fel'!J6</f>
        <v>729304</v>
      </c>
      <c r="K20" s="376">
        <f>'3B PH fel'!K6</f>
        <v>69</v>
      </c>
      <c r="L20" s="376"/>
      <c r="M20" s="376">
        <v>7</v>
      </c>
      <c r="N20" s="345">
        <f>'3B PH fel'!N6</f>
        <v>729304</v>
      </c>
      <c r="O20" s="376">
        <f>'3B PH fel'!O6</f>
        <v>69</v>
      </c>
      <c r="P20" s="376"/>
      <c r="Q20" s="376">
        <v>7</v>
      </c>
      <c r="R20" s="345">
        <f>'3B PH fel'!R6</f>
        <v>662152</v>
      </c>
      <c r="S20" s="376">
        <v>74</v>
      </c>
      <c r="T20" s="376"/>
      <c r="U20" s="376">
        <v>7</v>
      </c>
      <c r="V20" s="345">
        <f>'3B PH fel'!V6</f>
        <v>721658</v>
      </c>
      <c r="W20" s="376">
        <v>74</v>
      </c>
      <c r="X20" s="376"/>
      <c r="Y20" s="376">
        <v>7</v>
      </c>
      <c r="Z20" s="345">
        <f>'3B PH fel'!Z6</f>
        <v>789023</v>
      </c>
    </row>
    <row r="21" spans="1:26" s="47" customFormat="1" x14ac:dyDescent="0.25">
      <c r="A21" s="435" t="s">
        <v>1056</v>
      </c>
      <c r="B21" s="341" t="s">
        <v>611</v>
      </c>
      <c r="C21" s="376"/>
      <c r="D21" s="376">
        <v>25</v>
      </c>
      <c r="E21" s="376"/>
      <c r="F21" s="345">
        <f>'2C Önk bev kiad fel'!E62</f>
        <v>10146</v>
      </c>
      <c r="G21" s="376"/>
      <c r="H21" s="376">
        <v>25</v>
      </c>
      <c r="I21" s="376"/>
      <c r="J21" s="345">
        <f>'2C Önk bev kiad fel'!H62</f>
        <v>10146</v>
      </c>
      <c r="K21" s="376"/>
      <c r="L21" s="376">
        <v>25</v>
      </c>
      <c r="M21" s="376"/>
      <c r="N21" s="345" t="e">
        <f>'2C Önk bev kiad fel'!K62+'3B PH fel'!#REF!</f>
        <v>#REF!</v>
      </c>
      <c r="O21" s="376"/>
      <c r="P21" s="376">
        <v>25</v>
      </c>
      <c r="Q21" s="376"/>
      <c r="R21" s="345">
        <f>'2C Önk bev kiad fel'!N62</f>
        <v>0</v>
      </c>
      <c r="S21" s="376"/>
      <c r="T21" s="376">
        <v>25</v>
      </c>
      <c r="U21" s="376"/>
      <c r="V21" s="345">
        <f>'2C Önk bev kiad fel'!Q62</f>
        <v>2737</v>
      </c>
      <c r="W21" s="376"/>
      <c r="X21" s="376">
        <v>25</v>
      </c>
      <c r="Y21" s="376"/>
      <c r="Z21" s="345">
        <f>'2C Önk bev kiad fel'!T62</f>
        <v>2737</v>
      </c>
    </row>
    <row r="22" spans="1:26" s="47" customFormat="1" x14ac:dyDescent="0.25">
      <c r="A22" s="435" t="s">
        <v>1057</v>
      </c>
      <c r="B22" s="341" t="s">
        <v>555</v>
      </c>
      <c r="C22" s="376"/>
      <c r="D22" s="376"/>
      <c r="E22" s="376"/>
      <c r="F22" s="345">
        <f>+'5 GSZNR fel'!E132</f>
        <v>72321.700000000012</v>
      </c>
      <c r="G22" s="376"/>
      <c r="H22" s="376"/>
      <c r="I22" s="376"/>
      <c r="J22" s="345">
        <f>+'5 GSZNR fel'!H132</f>
        <v>80918</v>
      </c>
      <c r="K22" s="345" t="e">
        <f>#REF!</f>
        <v>#REF!</v>
      </c>
      <c r="L22" s="376"/>
      <c r="M22" s="376"/>
      <c r="N22" s="345" t="e">
        <f>#REF!</f>
        <v>#REF!</v>
      </c>
      <c r="O22" s="345"/>
      <c r="P22" s="376"/>
      <c r="Q22" s="376"/>
      <c r="R22" s="345">
        <f>+'5 GSZNR fel'!N132</f>
        <v>70992</v>
      </c>
      <c r="S22" s="376">
        <v>5</v>
      </c>
      <c r="T22" s="376"/>
      <c r="U22" s="376"/>
      <c r="V22" s="345">
        <f>+'5 GSZNR fel'!$Q$132</f>
        <v>82313</v>
      </c>
      <c r="W22" s="376">
        <v>5</v>
      </c>
      <c r="X22" s="376"/>
      <c r="Y22" s="376"/>
      <c r="Z22" s="345">
        <f>+'5 GSZNR fel'!$Q$132</f>
        <v>82313</v>
      </c>
    </row>
    <row r="23" spans="1:26" s="47" customFormat="1" x14ac:dyDescent="0.25">
      <c r="A23" s="435" t="s">
        <v>1058</v>
      </c>
      <c r="B23" s="341" t="s">
        <v>556</v>
      </c>
      <c r="C23" s="376"/>
      <c r="D23" s="376"/>
      <c r="E23" s="376"/>
      <c r="F23" s="345">
        <f>+'5 GSZNR fel'!E137</f>
        <v>94208.5</v>
      </c>
      <c r="G23" s="376"/>
      <c r="H23" s="376"/>
      <c r="I23" s="376"/>
      <c r="J23" s="345">
        <f>+'5 GSZNR fel'!H137</f>
        <v>105695</v>
      </c>
      <c r="K23" s="345" t="e">
        <f>#REF!</f>
        <v>#REF!</v>
      </c>
      <c r="L23" s="376"/>
      <c r="M23" s="376"/>
      <c r="N23" s="345" t="e">
        <f>#REF!</f>
        <v>#REF!</v>
      </c>
      <c r="O23" s="345"/>
      <c r="P23" s="376"/>
      <c r="Q23" s="376"/>
      <c r="R23" s="345">
        <f>+'5 GSZNR fel'!N137</f>
        <v>102436</v>
      </c>
      <c r="S23" s="376">
        <v>21</v>
      </c>
      <c r="T23" s="376"/>
      <c r="U23" s="376"/>
      <c r="V23" s="345">
        <f>+'5 GSZNR fel'!$Q$137</f>
        <v>115624</v>
      </c>
      <c r="W23" s="376">
        <v>21</v>
      </c>
      <c r="X23" s="376"/>
      <c r="Y23" s="376"/>
      <c r="Z23" s="345">
        <f>+'5 GSZNR fel'!T137</f>
        <v>115624</v>
      </c>
    </row>
    <row r="24" spans="1:26" s="47" customFormat="1" x14ac:dyDescent="0.25">
      <c r="A24" s="435" t="s">
        <v>1059</v>
      </c>
      <c r="B24" s="341" t="s">
        <v>557</v>
      </c>
      <c r="C24" s="376"/>
      <c r="D24" s="376"/>
      <c r="E24" s="376"/>
      <c r="F24" s="345">
        <f>+'5 GSZNR fel'!E142</f>
        <v>55677.8</v>
      </c>
      <c r="G24" s="376"/>
      <c r="H24" s="376"/>
      <c r="I24" s="376"/>
      <c r="J24" s="345">
        <f>+'5 GSZNR fel'!H142</f>
        <v>55678</v>
      </c>
      <c r="K24" s="376"/>
      <c r="L24" s="376"/>
      <c r="M24" s="376"/>
      <c r="N24" s="345" t="e">
        <f>#REF!</f>
        <v>#REF!</v>
      </c>
      <c r="O24" s="376"/>
      <c r="P24" s="376"/>
      <c r="Q24" s="376"/>
      <c r="R24" s="345">
        <f>+'5 GSZNR fel'!N142</f>
        <v>47577</v>
      </c>
      <c r="S24" s="376"/>
      <c r="T24" s="376"/>
      <c r="U24" s="376"/>
      <c r="V24" s="345">
        <f>+'5 GSZNR fel'!Q142</f>
        <v>57550</v>
      </c>
      <c r="W24" s="376"/>
      <c r="X24" s="376"/>
      <c r="Y24" s="376"/>
      <c r="Z24" s="345">
        <f>+'5 GSZNR fel'!T142</f>
        <v>57550</v>
      </c>
    </row>
    <row r="25" spans="1:26" s="47" customFormat="1" x14ac:dyDescent="0.25">
      <c r="A25" s="435" t="s">
        <v>1061</v>
      </c>
      <c r="B25" s="341" t="s">
        <v>558</v>
      </c>
      <c r="C25" s="376"/>
      <c r="D25" s="376"/>
      <c r="E25" s="376"/>
      <c r="F25" s="345">
        <f>+'5 GSZNR fel'!E145+'2C Önk bev kiad fel'!E66</f>
        <v>66145.5</v>
      </c>
      <c r="G25" s="376"/>
      <c r="H25" s="376"/>
      <c r="I25" s="376"/>
      <c r="J25" s="345">
        <f>+'5 GSZNR fel'!H145+'2C Önk bev kiad fel'!H66</f>
        <v>113268</v>
      </c>
      <c r="K25" s="376"/>
      <c r="L25" s="376"/>
      <c r="M25" s="376"/>
      <c r="N25" s="345" t="e">
        <f>#REF!</f>
        <v>#REF!</v>
      </c>
      <c r="O25" s="376"/>
      <c r="P25" s="376"/>
      <c r="Q25" s="376"/>
      <c r="R25" s="345">
        <f>+'5 GSZNR fel'!N145+'2C Önk bev kiad fel'!N66</f>
        <v>120202</v>
      </c>
      <c r="S25" s="376"/>
      <c r="T25" s="376"/>
      <c r="U25" s="376"/>
      <c r="V25" s="345">
        <f>+'5 GSZNR fel'!Q145+'2C Önk bev kiad fel'!Q66</f>
        <v>71000</v>
      </c>
      <c r="W25" s="376"/>
      <c r="X25" s="376"/>
      <c r="Y25" s="376"/>
      <c r="Z25" s="345">
        <f>+'5 GSZNR fel'!T145+'2C Önk bev kiad fel'!T66</f>
        <v>76139</v>
      </c>
    </row>
    <row r="26" spans="1:26" s="47" customFormat="1" x14ac:dyDescent="0.25">
      <c r="A26" s="435" t="s">
        <v>1062</v>
      </c>
      <c r="B26" s="341" t="s">
        <v>1060</v>
      </c>
      <c r="C26" s="376"/>
      <c r="D26" s="376"/>
      <c r="E26" s="376"/>
      <c r="F26" s="345">
        <f>+'5 GSZNR fel'!E148</f>
        <v>7561.8</v>
      </c>
      <c r="G26" s="376"/>
      <c r="H26" s="376"/>
      <c r="I26" s="376"/>
      <c r="J26" s="345">
        <f>+'5 GSZNR fel'!H148</f>
        <v>8174</v>
      </c>
      <c r="K26" s="376"/>
      <c r="L26" s="376"/>
      <c r="M26" s="376"/>
      <c r="N26" s="345" t="e">
        <f>#REF!</f>
        <v>#REF!</v>
      </c>
      <c r="O26" s="376"/>
      <c r="P26" s="376"/>
      <c r="Q26" s="376"/>
      <c r="R26" s="345">
        <f>+'5 GSZNR fel'!N148</f>
        <v>7641</v>
      </c>
      <c r="S26" s="376"/>
      <c r="T26" s="376"/>
      <c r="U26" s="376"/>
      <c r="V26" s="345">
        <f>+'5 GSZNR fel'!Q148</f>
        <v>14500</v>
      </c>
      <c r="W26" s="376"/>
      <c r="X26" s="376"/>
      <c r="Y26" s="376"/>
      <c r="Z26" s="345">
        <f>+'5 GSZNR fel'!T148</f>
        <v>14500</v>
      </c>
    </row>
    <row r="27" spans="1:26" s="47" customFormat="1" x14ac:dyDescent="0.25">
      <c r="A27" s="435" t="s">
        <v>1063</v>
      </c>
      <c r="B27" s="341" t="s">
        <v>561</v>
      </c>
      <c r="C27" s="376"/>
      <c r="D27" s="376"/>
      <c r="E27" s="376"/>
      <c r="F27" s="345">
        <f>+'5 GSZNR fel'!E151</f>
        <v>16927</v>
      </c>
      <c r="G27" s="376"/>
      <c r="H27" s="376"/>
      <c r="I27" s="376"/>
      <c r="J27" s="345">
        <f>+'5 GSZNR fel'!H151</f>
        <v>16927</v>
      </c>
      <c r="K27" s="345" t="e">
        <f>#REF!</f>
        <v>#REF!</v>
      </c>
      <c r="L27" s="376"/>
      <c r="M27" s="376"/>
      <c r="N27" s="345" t="e">
        <f>#REF!</f>
        <v>#REF!</v>
      </c>
      <c r="O27" s="345"/>
      <c r="P27" s="376"/>
      <c r="Q27" s="376"/>
      <c r="R27" s="345">
        <f>+'5 GSZNR fel'!N151</f>
        <v>14908</v>
      </c>
      <c r="S27" s="376">
        <v>2.5</v>
      </c>
      <c r="T27" s="376"/>
      <c r="U27" s="376"/>
      <c r="V27" s="345">
        <f>+'5 GSZNR fel'!Q151</f>
        <v>13770</v>
      </c>
      <c r="W27" s="376">
        <v>2.5</v>
      </c>
      <c r="X27" s="376"/>
      <c r="Y27" s="376"/>
      <c r="Z27" s="345">
        <f>+'5 GSZNR fel'!T151</f>
        <v>13770</v>
      </c>
    </row>
    <row r="28" spans="1:26" s="47" customFormat="1" x14ac:dyDescent="0.25">
      <c r="A28" s="435" t="s">
        <v>1064</v>
      </c>
      <c r="B28" s="341" t="s">
        <v>563</v>
      </c>
      <c r="C28" s="376"/>
      <c r="D28" s="376"/>
      <c r="E28" s="376"/>
      <c r="F28" s="345">
        <f>+'5 GSZNR fel'!E156</f>
        <v>15205.3</v>
      </c>
      <c r="G28" s="376"/>
      <c r="H28" s="376"/>
      <c r="I28" s="376"/>
      <c r="J28" s="345">
        <f>+'5 GSZNR fel'!H156</f>
        <v>15205</v>
      </c>
      <c r="K28" s="345" t="e">
        <f>#REF!</f>
        <v>#REF!</v>
      </c>
      <c r="L28" s="376"/>
      <c r="M28" s="376"/>
      <c r="N28" s="345" t="e">
        <f>#REF!</f>
        <v>#REF!</v>
      </c>
      <c r="O28" s="345"/>
      <c r="P28" s="376"/>
      <c r="Q28" s="376"/>
      <c r="R28" s="345">
        <f>+'5 GSZNR fel'!N156</f>
        <v>14119</v>
      </c>
      <c r="S28" s="376">
        <v>2</v>
      </c>
      <c r="T28" s="376"/>
      <c r="U28" s="376"/>
      <c r="V28" s="345">
        <f>+'5 GSZNR fel'!Q156</f>
        <v>16316</v>
      </c>
      <c r="W28" s="376">
        <v>2</v>
      </c>
      <c r="X28" s="376"/>
      <c r="Y28" s="376"/>
      <c r="Z28" s="345">
        <f>+'5 GSZNR fel'!T156</f>
        <v>16316</v>
      </c>
    </row>
    <row r="29" spans="1:26" s="47" customFormat="1" x14ac:dyDescent="0.25">
      <c r="A29" s="435" t="s">
        <v>1065</v>
      </c>
      <c r="B29" s="341" t="s">
        <v>575</v>
      </c>
      <c r="C29" s="376"/>
      <c r="D29" s="376"/>
      <c r="E29" s="376"/>
      <c r="F29" s="345">
        <f>+'5 GSZNR fel'!E176+'5 GSZNR fel'!E181</f>
        <v>300666</v>
      </c>
      <c r="G29" s="376"/>
      <c r="H29" s="376"/>
      <c r="I29" s="376"/>
      <c r="J29" s="345">
        <f>+'5 GSZNR fel'!H176+'5 GSZNR fel'!H181</f>
        <v>290666</v>
      </c>
      <c r="K29" s="376"/>
      <c r="L29" s="376"/>
      <c r="M29" s="376"/>
      <c r="N29" s="345" t="e">
        <f>#REF!</f>
        <v>#REF!</v>
      </c>
      <c r="O29" s="376"/>
      <c r="P29" s="376"/>
      <c r="Q29" s="376"/>
      <c r="R29" s="345">
        <f>+'5 GSZNR fel'!N176+'5 GSZNR fel'!N181</f>
        <v>274697</v>
      </c>
      <c r="S29" s="376">
        <v>19</v>
      </c>
      <c r="T29" s="376"/>
      <c r="U29" s="376"/>
      <c r="V29" s="345">
        <f>+'5 GSZNR fel'!$Q$176+'5 GSZNR fel'!$Q$181</f>
        <v>283364</v>
      </c>
      <c r="W29" s="376">
        <v>19</v>
      </c>
      <c r="X29" s="376"/>
      <c r="Y29" s="376"/>
      <c r="Z29" s="345">
        <f>+'5 GSZNR fel'!T176+'5 GSZNR fel'!T181</f>
        <v>283364</v>
      </c>
    </row>
    <row r="30" spans="1:26" s="47" customFormat="1" x14ac:dyDescent="0.25">
      <c r="A30" s="435" t="s">
        <v>1066</v>
      </c>
      <c r="B30" s="341" t="s">
        <v>349</v>
      </c>
      <c r="C30" s="376">
        <v>100.5</v>
      </c>
      <c r="D30" s="376"/>
      <c r="E30" s="376"/>
      <c r="F30" s="345">
        <f>'5 GSZNR fel'!E8+'5 GSZNR fel'!E22+'5 GSZNR fel'!E36</f>
        <v>507759</v>
      </c>
      <c r="G30" s="376">
        <v>100.5</v>
      </c>
      <c r="H30" s="376"/>
      <c r="I30" s="376"/>
      <c r="J30" s="345">
        <f>'5 GSZNR fel'!H8+'5 GSZNR fel'!H22+'5 GSZNR fel'!H36</f>
        <v>512777</v>
      </c>
      <c r="K30" s="376">
        <v>100.5</v>
      </c>
      <c r="L30" s="376"/>
      <c r="M30" s="376"/>
      <c r="N30" s="345">
        <f>'5 GSZNR fel'!K8+'5 GSZNR fel'!K22+'5 GSZNR fel'!K36</f>
        <v>512777</v>
      </c>
      <c r="O30" s="376">
        <v>100.5</v>
      </c>
      <c r="P30" s="376"/>
      <c r="Q30" s="376"/>
      <c r="R30" s="345">
        <f>'5 GSZNR fel'!N8+'5 GSZNR fel'!N22+'5 GSZNR fel'!N36</f>
        <v>478134</v>
      </c>
      <c r="S30" s="376">
        <v>101</v>
      </c>
      <c r="T30" s="376"/>
      <c r="U30" s="376"/>
      <c r="V30" s="345">
        <f>'5 GSZNR fel'!Q8+'5 GSZNR fel'!Q22+'5 GSZNR fel'!Q36</f>
        <v>524530</v>
      </c>
      <c r="W30" s="376">
        <v>101</v>
      </c>
      <c r="X30" s="376"/>
      <c r="Y30" s="376"/>
      <c r="Z30" s="345">
        <f>'5 GSZNR fel'!T8+'5 GSZNR fel'!T22+'5 GSZNR fel'!T36</f>
        <v>524286</v>
      </c>
    </row>
    <row r="31" spans="1:26" s="47" customFormat="1" x14ac:dyDescent="0.25">
      <c r="A31" s="435" t="s">
        <v>1067</v>
      </c>
      <c r="B31" s="341" t="s">
        <v>352</v>
      </c>
      <c r="C31" s="376"/>
      <c r="D31" s="376"/>
      <c r="E31" s="376"/>
      <c r="F31" s="345">
        <f>'5 GSZNR fel'!E14+'5 GSZNR fel'!E28+'5 GSZNR fel'!E42</f>
        <v>79705</v>
      </c>
      <c r="G31" s="376"/>
      <c r="H31" s="376"/>
      <c r="I31" s="376"/>
      <c r="J31" s="345">
        <f>'5 GSZNR fel'!H14+'5 GSZNR fel'!H28+'5 GSZNR fel'!H42</f>
        <v>79480</v>
      </c>
      <c r="K31" s="376"/>
      <c r="L31" s="376"/>
      <c r="M31" s="376"/>
      <c r="N31" s="345">
        <f>'5 GSZNR fel'!K14+'5 GSZNR fel'!K28+'5 GSZNR fel'!K42</f>
        <v>79480</v>
      </c>
      <c r="O31" s="376"/>
      <c r="P31" s="376"/>
      <c r="Q31" s="376"/>
      <c r="R31" s="345">
        <f>'5 GSZNR fel'!N14+'5 GSZNR fel'!N28+'5 GSZNR fel'!N42</f>
        <v>79746</v>
      </c>
      <c r="S31" s="376"/>
      <c r="T31" s="376"/>
      <c r="U31" s="376"/>
      <c r="V31" s="345">
        <f>'5 GSZNR fel'!Q14+'5 GSZNR fel'!Q28+'5 GSZNR fel'!Q42</f>
        <v>81626</v>
      </c>
      <c r="W31" s="376"/>
      <c r="X31" s="376"/>
      <c r="Y31" s="376"/>
      <c r="Z31" s="345">
        <f>'5 GSZNR fel'!T14+'5 GSZNR fel'!T28+'5 GSZNR fel'!T42</f>
        <v>81626</v>
      </c>
    </row>
    <row r="32" spans="1:26" s="47" customFormat="1" x14ac:dyDescent="0.25">
      <c r="A32" s="435" t="s">
        <v>1068</v>
      </c>
      <c r="B32" s="341" t="s">
        <v>357</v>
      </c>
      <c r="C32" s="376">
        <v>15</v>
      </c>
      <c r="D32" s="376"/>
      <c r="E32" s="376"/>
      <c r="F32" s="345">
        <f>'5 GSZNR fel'!E50</f>
        <v>29302</v>
      </c>
      <c r="G32" s="376">
        <v>15</v>
      </c>
      <c r="H32" s="376"/>
      <c r="I32" s="376"/>
      <c r="J32" s="345">
        <f>'5 GSZNR fel'!H50</f>
        <v>41687</v>
      </c>
      <c r="K32" s="376">
        <v>15</v>
      </c>
      <c r="L32" s="376"/>
      <c r="M32" s="376"/>
      <c r="N32" s="345">
        <f>'5 GSZNR fel'!K50</f>
        <v>41687</v>
      </c>
      <c r="O32" s="376">
        <v>15</v>
      </c>
      <c r="P32" s="376"/>
      <c r="Q32" s="376"/>
      <c r="R32" s="345">
        <f>'5 GSZNR fel'!N50</f>
        <v>32838</v>
      </c>
      <c r="S32" s="376">
        <v>17</v>
      </c>
      <c r="T32" s="376"/>
      <c r="U32" s="376"/>
      <c r="V32" s="345">
        <f>'5 GSZNR fel'!Q50</f>
        <v>51689.65</v>
      </c>
      <c r="W32" s="376">
        <v>17</v>
      </c>
      <c r="X32" s="376"/>
      <c r="Y32" s="376"/>
      <c r="Z32" s="345">
        <f>'5 GSZNR fel'!T50</f>
        <v>51689.65</v>
      </c>
    </row>
    <row r="33" spans="1:26" s="47" customFormat="1" x14ac:dyDescent="0.25">
      <c r="A33" s="435" t="s">
        <v>1070</v>
      </c>
      <c r="B33" s="341" t="s">
        <v>1069</v>
      </c>
      <c r="C33" s="376"/>
      <c r="D33" s="376"/>
      <c r="E33" s="376"/>
      <c r="F33" s="345">
        <f>'5 GSZNR fel'!E57</f>
        <v>144401</v>
      </c>
      <c r="G33" s="376"/>
      <c r="H33" s="376"/>
      <c r="I33" s="376"/>
      <c r="J33" s="345">
        <f>'5 GSZNR fel'!H57</f>
        <v>144635</v>
      </c>
      <c r="K33" s="376"/>
      <c r="L33" s="376"/>
      <c r="M33" s="376"/>
      <c r="N33" s="345">
        <f>'5 GSZNR fel'!K57</f>
        <v>144635</v>
      </c>
      <c r="O33" s="376"/>
      <c r="P33" s="376"/>
      <c r="Q33" s="376"/>
      <c r="R33" s="345">
        <f>'5 GSZNR fel'!N57</f>
        <v>159740</v>
      </c>
      <c r="S33" s="376"/>
      <c r="T33" s="376"/>
      <c r="U33" s="376"/>
      <c r="V33" s="345">
        <f>'5 GSZNR fel'!Q57</f>
        <v>182092</v>
      </c>
      <c r="W33" s="376"/>
      <c r="X33" s="376"/>
      <c r="Y33" s="376"/>
      <c r="Z33" s="345">
        <f>'5 GSZNR fel'!T57</f>
        <v>183295</v>
      </c>
    </row>
    <row r="34" spans="1:26" s="47" customFormat="1" x14ac:dyDescent="0.25">
      <c r="A34" s="435" t="s">
        <v>1071</v>
      </c>
      <c r="B34" s="341" t="s">
        <v>360</v>
      </c>
      <c r="C34" s="376">
        <v>4</v>
      </c>
      <c r="D34" s="376"/>
      <c r="E34" s="376"/>
      <c r="F34" s="345">
        <f>'5 GSZNR fel'!E75</f>
        <v>24007</v>
      </c>
      <c r="G34" s="376">
        <v>4</v>
      </c>
      <c r="H34" s="376"/>
      <c r="I34" s="376"/>
      <c r="J34" s="345">
        <f>'5 GSZNR fel'!H75</f>
        <v>24548</v>
      </c>
      <c r="K34" s="376">
        <v>4</v>
      </c>
      <c r="L34" s="376"/>
      <c r="M34" s="376"/>
      <c r="N34" s="345">
        <f>'5 GSZNR fel'!K75</f>
        <v>24548</v>
      </c>
      <c r="O34" s="376">
        <v>4</v>
      </c>
      <c r="P34" s="376"/>
      <c r="Q34" s="376"/>
      <c r="R34" s="345">
        <f>'5 GSZNR fel'!N75</f>
        <v>22687</v>
      </c>
      <c r="S34" s="376">
        <v>4</v>
      </c>
      <c r="T34" s="376"/>
      <c r="U34" s="376"/>
      <c r="V34" s="345">
        <f>'5 GSZNR fel'!Q75</f>
        <v>27883</v>
      </c>
      <c r="W34" s="376">
        <v>4</v>
      </c>
      <c r="X34" s="376"/>
      <c r="Y34" s="376"/>
      <c r="Z34" s="345">
        <f>'5 GSZNR fel'!T75</f>
        <v>28996</v>
      </c>
    </row>
    <row r="35" spans="1:26" s="47" customFormat="1" ht="28.55" x14ac:dyDescent="0.25">
      <c r="A35" s="435" t="s">
        <v>1074</v>
      </c>
      <c r="B35" s="545" t="s">
        <v>1458</v>
      </c>
      <c r="C35" s="376"/>
      <c r="D35" s="376"/>
      <c r="E35" s="376"/>
      <c r="F35" s="345">
        <f>'5 GSZNR fel'!E81</f>
        <v>2927</v>
      </c>
      <c r="G35" s="376"/>
      <c r="H35" s="376"/>
      <c r="I35" s="376"/>
      <c r="J35" s="345">
        <f>'5 GSZNR fel'!H81</f>
        <v>2927</v>
      </c>
      <c r="K35" s="376"/>
      <c r="L35" s="376"/>
      <c r="M35" s="376"/>
      <c r="N35" s="345">
        <f>'5 GSZNR fel'!K81</f>
        <v>2927</v>
      </c>
      <c r="O35" s="376"/>
      <c r="P35" s="376"/>
      <c r="Q35" s="376"/>
      <c r="R35" s="345">
        <f>'5 GSZNR fel'!N81</f>
        <v>2685</v>
      </c>
      <c r="S35" s="376"/>
      <c r="T35" s="376"/>
      <c r="U35" s="376"/>
      <c r="V35" s="345">
        <f>'5 GSZNR fel'!Q81</f>
        <v>952.5</v>
      </c>
      <c r="W35" s="376"/>
      <c r="X35" s="376"/>
      <c r="Y35" s="376"/>
      <c r="Z35" s="345">
        <f>'5 GSZNR fel'!T81</f>
        <v>953</v>
      </c>
    </row>
    <row r="36" spans="1:26" s="47" customFormat="1" x14ac:dyDescent="0.25">
      <c r="A36" s="435" t="s">
        <v>1075</v>
      </c>
      <c r="B36" s="341" t="s">
        <v>363</v>
      </c>
      <c r="C36" s="376">
        <v>11</v>
      </c>
      <c r="D36" s="376"/>
      <c r="E36" s="376"/>
      <c r="F36" s="345">
        <f>'5 GSZNR fel'!E94</f>
        <v>83247</v>
      </c>
      <c r="G36" s="376">
        <v>11</v>
      </c>
      <c r="H36" s="376"/>
      <c r="I36" s="376"/>
      <c r="J36" s="345">
        <f>'5 GSZNR fel'!H94</f>
        <v>87653</v>
      </c>
      <c r="K36" s="376">
        <v>11</v>
      </c>
      <c r="L36" s="376"/>
      <c r="M36" s="376"/>
      <c r="N36" s="345">
        <f>'5 GSZNR fel'!K94</f>
        <v>87653</v>
      </c>
      <c r="O36" s="376">
        <v>11</v>
      </c>
      <c r="P36" s="376"/>
      <c r="Q36" s="376"/>
      <c r="R36" s="345">
        <f>'5 GSZNR fel'!N94</f>
        <v>82682</v>
      </c>
      <c r="S36" s="376">
        <v>11</v>
      </c>
      <c r="T36" s="376"/>
      <c r="U36" s="376"/>
      <c r="V36" s="345">
        <f>'5 GSZNR fel'!Q94</f>
        <v>94016</v>
      </c>
      <c r="W36" s="376">
        <v>11</v>
      </c>
      <c r="X36" s="376"/>
      <c r="Y36" s="376"/>
      <c r="Z36" s="345">
        <f>'5 GSZNR fel'!T94</f>
        <v>96110</v>
      </c>
    </row>
    <row r="37" spans="1:26" s="47" customFormat="1" x14ac:dyDescent="0.25">
      <c r="A37" s="435" t="s">
        <v>1076</v>
      </c>
      <c r="B37" s="341" t="s">
        <v>364</v>
      </c>
      <c r="C37" s="376">
        <v>6</v>
      </c>
      <c r="D37" s="376"/>
      <c r="E37" s="376"/>
      <c r="F37" s="345">
        <f>'5 GSZNR fel'!E100</f>
        <v>28276</v>
      </c>
      <c r="G37" s="376">
        <v>6</v>
      </c>
      <c r="H37" s="376"/>
      <c r="I37" s="376"/>
      <c r="J37" s="345">
        <f>'5 GSZNR fel'!H100</f>
        <v>27316</v>
      </c>
      <c r="K37" s="376">
        <v>6</v>
      </c>
      <c r="L37" s="376"/>
      <c r="M37" s="376"/>
      <c r="N37" s="345">
        <f>'5 GSZNR fel'!K100</f>
        <v>27316</v>
      </c>
      <c r="O37" s="376">
        <v>6</v>
      </c>
      <c r="P37" s="376"/>
      <c r="Q37" s="376"/>
      <c r="R37" s="345">
        <f>'5 GSZNR fel'!N100</f>
        <v>25172</v>
      </c>
      <c r="S37" s="376">
        <v>6</v>
      </c>
      <c r="T37" s="376"/>
      <c r="U37" s="376"/>
      <c r="V37" s="345">
        <f>'5 GSZNR fel'!Q100</f>
        <v>28601</v>
      </c>
      <c r="W37" s="376">
        <v>6</v>
      </c>
      <c r="X37" s="376"/>
      <c r="Y37" s="376"/>
      <c r="Z37" s="345">
        <f>'5 GSZNR fel'!T100</f>
        <v>28601</v>
      </c>
    </row>
    <row r="38" spans="1:26" s="47" customFormat="1" x14ac:dyDescent="0.25">
      <c r="A38" s="435" t="s">
        <v>1077</v>
      </c>
      <c r="B38" s="341" t="s">
        <v>365</v>
      </c>
      <c r="C38" s="376"/>
      <c r="D38" s="376"/>
      <c r="E38" s="376"/>
      <c r="F38" s="345">
        <f>'5 GSZNR fel'!E105</f>
        <v>15024</v>
      </c>
      <c r="G38" s="376"/>
      <c r="H38" s="376"/>
      <c r="I38" s="376"/>
      <c r="J38" s="345">
        <f>'5 GSZNR fel'!H105</f>
        <v>15258</v>
      </c>
      <c r="K38" s="376"/>
      <c r="L38" s="376"/>
      <c r="M38" s="376"/>
      <c r="N38" s="345">
        <f>'5 GSZNR fel'!K105</f>
        <v>15258</v>
      </c>
      <c r="O38" s="376"/>
      <c r="P38" s="376"/>
      <c r="Q38" s="376"/>
      <c r="R38" s="345">
        <f>'5 GSZNR fel'!N105</f>
        <v>18074</v>
      </c>
      <c r="S38" s="376"/>
      <c r="T38" s="376"/>
      <c r="U38" s="376"/>
      <c r="V38" s="345">
        <f>'5 GSZNR fel'!Q105</f>
        <v>17289.68</v>
      </c>
      <c r="W38" s="376"/>
      <c r="X38" s="376"/>
      <c r="Y38" s="376"/>
      <c r="Z38" s="345">
        <f>'5 GSZNR fel'!T105</f>
        <v>17289.68</v>
      </c>
    </row>
    <row r="39" spans="1:26" s="47" customFormat="1" x14ac:dyDescent="0.25">
      <c r="A39" s="435" t="s">
        <v>1078</v>
      </c>
      <c r="B39" s="341" t="s">
        <v>366</v>
      </c>
      <c r="C39" s="376">
        <v>24</v>
      </c>
      <c r="D39" s="376"/>
      <c r="E39" s="376"/>
      <c r="F39" s="345">
        <f>'5 GSZNR fel'!E118</f>
        <v>116396</v>
      </c>
      <c r="G39" s="376">
        <v>24</v>
      </c>
      <c r="H39" s="376"/>
      <c r="I39" s="376"/>
      <c r="J39" s="345">
        <f>'5 GSZNR fel'!H118</f>
        <v>117696</v>
      </c>
      <c r="K39" s="376">
        <v>24</v>
      </c>
      <c r="L39" s="376"/>
      <c r="M39" s="376"/>
      <c r="N39" s="345">
        <f>'5 GSZNR fel'!K118</f>
        <v>117696</v>
      </c>
      <c r="O39" s="376">
        <v>24</v>
      </c>
      <c r="P39" s="376"/>
      <c r="Q39" s="376"/>
      <c r="R39" s="345">
        <f>'5 GSZNR fel'!N118</f>
        <v>113978</v>
      </c>
      <c r="S39" s="376">
        <v>24</v>
      </c>
      <c r="T39" s="376"/>
      <c r="U39" s="376"/>
      <c r="V39" s="345">
        <f>'5 GSZNR fel'!Q118</f>
        <v>126365</v>
      </c>
      <c r="W39" s="376">
        <v>24</v>
      </c>
      <c r="X39" s="376"/>
      <c r="Y39" s="376"/>
      <c r="Z39" s="345">
        <f>'5 GSZNR fel'!T118</f>
        <v>127797</v>
      </c>
    </row>
    <row r="40" spans="1:26" s="47" customFormat="1" x14ac:dyDescent="0.25">
      <c r="A40" s="435" t="s">
        <v>1534</v>
      </c>
      <c r="B40" s="341" t="s">
        <v>367</v>
      </c>
      <c r="C40" s="376"/>
      <c r="D40" s="376"/>
      <c r="E40" s="376"/>
      <c r="F40" s="345">
        <f>'5 GSZNR fel'!E124</f>
        <v>8228</v>
      </c>
      <c r="G40" s="376"/>
      <c r="H40" s="376"/>
      <c r="I40" s="376"/>
      <c r="J40" s="345">
        <f>'5 GSZNR fel'!H124</f>
        <v>8228</v>
      </c>
      <c r="K40" s="376"/>
      <c r="L40" s="376"/>
      <c r="M40" s="376"/>
      <c r="N40" s="345">
        <f>'5 GSZNR fel'!K124</f>
        <v>8228</v>
      </c>
      <c r="O40" s="376"/>
      <c r="P40" s="376"/>
      <c r="Q40" s="376"/>
      <c r="R40" s="345">
        <f>'5 GSZNR fel'!N124</f>
        <v>7569</v>
      </c>
      <c r="S40" s="376"/>
      <c r="T40" s="376"/>
      <c r="U40" s="376"/>
      <c r="V40" s="345">
        <f>'5 GSZNR fel'!Q124</f>
        <v>8487</v>
      </c>
      <c r="W40" s="376"/>
      <c r="X40" s="376"/>
      <c r="Y40" s="376"/>
      <c r="Z40" s="345">
        <f>'5 GSZNR fel'!T124</f>
        <v>8487</v>
      </c>
    </row>
    <row r="41" spans="1:26" x14ac:dyDescent="0.25">
      <c r="A41" s="364" t="s">
        <v>318</v>
      </c>
      <c r="B41" s="335" t="s">
        <v>353</v>
      </c>
      <c r="C41" s="375">
        <f>SUM(C42:C80)</f>
        <v>6</v>
      </c>
      <c r="D41" s="375"/>
      <c r="E41" s="375"/>
      <c r="F41" s="336">
        <f>SUM(F42:F85)</f>
        <v>1334244.5</v>
      </c>
      <c r="G41" s="375">
        <f>SUM(G42:G80)</f>
        <v>6</v>
      </c>
      <c r="H41" s="375"/>
      <c r="I41" s="375"/>
      <c r="J41" s="336">
        <f>SUM(J42:J85)</f>
        <v>1459485.5</v>
      </c>
      <c r="K41" s="375">
        <f>SUM(K42:K80)</f>
        <v>6</v>
      </c>
      <c r="L41" s="375"/>
      <c r="M41" s="375"/>
      <c r="N41" s="336" t="e">
        <f>SUM(N42:N82)</f>
        <v>#REF!</v>
      </c>
      <c r="O41" s="375">
        <f>SUM(O42:O80)</f>
        <v>6</v>
      </c>
      <c r="P41" s="375"/>
      <c r="Q41" s="375"/>
      <c r="R41" s="336">
        <f>SUM(R42:R80)</f>
        <v>943273</v>
      </c>
      <c r="S41" s="375">
        <f>SUM(S42:S80)</f>
        <v>6.5</v>
      </c>
      <c r="T41" s="375"/>
      <c r="U41" s="375"/>
      <c r="V41" s="336">
        <f>SUM(V42:V85)</f>
        <v>962879</v>
      </c>
      <c r="W41" s="375">
        <f>SUM(W42:W80)</f>
        <v>6.5</v>
      </c>
      <c r="X41" s="375"/>
      <c r="Y41" s="375"/>
      <c r="Z41" s="336">
        <f>SUM(Z42:Z85)-1</f>
        <v>1079409</v>
      </c>
    </row>
    <row r="42" spans="1:26" s="47" customFormat="1" x14ac:dyDescent="0.25">
      <c r="A42" s="435" t="s">
        <v>1079</v>
      </c>
      <c r="B42" s="341" t="s">
        <v>707</v>
      </c>
      <c r="C42" s="376"/>
      <c r="D42" s="376"/>
      <c r="E42" s="376"/>
      <c r="F42" s="345">
        <f>'2C Önk bev kiad fel'!E71</f>
        <v>6010</v>
      </c>
      <c r="G42" s="376"/>
      <c r="H42" s="376"/>
      <c r="I42" s="376"/>
      <c r="J42" s="345">
        <f>'2C Önk bev kiad fel'!H71</f>
        <v>8541</v>
      </c>
      <c r="K42" s="376"/>
      <c r="L42" s="376"/>
      <c r="M42" s="376"/>
      <c r="N42" s="345">
        <f>'2C Önk bev kiad fel'!K71</f>
        <v>8541</v>
      </c>
      <c r="O42" s="376"/>
      <c r="P42" s="376"/>
      <c r="Q42" s="376"/>
      <c r="R42" s="345">
        <f>'2C Önk bev kiad fel'!N71</f>
        <v>6054</v>
      </c>
      <c r="S42" s="376"/>
      <c r="T42" s="376"/>
      <c r="U42" s="376"/>
      <c r="V42" s="345">
        <f>'2C Önk bev kiad fel'!Q71</f>
        <v>6786</v>
      </c>
      <c r="W42" s="376"/>
      <c r="X42" s="376"/>
      <c r="Y42" s="376"/>
      <c r="Z42" s="345">
        <f>'2C Önk bev kiad fel'!T71</f>
        <v>6786</v>
      </c>
    </row>
    <row r="43" spans="1:26" s="47" customFormat="1" x14ac:dyDescent="0.25">
      <c r="A43" s="435" t="s">
        <v>1080</v>
      </c>
      <c r="B43" s="341" t="s">
        <v>708</v>
      </c>
      <c r="C43" s="376"/>
      <c r="D43" s="376"/>
      <c r="E43" s="376"/>
      <c r="F43" s="345">
        <f>'2C Önk bev kiad fel'!E74</f>
        <v>7050</v>
      </c>
      <c r="G43" s="376"/>
      <c r="H43" s="376"/>
      <c r="I43" s="376"/>
      <c r="J43" s="345">
        <f>'2C Önk bev kiad fel'!H74</f>
        <v>7050</v>
      </c>
      <c r="K43" s="376"/>
      <c r="L43" s="376"/>
      <c r="M43" s="376"/>
      <c r="N43" s="345">
        <f>'2C Önk bev kiad fel'!K74</f>
        <v>7050</v>
      </c>
      <c r="O43" s="376"/>
      <c r="P43" s="376"/>
      <c r="Q43" s="376"/>
      <c r="R43" s="345">
        <f>'2C Önk bev kiad fel'!N74</f>
        <v>2081</v>
      </c>
      <c r="S43" s="376"/>
      <c r="T43" s="376"/>
      <c r="U43" s="376"/>
      <c r="V43" s="345">
        <f>'2C Önk bev kiad fel'!Q74</f>
        <v>5000</v>
      </c>
      <c r="W43" s="376"/>
      <c r="X43" s="376"/>
      <c r="Y43" s="376"/>
      <c r="Z43" s="345">
        <f>'2C Önk bev kiad fel'!T74</f>
        <v>5000</v>
      </c>
    </row>
    <row r="44" spans="1:26" s="47" customFormat="1" x14ac:dyDescent="0.25">
      <c r="A44" s="435" t="s">
        <v>1081</v>
      </c>
      <c r="B44" s="342" t="s">
        <v>1084</v>
      </c>
      <c r="C44" s="377"/>
      <c r="D44" s="377"/>
      <c r="E44" s="377"/>
      <c r="F44" s="372">
        <f>'2C Önk bev kiad fel'!E77</f>
        <v>1500</v>
      </c>
      <c r="G44" s="377"/>
      <c r="H44" s="377"/>
      <c r="I44" s="377"/>
      <c r="J44" s="372">
        <f>'2C Önk bev kiad fel'!H77</f>
        <v>1500</v>
      </c>
      <c r="K44" s="377"/>
      <c r="L44" s="377"/>
      <c r="M44" s="377"/>
      <c r="N44" s="372">
        <f>'2C Önk bev kiad fel'!K77</f>
        <v>1500</v>
      </c>
      <c r="O44" s="377"/>
      <c r="P44" s="377"/>
      <c r="Q44" s="377"/>
      <c r="R44" s="372">
        <f>'2C Önk bev kiad fel'!N77</f>
        <v>454</v>
      </c>
      <c r="S44" s="377"/>
      <c r="T44" s="377"/>
      <c r="U44" s="377"/>
      <c r="V44" s="372">
        <f>'2C Önk bev kiad fel'!Q77</f>
        <v>1500</v>
      </c>
      <c r="W44" s="377"/>
      <c r="X44" s="377"/>
      <c r="Y44" s="377"/>
      <c r="Z44" s="372">
        <f>'2C Önk bev kiad fel'!T77</f>
        <v>1500</v>
      </c>
    </row>
    <row r="45" spans="1:26" s="47" customFormat="1" x14ac:dyDescent="0.25">
      <c r="A45" s="435" t="s">
        <v>1082</v>
      </c>
      <c r="B45" s="341" t="s">
        <v>1085</v>
      </c>
      <c r="C45" s="376"/>
      <c r="D45" s="376"/>
      <c r="E45" s="376"/>
      <c r="F45" s="345">
        <f>'2C Önk bev kiad fel'!E81</f>
        <v>5000</v>
      </c>
      <c r="G45" s="376"/>
      <c r="H45" s="376"/>
      <c r="I45" s="376"/>
      <c r="J45" s="345">
        <f>'2C Önk bev kiad fel'!H81</f>
        <v>5000</v>
      </c>
      <c r="K45" s="376"/>
      <c r="L45" s="376"/>
      <c r="M45" s="376"/>
      <c r="N45" s="345">
        <f>'2C Önk bev kiad fel'!K81</f>
        <v>5000</v>
      </c>
      <c r="O45" s="376"/>
      <c r="P45" s="376"/>
      <c r="Q45" s="376"/>
      <c r="R45" s="345">
        <f>'2C Önk bev kiad fel'!N81</f>
        <v>2940</v>
      </c>
      <c r="S45" s="376"/>
      <c r="T45" s="376"/>
      <c r="U45" s="376"/>
      <c r="V45" s="345">
        <f>'2C Önk bev kiad fel'!Q81</f>
        <v>4000</v>
      </c>
      <c r="W45" s="376"/>
      <c r="X45" s="376"/>
      <c r="Y45" s="376"/>
      <c r="Z45" s="345">
        <f>'2C Önk bev kiad fel'!T81</f>
        <v>4000</v>
      </c>
    </row>
    <row r="46" spans="1:26" s="47" customFormat="1" x14ac:dyDescent="0.25">
      <c r="A46" s="435" t="s">
        <v>1083</v>
      </c>
      <c r="B46" s="341" t="s">
        <v>1088</v>
      </c>
      <c r="C46" s="376"/>
      <c r="D46" s="376"/>
      <c r="E46" s="376"/>
      <c r="F46" s="345">
        <f>'2C Önk bev kiad fel'!E85</f>
        <v>2811</v>
      </c>
      <c r="G46" s="376"/>
      <c r="H46" s="376"/>
      <c r="I46" s="376"/>
      <c r="J46" s="345">
        <f>'2C Önk bev kiad fel'!H85</f>
        <v>2811</v>
      </c>
      <c r="K46" s="376"/>
      <c r="L46" s="376"/>
      <c r="M46" s="376"/>
      <c r="N46" s="345">
        <f>'2C Önk bev kiad fel'!K85</f>
        <v>2811</v>
      </c>
      <c r="O46" s="376"/>
      <c r="P46" s="376"/>
      <c r="Q46" s="376"/>
      <c r="R46" s="345">
        <f>'2C Önk bev kiad fel'!N85</f>
        <v>1099</v>
      </c>
      <c r="S46" s="376"/>
      <c r="T46" s="376"/>
      <c r="U46" s="860"/>
      <c r="V46" s="861">
        <f>'2C Önk bev kiad fel'!Q85</f>
        <v>6308</v>
      </c>
      <c r="W46" s="860"/>
      <c r="X46" s="860"/>
      <c r="Y46" s="860"/>
      <c r="Z46" s="861">
        <f>'2C Önk bev kiad fel'!T85</f>
        <v>6673</v>
      </c>
    </row>
    <row r="47" spans="1:26" s="47" customFormat="1" x14ac:dyDescent="0.25">
      <c r="A47" s="435" t="s">
        <v>1086</v>
      </c>
      <c r="B47" s="341" t="s">
        <v>1090</v>
      </c>
      <c r="C47" s="376"/>
      <c r="D47" s="376"/>
      <c r="E47" s="376"/>
      <c r="F47" s="345">
        <f>'2C Önk bev kiad fel'!E87</f>
        <v>1595</v>
      </c>
      <c r="G47" s="376"/>
      <c r="H47" s="376"/>
      <c r="I47" s="376"/>
      <c r="J47" s="345">
        <f>'2C Önk bev kiad fel'!H87</f>
        <v>1595</v>
      </c>
      <c r="K47" s="376"/>
      <c r="L47" s="376"/>
      <c r="M47" s="376"/>
      <c r="N47" s="345">
        <f>'2C Önk bev kiad fel'!K87</f>
        <v>1595</v>
      </c>
      <c r="O47" s="376"/>
      <c r="P47" s="376"/>
      <c r="Q47" s="376"/>
      <c r="R47" s="345">
        <f>'2C Önk bev kiad fel'!N87</f>
        <v>2339</v>
      </c>
      <c r="S47" s="376"/>
      <c r="T47" s="376"/>
      <c r="U47" s="860"/>
      <c r="V47" s="861">
        <f>'2C Önk bev kiad fel'!Q87</f>
        <v>6350</v>
      </c>
      <c r="W47" s="860"/>
      <c r="X47" s="860"/>
      <c r="Y47" s="860"/>
      <c r="Z47" s="861">
        <f>'2C Önk bev kiad fel'!T87</f>
        <v>6350</v>
      </c>
    </row>
    <row r="48" spans="1:26" s="47" customFormat="1" ht="14.95" x14ac:dyDescent="0.25">
      <c r="A48" s="435" t="s">
        <v>1087</v>
      </c>
      <c r="B48" s="341" t="s">
        <v>1092</v>
      </c>
      <c r="C48" s="376"/>
      <c r="D48" s="376"/>
      <c r="E48" s="376"/>
      <c r="F48" s="345">
        <f>'2C Önk bev kiad fel'!E89</f>
        <v>3500</v>
      </c>
      <c r="G48" s="376"/>
      <c r="H48" s="376"/>
      <c r="I48" s="376"/>
      <c r="J48" s="345">
        <f>'2C Önk bev kiad fel'!H89</f>
        <v>3642</v>
      </c>
      <c r="K48" s="376"/>
      <c r="L48" s="376"/>
      <c r="M48" s="376"/>
      <c r="N48" s="345">
        <f>'2C Önk bev kiad fel'!K89</f>
        <v>3500</v>
      </c>
      <c r="O48" s="376"/>
      <c r="P48" s="376"/>
      <c r="Q48" s="376"/>
      <c r="R48" s="345">
        <f>'2C Önk bev kiad fel'!N89</f>
        <v>3680</v>
      </c>
      <c r="S48" s="376"/>
      <c r="T48" s="376"/>
      <c r="U48" s="860"/>
      <c r="V48" s="861">
        <f>'2C Önk bev kiad fel'!Q89</f>
        <v>4680</v>
      </c>
      <c r="W48" s="860"/>
      <c r="X48" s="860"/>
      <c r="Y48" s="860"/>
      <c r="Z48" s="861">
        <f>'2C Önk bev kiad fel'!T89</f>
        <v>4680</v>
      </c>
    </row>
    <row r="49" spans="1:26" s="170" customFormat="1" x14ac:dyDescent="0.25">
      <c r="A49" s="435" t="s">
        <v>1089</v>
      </c>
      <c r="B49" s="342" t="s">
        <v>713</v>
      </c>
      <c r="C49" s="377"/>
      <c r="D49" s="377"/>
      <c r="E49" s="377"/>
      <c r="F49" s="372">
        <f>'2C Önk bev kiad fel'!E91</f>
        <v>1000</v>
      </c>
      <c r="G49" s="377"/>
      <c r="H49" s="377"/>
      <c r="I49" s="377"/>
      <c r="J49" s="372">
        <f>'2C Önk bev kiad fel'!H91</f>
        <v>1000</v>
      </c>
      <c r="K49" s="377"/>
      <c r="L49" s="377"/>
      <c r="M49" s="377"/>
      <c r="N49" s="372">
        <f>'2C Önk bev kiad fel'!K91</f>
        <v>1000</v>
      </c>
      <c r="O49" s="377"/>
      <c r="P49" s="377"/>
      <c r="Q49" s="377"/>
      <c r="R49" s="372">
        <f>'2C Önk bev kiad fel'!N91</f>
        <v>630</v>
      </c>
      <c r="S49" s="377"/>
      <c r="T49" s="377"/>
      <c r="U49" s="862"/>
      <c r="V49" s="863">
        <f>'2C Önk bev kiad fel'!Q91</f>
        <v>1372</v>
      </c>
      <c r="W49" s="862"/>
      <c r="X49" s="862"/>
      <c r="Y49" s="862"/>
      <c r="Z49" s="863">
        <f>'2C Önk bev kiad fel'!T91</f>
        <v>1372</v>
      </c>
    </row>
    <row r="50" spans="1:26" s="47" customFormat="1" x14ac:dyDescent="0.25">
      <c r="A50" s="435" t="s">
        <v>1091</v>
      </c>
      <c r="B50" s="341" t="s">
        <v>714</v>
      </c>
      <c r="C50" s="376"/>
      <c r="D50" s="376"/>
      <c r="E50" s="376"/>
      <c r="F50" s="345">
        <f>'2C Önk bev kiad fel'!E93</f>
        <v>1750</v>
      </c>
      <c r="G50" s="376"/>
      <c r="H50" s="376"/>
      <c r="I50" s="376"/>
      <c r="J50" s="345">
        <f>'2C Önk bev kiad fel'!H93</f>
        <v>875</v>
      </c>
      <c r="K50" s="376"/>
      <c r="L50" s="376"/>
      <c r="M50" s="376"/>
      <c r="N50" s="345">
        <f>'2C Önk bev kiad fel'!K93</f>
        <v>1750</v>
      </c>
      <c r="O50" s="376"/>
      <c r="P50" s="376"/>
      <c r="Q50" s="376"/>
      <c r="R50" s="345">
        <f>'2C Önk bev kiad fel'!N93</f>
        <v>875</v>
      </c>
      <c r="S50" s="376"/>
      <c r="T50" s="376"/>
      <c r="U50" s="860"/>
      <c r="V50" s="861">
        <f>'2C Önk bev kiad fel'!Q93</f>
        <v>0</v>
      </c>
      <c r="W50" s="860"/>
      <c r="X50" s="860"/>
      <c r="Y50" s="860"/>
      <c r="Z50" s="861">
        <f>'2C Önk bev kiad fel'!T93</f>
        <v>0</v>
      </c>
    </row>
    <row r="51" spans="1:26" s="47" customFormat="1" x14ac:dyDescent="0.25">
      <c r="A51" s="435" t="s">
        <v>1093</v>
      </c>
      <c r="B51" s="341" t="s">
        <v>715</v>
      </c>
      <c r="C51" s="376"/>
      <c r="D51" s="376"/>
      <c r="E51" s="376"/>
      <c r="F51" s="345">
        <f>'2C Önk bev kiad fel'!E95</f>
        <v>1829</v>
      </c>
      <c r="G51" s="376"/>
      <c r="H51" s="376"/>
      <c r="I51" s="376"/>
      <c r="J51" s="345">
        <f>'2C Önk bev kiad fel'!H95</f>
        <v>1829</v>
      </c>
      <c r="K51" s="376"/>
      <c r="L51" s="376"/>
      <c r="M51" s="376"/>
      <c r="N51" s="345">
        <f>'2C Önk bev kiad fel'!K95</f>
        <v>1829</v>
      </c>
      <c r="O51" s="376"/>
      <c r="P51" s="376"/>
      <c r="Q51" s="376"/>
      <c r="R51" s="345">
        <f>'2C Önk bev kiad fel'!N95</f>
        <v>1829</v>
      </c>
      <c r="S51" s="376"/>
      <c r="T51" s="376"/>
      <c r="U51" s="860"/>
      <c r="V51" s="861">
        <f>'2C Önk bev kiad fel'!Q95</f>
        <v>1829</v>
      </c>
      <c r="W51" s="860"/>
      <c r="X51" s="860"/>
      <c r="Y51" s="860"/>
      <c r="Z51" s="861">
        <f>'2C Önk bev kiad fel'!T95</f>
        <v>1829</v>
      </c>
    </row>
    <row r="52" spans="1:26" s="47" customFormat="1" x14ac:dyDescent="0.25">
      <c r="A52" s="435" t="s">
        <v>1094</v>
      </c>
      <c r="B52" s="341" t="s">
        <v>716</v>
      </c>
      <c r="C52" s="376"/>
      <c r="D52" s="376"/>
      <c r="E52" s="376"/>
      <c r="F52" s="345">
        <f>'2C Önk bev kiad fel'!E97</f>
        <v>2421</v>
      </c>
      <c r="G52" s="376"/>
      <c r="H52" s="376"/>
      <c r="I52" s="376"/>
      <c r="J52" s="345">
        <f>'2C Önk bev kiad fel'!H97</f>
        <v>2421</v>
      </c>
      <c r="K52" s="376"/>
      <c r="L52" s="376"/>
      <c r="M52" s="376"/>
      <c r="N52" s="345">
        <f>'2C Önk bev kiad fel'!K97</f>
        <v>2421</v>
      </c>
      <c r="O52" s="376"/>
      <c r="P52" s="376"/>
      <c r="Q52" s="376"/>
      <c r="R52" s="345">
        <f>'2C Önk bev kiad fel'!N97</f>
        <v>2420</v>
      </c>
      <c r="S52" s="376"/>
      <c r="T52" s="376"/>
      <c r="U52" s="376"/>
      <c r="V52" s="345">
        <f>'2C Önk bev kiad fel'!Q97</f>
        <v>2420</v>
      </c>
      <c r="W52" s="376"/>
      <c r="X52" s="376"/>
      <c r="Y52" s="376"/>
      <c r="Z52" s="345">
        <f>'2C Önk bev kiad fel'!T97</f>
        <v>2420</v>
      </c>
    </row>
    <row r="53" spans="1:26" s="47" customFormat="1" x14ac:dyDescent="0.25">
      <c r="A53" s="435" t="s">
        <v>1095</v>
      </c>
      <c r="B53" s="341" t="s">
        <v>717</v>
      </c>
      <c r="C53" s="376"/>
      <c r="D53" s="376"/>
      <c r="E53" s="376"/>
      <c r="F53" s="345">
        <f>'2C Önk bev kiad fel'!E99</f>
        <v>2400</v>
      </c>
      <c r="G53" s="376"/>
      <c r="H53" s="376"/>
      <c r="I53" s="376"/>
      <c r="J53" s="345">
        <f>'2C Önk bev kiad fel'!H99</f>
        <v>2400</v>
      </c>
      <c r="K53" s="376"/>
      <c r="L53" s="376"/>
      <c r="M53" s="376"/>
      <c r="N53" s="345">
        <f>'2C Önk bev kiad fel'!K99</f>
        <v>2400</v>
      </c>
      <c r="O53" s="376"/>
      <c r="P53" s="376"/>
      <c r="Q53" s="376"/>
      <c r="R53" s="345">
        <f>'2C Önk bev kiad fel'!N99</f>
        <v>1008</v>
      </c>
      <c r="S53" s="376"/>
      <c r="T53" s="376"/>
      <c r="U53" s="376"/>
      <c r="V53" s="345">
        <f>'2C Önk bev kiad fel'!Q99</f>
        <v>2400</v>
      </c>
      <c r="W53" s="376"/>
      <c r="X53" s="376"/>
      <c r="Y53" s="376"/>
      <c r="Z53" s="345">
        <f>'2C Önk bev kiad fel'!T99</f>
        <v>2400</v>
      </c>
    </row>
    <row r="54" spans="1:26" s="47" customFormat="1" x14ac:dyDescent="0.25">
      <c r="A54" s="435" t="s">
        <v>1096</v>
      </c>
      <c r="B54" s="341" t="s">
        <v>1099</v>
      </c>
      <c r="C54" s="376"/>
      <c r="D54" s="376"/>
      <c r="E54" s="376"/>
      <c r="F54" s="345">
        <f>'2C Önk bev kiad fel'!E101</f>
        <v>1500</v>
      </c>
      <c r="G54" s="376"/>
      <c r="H54" s="376"/>
      <c r="I54" s="376"/>
      <c r="J54" s="345">
        <f>'2C Önk bev kiad fel'!H101</f>
        <v>1500</v>
      </c>
      <c r="K54" s="376"/>
      <c r="L54" s="376"/>
      <c r="M54" s="376"/>
      <c r="N54" s="345">
        <f>'2C Önk bev kiad fel'!K101</f>
        <v>1500</v>
      </c>
      <c r="O54" s="376"/>
      <c r="P54" s="376"/>
      <c r="Q54" s="376"/>
      <c r="R54" s="345">
        <f>'2C Önk bev kiad fel'!N101</f>
        <v>1178</v>
      </c>
      <c r="S54" s="376"/>
      <c r="T54" s="376"/>
      <c r="U54" s="376"/>
      <c r="V54" s="345">
        <f>'2C Önk bev kiad fel'!Q101</f>
        <v>2540</v>
      </c>
      <c r="W54" s="376"/>
      <c r="X54" s="376"/>
      <c r="Y54" s="376"/>
      <c r="Z54" s="345">
        <f>'2C Önk bev kiad fel'!T101</f>
        <v>2540</v>
      </c>
    </row>
    <row r="55" spans="1:26" s="47" customFormat="1" x14ac:dyDescent="0.25">
      <c r="A55" s="435" t="s">
        <v>1097</v>
      </c>
      <c r="B55" s="341" t="s">
        <v>719</v>
      </c>
      <c r="C55" s="376"/>
      <c r="D55" s="376"/>
      <c r="E55" s="376"/>
      <c r="F55" s="345">
        <f>'2C Önk bev kiad fel'!E105</f>
        <v>37260</v>
      </c>
      <c r="G55" s="376"/>
      <c r="H55" s="376"/>
      <c r="I55" s="376"/>
      <c r="J55" s="345">
        <f>'2C Önk bev kiad fel'!H105</f>
        <v>43185</v>
      </c>
      <c r="K55" s="376"/>
      <c r="L55" s="376"/>
      <c r="M55" s="376"/>
      <c r="N55" s="345">
        <f>'2C Önk bev kiad fel'!K105</f>
        <v>43185</v>
      </c>
      <c r="O55" s="376"/>
      <c r="P55" s="376"/>
      <c r="Q55" s="376"/>
      <c r="R55" s="345">
        <f>'2C Önk bev kiad fel'!N105</f>
        <v>46077</v>
      </c>
      <c r="S55" s="376"/>
      <c r="T55" s="376"/>
      <c r="U55" s="376"/>
      <c r="V55" s="345">
        <f>'2C Önk bev kiad fel'!Q105</f>
        <v>34285</v>
      </c>
      <c r="W55" s="376"/>
      <c r="X55" s="376"/>
      <c r="Y55" s="376"/>
      <c r="Z55" s="345">
        <f>'2C Önk bev kiad fel'!T105</f>
        <v>36537</v>
      </c>
    </row>
    <row r="56" spans="1:26" s="170" customFormat="1" ht="28.55" x14ac:dyDescent="0.25">
      <c r="A56" s="435" t="s">
        <v>1098</v>
      </c>
      <c r="B56" s="342" t="s">
        <v>1385</v>
      </c>
      <c r="C56" s="377"/>
      <c r="D56" s="377"/>
      <c r="E56" s="377"/>
      <c r="F56" s="372">
        <f>'2C Önk bev kiad fel'!E110</f>
        <v>8163</v>
      </c>
      <c r="G56" s="377"/>
      <c r="H56" s="377"/>
      <c r="I56" s="377"/>
      <c r="J56" s="372">
        <f>'2C Önk bev kiad fel'!H110</f>
        <v>8163</v>
      </c>
      <c r="K56" s="377"/>
      <c r="L56" s="377"/>
      <c r="M56" s="377"/>
      <c r="N56" s="372">
        <f>'2C Önk bev kiad fel'!K110</f>
        <v>8163</v>
      </c>
      <c r="O56" s="377"/>
      <c r="P56" s="377"/>
      <c r="Q56" s="377"/>
      <c r="R56" s="372">
        <f>'2C Önk bev kiad fel'!N110</f>
        <v>8163</v>
      </c>
      <c r="S56" s="377"/>
      <c r="T56" s="377"/>
      <c r="U56" s="377"/>
      <c r="V56" s="372">
        <f>'2C Önk bev kiad fel'!Q110</f>
        <v>8163</v>
      </c>
      <c r="W56" s="377"/>
      <c r="X56" s="377"/>
      <c r="Y56" s="377"/>
      <c r="Z56" s="372">
        <f>'2C Önk bev kiad fel'!T110</f>
        <v>8163</v>
      </c>
    </row>
    <row r="57" spans="1:26" s="47" customFormat="1" x14ac:dyDescent="0.25">
      <c r="A57" s="435" t="s">
        <v>1100</v>
      </c>
      <c r="B57" s="341" t="s">
        <v>1103</v>
      </c>
      <c r="C57" s="376"/>
      <c r="D57" s="376"/>
      <c r="E57" s="376"/>
      <c r="F57" s="345">
        <f>'2C Önk bev kiad fel'!E112</f>
        <v>360</v>
      </c>
      <c r="G57" s="376"/>
      <c r="H57" s="376"/>
      <c r="I57" s="376"/>
      <c r="J57" s="345">
        <f>'2C Önk bev kiad fel'!H112</f>
        <v>360</v>
      </c>
      <c r="K57" s="376"/>
      <c r="L57" s="376"/>
      <c r="M57" s="376"/>
      <c r="N57" s="345">
        <f>'2C Önk bev kiad fel'!K112</f>
        <v>360</v>
      </c>
      <c r="O57" s="376"/>
      <c r="P57" s="376"/>
      <c r="Q57" s="376"/>
      <c r="R57" s="345">
        <f>'2C Önk bev kiad fel'!N112</f>
        <v>147</v>
      </c>
      <c r="S57" s="376"/>
      <c r="T57" s="376"/>
      <c r="U57" s="376"/>
      <c r="V57" s="345">
        <f>'2C Önk bev kiad fel'!Q112</f>
        <v>360</v>
      </c>
      <c r="W57" s="376"/>
      <c r="X57" s="376"/>
      <c r="Y57" s="376"/>
      <c r="Z57" s="345">
        <f>'2C Önk bev kiad fel'!T112</f>
        <v>360</v>
      </c>
    </row>
    <row r="58" spans="1:26" s="47" customFormat="1" x14ac:dyDescent="0.25">
      <c r="A58" s="435" t="s">
        <v>1101</v>
      </c>
      <c r="B58" s="418" t="s">
        <v>1358</v>
      </c>
      <c r="C58" s="376"/>
      <c r="D58" s="376"/>
      <c r="E58" s="376"/>
      <c r="F58" s="345">
        <f>'2C Önk bev kiad fel'!E117</f>
        <v>31064</v>
      </c>
      <c r="G58" s="376"/>
      <c r="H58" s="376"/>
      <c r="I58" s="376"/>
      <c r="J58" s="345">
        <f>'2C Önk bev kiad fel'!H117</f>
        <v>26224</v>
      </c>
      <c r="K58" s="376"/>
      <c r="L58" s="376"/>
      <c r="M58" s="376"/>
      <c r="N58" s="345">
        <f>'2C Önk bev kiad fel'!K117</f>
        <v>30683</v>
      </c>
      <c r="O58" s="376"/>
      <c r="P58" s="376"/>
      <c r="Q58" s="376"/>
      <c r="R58" s="345">
        <f>'2C Önk bev kiad fel'!N117</f>
        <v>26224</v>
      </c>
      <c r="S58" s="376"/>
      <c r="T58" s="376"/>
      <c r="U58" s="376"/>
      <c r="V58" s="345">
        <f>'2C Önk bev kiad fel'!Q117</f>
        <v>32000</v>
      </c>
      <c r="W58" s="376"/>
      <c r="X58" s="376"/>
      <c r="Y58" s="376"/>
      <c r="Z58" s="345">
        <f>'2C Önk bev kiad fel'!T117</f>
        <v>32000</v>
      </c>
    </row>
    <row r="59" spans="1:26" s="47" customFormat="1" x14ac:dyDescent="0.25">
      <c r="A59" s="435" t="s">
        <v>1102</v>
      </c>
      <c r="B59" s="341" t="s">
        <v>1107</v>
      </c>
      <c r="C59" s="376"/>
      <c r="D59" s="376"/>
      <c r="E59" s="376"/>
      <c r="F59" s="345">
        <f>'2C Önk bev kiad fel'!E121</f>
        <v>2000</v>
      </c>
      <c r="G59" s="376"/>
      <c r="H59" s="376"/>
      <c r="I59" s="376"/>
      <c r="J59" s="345">
        <f>'2C Önk bev kiad fel'!H121</f>
        <v>2100</v>
      </c>
      <c r="K59" s="376"/>
      <c r="L59" s="376"/>
      <c r="M59" s="376"/>
      <c r="N59" s="345">
        <f>'2C Önk bev kiad fel'!K121</f>
        <v>2100</v>
      </c>
      <c r="O59" s="376"/>
      <c r="P59" s="376"/>
      <c r="Q59" s="376"/>
      <c r="R59" s="345">
        <f>'2C Önk bev kiad fel'!N121</f>
        <v>2100</v>
      </c>
      <c r="S59" s="376"/>
      <c r="T59" s="376"/>
      <c r="U59" s="376"/>
      <c r="V59" s="345">
        <f>'2C Önk bev kiad fel'!Q121</f>
        <v>2000</v>
      </c>
      <c r="W59" s="376"/>
      <c r="X59" s="376"/>
      <c r="Y59" s="376"/>
      <c r="Z59" s="345">
        <f>'2C Önk bev kiad fel'!T121</f>
        <v>2000</v>
      </c>
    </row>
    <row r="60" spans="1:26" s="47" customFormat="1" x14ac:dyDescent="0.25">
      <c r="A60" s="435" t="s">
        <v>1104</v>
      </c>
      <c r="B60" s="341" t="s">
        <v>1109</v>
      </c>
      <c r="C60" s="376"/>
      <c r="D60" s="376"/>
      <c r="E60" s="376"/>
      <c r="F60" s="345">
        <f>'2C Önk bev kiad fel'!E123</f>
        <v>200</v>
      </c>
      <c r="G60" s="376"/>
      <c r="H60" s="376"/>
      <c r="I60" s="376"/>
      <c r="J60" s="345">
        <f>'2C Önk bev kiad fel'!H123</f>
        <v>200</v>
      </c>
      <c r="K60" s="376"/>
      <c r="L60" s="376"/>
      <c r="M60" s="376"/>
      <c r="N60" s="345">
        <f>'2C Önk bev kiad fel'!K123</f>
        <v>200</v>
      </c>
      <c r="O60" s="376"/>
      <c r="P60" s="376"/>
      <c r="Q60" s="376"/>
      <c r="R60" s="345">
        <f>'2C Önk bev kiad fel'!N123</f>
        <v>200</v>
      </c>
      <c r="S60" s="376"/>
      <c r="T60" s="376"/>
      <c r="U60" s="376"/>
      <c r="V60" s="345">
        <f>'2C Önk bev kiad fel'!Q123</f>
        <v>200</v>
      </c>
      <c r="W60" s="376"/>
      <c r="X60" s="376"/>
      <c r="Y60" s="376"/>
      <c r="Z60" s="345">
        <f>'2C Önk bev kiad fel'!T123</f>
        <v>200</v>
      </c>
    </row>
    <row r="61" spans="1:26" s="47" customFormat="1" x14ac:dyDescent="0.25">
      <c r="A61" s="435" t="s">
        <v>1105</v>
      </c>
      <c r="B61" s="341" t="s">
        <v>733</v>
      </c>
      <c r="C61" s="376"/>
      <c r="D61" s="376"/>
      <c r="E61" s="376"/>
      <c r="F61" s="345">
        <f>'2C Önk bev kiad fel'!E127</f>
        <v>4440</v>
      </c>
      <c r="G61" s="376"/>
      <c r="H61" s="376"/>
      <c r="I61" s="376"/>
      <c r="J61" s="345">
        <f>'2C Önk bev kiad fel'!H127</f>
        <v>4440</v>
      </c>
      <c r="K61" s="376"/>
      <c r="L61" s="376"/>
      <c r="M61" s="376"/>
      <c r="N61" s="345">
        <f>'2C Önk bev kiad fel'!K127</f>
        <v>4440</v>
      </c>
      <c r="O61" s="376"/>
      <c r="P61" s="376"/>
      <c r="Q61" s="376"/>
      <c r="R61" s="345">
        <f>'2C Önk bev kiad fel'!N127</f>
        <v>4245</v>
      </c>
      <c r="S61" s="376"/>
      <c r="T61" s="376"/>
      <c r="U61" s="376"/>
      <c r="V61" s="345">
        <f>'2C Önk bev kiad fel'!Q127</f>
        <v>4440</v>
      </c>
      <c r="W61" s="376"/>
      <c r="X61" s="376"/>
      <c r="Y61" s="376"/>
      <c r="Z61" s="345">
        <f>'2C Önk bev kiad fel'!T127</f>
        <v>4620</v>
      </c>
    </row>
    <row r="62" spans="1:26" s="47" customFormat="1" x14ac:dyDescent="0.25">
      <c r="A62" s="435" t="s">
        <v>1106</v>
      </c>
      <c r="B62" s="341" t="s">
        <v>735</v>
      </c>
      <c r="C62" s="376"/>
      <c r="D62" s="376"/>
      <c r="E62" s="376"/>
      <c r="F62" s="345">
        <f>'2C Önk bev kiad fel'!E129</f>
        <v>5400</v>
      </c>
      <c r="G62" s="376"/>
      <c r="H62" s="376"/>
      <c r="I62" s="376"/>
      <c r="J62" s="345">
        <f>'2C Önk bev kiad fel'!H129</f>
        <v>5400</v>
      </c>
      <c r="K62" s="376"/>
      <c r="L62" s="376"/>
      <c r="M62" s="376"/>
      <c r="N62" s="345">
        <f>'2C Önk bev kiad fel'!K129</f>
        <v>5400</v>
      </c>
      <c r="O62" s="376"/>
      <c r="P62" s="376"/>
      <c r="Q62" s="376"/>
      <c r="R62" s="345">
        <f>'2C Önk bev kiad fel'!N129</f>
        <v>5400</v>
      </c>
      <c r="S62" s="376"/>
      <c r="T62" s="376"/>
      <c r="U62" s="376"/>
      <c r="V62" s="345">
        <f>'2C Önk bev kiad fel'!Q129</f>
        <v>5400</v>
      </c>
      <c r="W62" s="376"/>
      <c r="X62" s="376"/>
      <c r="Y62" s="376"/>
      <c r="Z62" s="345">
        <f>'2C Önk bev kiad fel'!T129</f>
        <v>5400</v>
      </c>
    </row>
    <row r="63" spans="1:26" s="47" customFormat="1" x14ac:dyDescent="0.25">
      <c r="A63" s="435" t="s">
        <v>1108</v>
      </c>
      <c r="B63" s="341" t="s">
        <v>737</v>
      </c>
      <c r="C63" s="376"/>
      <c r="D63" s="376"/>
      <c r="E63" s="376"/>
      <c r="F63" s="345">
        <f>'2C Önk bev kiad fel'!E131</f>
        <v>400</v>
      </c>
      <c r="G63" s="376"/>
      <c r="H63" s="376"/>
      <c r="I63" s="376"/>
      <c r="J63" s="345">
        <f>'2C Önk bev kiad fel'!H131</f>
        <v>400</v>
      </c>
      <c r="K63" s="376"/>
      <c r="L63" s="376"/>
      <c r="M63" s="376"/>
      <c r="N63" s="345">
        <f>'2C Önk bev kiad fel'!K131</f>
        <v>400</v>
      </c>
      <c r="O63" s="376"/>
      <c r="P63" s="376"/>
      <c r="Q63" s="376"/>
      <c r="R63" s="345">
        <f>'2C Önk bev kiad fel'!N131</f>
        <v>400</v>
      </c>
      <c r="S63" s="376"/>
      <c r="T63" s="376"/>
      <c r="U63" s="376"/>
      <c r="V63" s="345">
        <f>'2C Önk bev kiad fel'!Q131</f>
        <v>400</v>
      </c>
      <c r="W63" s="376"/>
      <c r="X63" s="376"/>
      <c r="Y63" s="376"/>
      <c r="Z63" s="345">
        <f>'2C Önk bev kiad fel'!T131</f>
        <v>400</v>
      </c>
    </row>
    <row r="64" spans="1:26" s="47" customFormat="1" x14ac:dyDescent="0.25">
      <c r="A64" s="435" t="s">
        <v>1110</v>
      </c>
      <c r="B64" s="341" t="s">
        <v>1386</v>
      </c>
      <c r="C64" s="376"/>
      <c r="D64" s="376"/>
      <c r="E64" s="376"/>
      <c r="F64" s="345">
        <f>'2C Önk bev kiad fel'!E133</f>
        <v>81292</v>
      </c>
      <c r="G64" s="376"/>
      <c r="H64" s="376"/>
      <c r="I64" s="376"/>
      <c r="J64" s="345">
        <f>'2C Önk bev kiad fel'!H133</f>
        <v>81292</v>
      </c>
      <c r="K64" s="376"/>
      <c r="L64" s="376"/>
      <c r="M64" s="376"/>
      <c r="N64" s="345">
        <f>'2C Önk bev kiad fel'!K133</f>
        <v>81292</v>
      </c>
      <c r="O64" s="376"/>
      <c r="P64" s="376"/>
      <c r="Q64" s="376"/>
      <c r="R64" s="345">
        <f>'2C Önk bev kiad fel'!N133</f>
        <v>94798</v>
      </c>
      <c r="S64" s="376"/>
      <c r="T64" s="376"/>
      <c r="U64" s="376"/>
      <c r="V64" s="861">
        <f>'2C Önk bev kiad fel'!Q133</f>
        <v>81300</v>
      </c>
      <c r="W64" s="860"/>
      <c r="X64" s="860"/>
      <c r="Y64" s="860"/>
      <c r="Z64" s="861">
        <f>'2C Önk bev kiad fel'!T133</f>
        <v>81300</v>
      </c>
    </row>
    <row r="65" spans="1:26" s="47" customFormat="1" x14ac:dyDescent="0.25">
      <c r="A65" s="435" t="s">
        <v>1111</v>
      </c>
      <c r="B65" s="341" t="s">
        <v>740</v>
      </c>
      <c r="C65" s="376"/>
      <c r="D65" s="376"/>
      <c r="E65" s="376"/>
      <c r="F65" s="345">
        <f>'2C Önk bev kiad fel'!E136</f>
        <v>34000</v>
      </c>
      <c r="G65" s="376"/>
      <c r="H65" s="376"/>
      <c r="I65" s="376"/>
      <c r="J65" s="345">
        <f>'2C Önk bev kiad fel'!H136</f>
        <v>58907</v>
      </c>
      <c r="K65" s="376"/>
      <c r="L65" s="376"/>
      <c r="M65" s="376"/>
      <c r="N65" s="345">
        <f>'2C Önk bev kiad fel'!K136</f>
        <v>58907</v>
      </c>
      <c r="O65" s="376"/>
      <c r="P65" s="376"/>
      <c r="Q65" s="376"/>
      <c r="R65" s="345">
        <f>'2C Önk bev kiad fel'!N136</f>
        <v>45358</v>
      </c>
      <c r="S65" s="376"/>
      <c r="T65" s="376"/>
      <c r="U65" s="376"/>
      <c r="V65" s="861">
        <f>'2C Önk bev kiad fel'!Q136</f>
        <v>37992</v>
      </c>
      <c r="W65" s="860"/>
      <c r="X65" s="860"/>
      <c r="Y65" s="860"/>
      <c r="Z65" s="861">
        <f>'2C Önk bev kiad fel'!T136</f>
        <v>37992</v>
      </c>
    </row>
    <row r="66" spans="1:26" s="47" customFormat="1" x14ac:dyDescent="0.25">
      <c r="A66" s="435" t="s">
        <v>1112</v>
      </c>
      <c r="B66" s="341" t="s">
        <v>743</v>
      </c>
      <c r="C66" s="376"/>
      <c r="D66" s="376"/>
      <c r="E66" s="376"/>
      <c r="F66" s="345">
        <f>'2C Önk bev kiad fel'!E139</f>
        <v>6500</v>
      </c>
      <c r="G66" s="376"/>
      <c r="H66" s="376"/>
      <c r="I66" s="376"/>
      <c r="J66" s="345">
        <f>'2C Önk bev kiad fel'!H139</f>
        <v>11700</v>
      </c>
      <c r="K66" s="376"/>
      <c r="L66" s="376"/>
      <c r="M66" s="376"/>
      <c r="N66" s="345">
        <f>'2C Önk bev kiad fel'!K139</f>
        <v>19303</v>
      </c>
      <c r="O66" s="376"/>
      <c r="P66" s="376"/>
      <c r="Q66" s="376"/>
      <c r="R66" s="345">
        <f>'2C Önk bev kiad fel'!N139</f>
        <v>12200</v>
      </c>
      <c r="S66" s="376"/>
      <c r="T66" s="376"/>
      <c r="U66" s="376"/>
      <c r="V66" s="345">
        <f>'2C Önk bev kiad fel'!Q139</f>
        <v>6500</v>
      </c>
      <c r="W66" s="376"/>
      <c r="X66" s="376"/>
      <c r="Y66" s="376"/>
      <c r="Z66" s="345">
        <f>'2C Önk bev kiad fel'!T139</f>
        <v>7460</v>
      </c>
    </row>
    <row r="67" spans="1:26" s="47" customFormat="1" x14ac:dyDescent="0.25">
      <c r="A67" s="435" t="s">
        <v>1113</v>
      </c>
      <c r="B67" s="341" t="s">
        <v>1119</v>
      </c>
      <c r="C67" s="376"/>
      <c r="D67" s="376"/>
      <c r="E67" s="376"/>
      <c r="F67" s="345">
        <f>'2C Önk bev kiad fel'!E141</f>
        <v>2000</v>
      </c>
      <c r="G67" s="376"/>
      <c r="H67" s="376"/>
      <c r="I67" s="376"/>
      <c r="J67" s="345">
        <f>'2C Önk bev kiad fel'!H141</f>
        <v>3080</v>
      </c>
      <c r="K67" s="376"/>
      <c r="L67" s="376"/>
      <c r="M67" s="376"/>
      <c r="N67" s="345">
        <f>'2C Önk bev kiad fel'!K141</f>
        <v>1450</v>
      </c>
      <c r="O67" s="376"/>
      <c r="P67" s="376"/>
      <c r="Q67" s="376"/>
      <c r="R67" s="345">
        <f>'2C Önk bev kiad fel'!N141</f>
        <v>3080</v>
      </c>
      <c r="S67" s="376"/>
      <c r="T67" s="376"/>
      <c r="U67" s="376"/>
      <c r="V67" s="345">
        <f>'2C Önk bev kiad fel'!Q141</f>
        <v>2000</v>
      </c>
      <c r="W67" s="376"/>
      <c r="X67" s="376"/>
      <c r="Y67" s="376"/>
      <c r="Z67" s="345">
        <f>'2C Önk bev kiad fel'!T141</f>
        <v>2000</v>
      </c>
    </row>
    <row r="68" spans="1:26" s="47" customFormat="1" x14ac:dyDescent="0.25">
      <c r="A68" s="435" t="s">
        <v>1114</v>
      </c>
      <c r="B68" s="341" t="s">
        <v>747</v>
      </c>
      <c r="C68" s="376"/>
      <c r="D68" s="376"/>
      <c r="E68" s="376"/>
      <c r="F68" s="345">
        <f>'2C Önk bev kiad fel'!E143</f>
        <v>41500</v>
      </c>
      <c r="G68" s="376"/>
      <c r="H68" s="376"/>
      <c r="I68" s="376"/>
      <c r="J68" s="345">
        <f>'2C Önk bev kiad fel'!H143</f>
        <v>43860</v>
      </c>
      <c r="K68" s="376"/>
      <c r="L68" s="376"/>
      <c r="M68" s="376"/>
      <c r="N68" s="345">
        <f>'2C Önk bev kiad fel'!K143</f>
        <v>50080</v>
      </c>
      <c r="O68" s="376"/>
      <c r="P68" s="376"/>
      <c r="Q68" s="376"/>
      <c r="R68" s="345">
        <f>'2C Önk bev kiad fel'!N143</f>
        <v>43810</v>
      </c>
      <c r="S68" s="376"/>
      <c r="T68" s="376"/>
      <c r="U68" s="376"/>
      <c r="V68" s="345">
        <f>'2C Önk bev kiad fel'!Q143</f>
        <v>41500</v>
      </c>
      <c r="W68" s="376"/>
      <c r="X68" s="376"/>
      <c r="Y68" s="376"/>
      <c r="Z68" s="345">
        <f>'2C Önk bev kiad fel'!T143</f>
        <v>41500</v>
      </c>
    </row>
    <row r="69" spans="1:26" s="47" customFormat="1" x14ac:dyDescent="0.25">
      <c r="A69" s="435" t="s">
        <v>1115</v>
      </c>
      <c r="B69" s="341" t="s">
        <v>1123</v>
      </c>
      <c r="C69" s="376"/>
      <c r="D69" s="376"/>
      <c r="E69" s="376"/>
      <c r="F69" s="345">
        <f>'2C Önk bev kiad fel'!E145</f>
        <v>12200</v>
      </c>
      <c r="G69" s="376"/>
      <c r="H69" s="376"/>
      <c r="I69" s="376"/>
      <c r="J69" s="345">
        <f>'2C Önk bev kiad fel'!H145</f>
        <v>13160</v>
      </c>
      <c r="K69" s="376"/>
      <c r="L69" s="376"/>
      <c r="M69" s="376"/>
      <c r="N69" s="345">
        <f>'2C Önk bev kiad fel'!K145</f>
        <v>12000</v>
      </c>
      <c r="O69" s="376"/>
      <c r="P69" s="376"/>
      <c r="Q69" s="376"/>
      <c r="R69" s="345">
        <f>'2C Önk bev kiad fel'!N145</f>
        <v>12184</v>
      </c>
      <c r="S69" s="376"/>
      <c r="T69" s="376"/>
      <c r="U69" s="376"/>
      <c r="V69" s="345">
        <f>'2C Önk bev kiad fel'!Q145</f>
        <v>12600</v>
      </c>
      <c r="W69" s="376"/>
      <c r="X69" s="376"/>
      <c r="Y69" s="376"/>
      <c r="Z69" s="345">
        <f>'2C Önk bev kiad fel'!T145</f>
        <v>12600</v>
      </c>
    </row>
    <row r="70" spans="1:26" s="47" customFormat="1" x14ac:dyDescent="0.25">
      <c r="A70" s="435" t="s">
        <v>1116</v>
      </c>
      <c r="B70" s="341" t="s">
        <v>750</v>
      </c>
      <c r="C70" s="376"/>
      <c r="D70" s="376"/>
      <c r="E70" s="376"/>
      <c r="F70" s="345">
        <f>'2C Önk bev kiad fel'!E147</f>
        <v>2470</v>
      </c>
      <c r="G70" s="376"/>
      <c r="H70" s="376"/>
      <c r="I70" s="376"/>
      <c r="J70" s="345">
        <f>'2C Önk bev kiad fel'!H147</f>
        <v>2470</v>
      </c>
      <c r="K70" s="376"/>
      <c r="L70" s="376"/>
      <c r="M70" s="376"/>
      <c r="N70" s="345">
        <f>'2C Önk bev kiad fel'!K147</f>
        <v>2470</v>
      </c>
      <c r="O70" s="376"/>
      <c r="P70" s="376"/>
      <c r="Q70" s="376"/>
      <c r="R70" s="345">
        <f>'2C Önk bev kiad fel'!N147</f>
        <v>1862</v>
      </c>
      <c r="S70" s="376"/>
      <c r="T70" s="376"/>
      <c r="U70" s="376"/>
      <c r="V70" s="345">
        <f>'2C Önk bev kiad fel'!Q147</f>
        <v>3190</v>
      </c>
      <c r="W70" s="376"/>
      <c r="X70" s="376"/>
      <c r="Y70" s="376"/>
      <c r="Z70" s="345">
        <f>'2C Önk bev kiad fel'!T147</f>
        <v>3798</v>
      </c>
    </row>
    <row r="71" spans="1:26" s="47" customFormat="1" x14ac:dyDescent="0.25">
      <c r="A71" s="435" t="s">
        <v>1117</v>
      </c>
      <c r="B71" s="341" t="s">
        <v>752</v>
      </c>
      <c r="C71" s="376"/>
      <c r="D71" s="376"/>
      <c r="E71" s="376"/>
      <c r="F71" s="345">
        <f>'2C Önk bev kiad fel'!E149</f>
        <v>30000</v>
      </c>
      <c r="G71" s="376"/>
      <c r="H71" s="376"/>
      <c r="I71" s="376"/>
      <c r="J71" s="345">
        <f>'2C Önk bev kiad fel'!H149</f>
        <v>30823</v>
      </c>
      <c r="K71" s="376"/>
      <c r="L71" s="376"/>
      <c r="M71" s="376"/>
      <c r="N71" s="345">
        <f>'2C Önk bev kiad fel'!K149</f>
        <v>30823</v>
      </c>
      <c r="O71" s="376"/>
      <c r="P71" s="376"/>
      <c r="Q71" s="376"/>
      <c r="R71" s="345">
        <f>'2C Önk bev kiad fel'!N149</f>
        <v>11767</v>
      </c>
      <c r="S71" s="376"/>
      <c r="T71" s="376"/>
      <c r="U71" s="376"/>
      <c r="V71" s="345">
        <f>'2C Önk bev kiad fel'!Q149</f>
        <v>16000</v>
      </c>
      <c r="W71" s="376"/>
      <c r="X71" s="376"/>
      <c r="Y71" s="376"/>
      <c r="Z71" s="345">
        <f>'2C Önk bev kiad fel'!T149</f>
        <v>16000</v>
      </c>
    </row>
    <row r="72" spans="1:26" s="160" customFormat="1" x14ac:dyDescent="0.25">
      <c r="A72" s="435" t="s">
        <v>1118</v>
      </c>
      <c r="B72" s="341" t="s">
        <v>1126</v>
      </c>
      <c r="C72" s="376"/>
      <c r="D72" s="376"/>
      <c r="E72" s="376"/>
      <c r="F72" s="345">
        <f>'2C Önk bev kiad fel'!E152</f>
        <v>96502</v>
      </c>
      <c r="G72" s="376"/>
      <c r="H72" s="376"/>
      <c r="I72" s="376"/>
      <c r="J72" s="345">
        <f>'2C Önk bev kiad fel'!H152</f>
        <v>129188</v>
      </c>
      <c r="K72" s="376"/>
      <c r="L72" s="376"/>
      <c r="M72" s="376"/>
      <c r="N72" s="345">
        <f>'2C Önk bev kiad fel'!K152</f>
        <v>129188</v>
      </c>
      <c r="O72" s="376"/>
      <c r="P72" s="376"/>
      <c r="Q72" s="376"/>
      <c r="R72" s="345">
        <f>'2C Önk bev kiad fel'!N152</f>
        <v>83360</v>
      </c>
      <c r="S72" s="376"/>
      <c r="T72" s="376"/>
      <c r="U72" s="376"/>
      <c r="V72" s="345">
        <f>'2C Önk bev kiad fel'!Q152</f>
        <v>96465</v>
      </c>
      <c r="W72" s="376"/>
      <c r="X72" s="376"/>
      <c r="Y72" s="376"/>
      <c r="Z72" s="345">
        <f>'2C Önk bev kiad fel'!T152</f>
        <v>107940</v>
      </c>
    </row>
    <row r="73" spans="1:26" s="160" customFormat="1" x14ac:dyDescent="0.25">
      <c r="A73" s="435" t="s">
        <v>1121</v>
      </c>
      <c r="B73" s="341" t="s">
        <v>1535</v>
      </c>
      <c r="C73" s="376"/>
      <c r="D73" s="376"/>
      <c r="E73" s="376"/>
      <c r="F73" s="345">
        <f>'2C Önk bev kiad fel'!E159</f>
        <v>631095.5</v>
      </c>
      <c r="G73" s="376"/>
      <c r="H73" s="376"/>
      <c r="I73" s="376"/>
      <c r="J73" s="345">
        <f>'2C Önk bev kiad fel'!H159</f>
        <v>540904.5</v>
      </c>
      <c r="K73" s="376"/>
      <c r="L73" s="376"/>
      <c r="M73" s="376"/>
      <c r="N73" s="345" t="e">
        <f>'2C Önk bev kiad fel'!K159+#REF!</f>
        <v>#REF!</v>
      </c>
      <c r="O73" s="376"/>
      <c r="P73" s="376"/>
      <c r="Q73" s="376"/>
      <c r="R73" s="345">
        <f>'2C Önk bev kiad fel'!N159</f>
        <v>199584</v>
      </c>
      <c r="S73" s="376"/>
      <c r="T73" s="376"/>
      <c r="U73" s="376"/>
      <c r="V73" s="345">
        <f>'2C Önk bev kiad fel'!Q159</f>
        <v>319700</v>
      </c>
      <c r="W73" s="376"/>
      <c r="X73" s="376"/>
      <c r="Y73" s="376"/>
      <c r="Z73" s="345">
        <f>'2C Önk bev kiad fel'!T159</f>
        <v>392313</v>
      </c>
    </row>
    <row r="74" spans="1:26" s="160" customFormat="1" x14ac:dyDescent="0.25">
      <c r="A74" s="435" t="s">
        <v>1122</v>
      </c>
      <c r="B74" s="341" t="s">
        <v>1129</v>
      </c>
      <c r="C74" s="376">
        <v>5</v>
      </c>
      <c r="D74" s="376"/>
      <c r="E74" s="376"/>
      <c r="F74" s="345">
        <f>+'3B PH fel'!F17+'3B PH fel'!F22</f>
        <v>29094</v>
      </c>
      <c r="G74" s="376">
        <v>5</v>
      </c>
      <c r="H74" s="376"/>
      <c r="I74" s="376"/>
      <c r="J74" s="345">
        <f>+'3B PH fel'!J17+'3B PH fel'!J22</f>
        <v>29094</v>
      </c>
      <c r="K74" s="376">
        <v>5</v>
      </c>
      <c r="L74" s="376"/>
      <c r="M74" s="376"/>
      <c r="N74" s="345" t="e">
        <f>'2C Önk bev kiad fel'!#REF!+'3B PH fel'!N17</f>
        <v>#REF!</v>
      </c>
      <c r="O74" s="376">
        <v>5</v>
      </c>
      <c r="P74" s="376"/>
      <c r="Q74" s="376"/>
      <c r="R74" s="345">
        <f>+'3B PH fel'!R17</f>
        <v>17296</v>
      </c>
      <c r="S74" s="376">
        <v>5</v>
      </c>
      <c r="T74" s="376"/>
      <c r="U74" s="376"/>
      <c r="V74" s="345">
        <f>+'3B PH fel'!V17+'3B PH fel'!V22</f>
        <v>29435</v>
      </c>
      <c r="W74" s="376">
        <v>5</v>
      </c>
      <c r="X74" s="376"/>
      <c r="Y74" s="376"/>
      <c r="Z74" s="345">
        <f>+'3B PH fel'!Z17+'3B PH fel'!Z22</f>
        <v>29435</v>
      </c>
    </row>
    <row r="75" spans="1:26" s="160" customFormat="1" x14ac:dyDescent="0.25">
      <c r="A75" s="435" t="s">
        <v>1120</v>
      </c>
      <c r="B75" s="341" t="s">
        <v>659</v>
      </c>
      <c r="C75" s="376"/>
      <c r="D75" s="376"/>
      <c r="E75" s="376"/>
      <c r="F75" s="345">
        <f>'2C Önk bev kiad fel'!E178</f>
        <v>10000</v>
      </c>
      <c r="G75" s="376"/>
      <c r="H75" s="376"/>
      <c r="I75" s="376"/>
      <c r="J75" s="345">
        <f>'2C Önk bev kiad fel'!H178</f>
        <v>10000</v>
      </c>
      <c r="K75" s="376"/>
      <c r="L75" s="376"/>
      <c r="M75" s="376"/>
      <c r="N75" s="345">
        <f>'2C Önk bev kiad fel'!K178+'3B PH fel'!N22</f>
        <v>19958</v>
      </c>
      <c r="O75" s="376"/>
      <c r="P75" s="376"/>
      <c r="Q75" s="376"/>
      <c r="R75" s="345">
        <f>'2C Önk bev kiad fel'!N178+'3B PH fel'!R22</f>
        <v>124077</v>
      </c>
      <c r="S75" s="376"/>
      <c r="T75" s="376"/>
      <c r="U75" s="376"/>
      <c r="V75" s="345">
        <f>'2C Önk bev kiad fel'!Q178</f>
        <v>8650</v>
      </c>
      <c r="W75" s="376"/>
      <c r="X75" s="376"/>
      <c r="Y75" s="376"/>
      <c r="Z75" s="345">
        <f>'2C Önk bev kiad fel'!T178</f>
        <v>8650</v>
      </c>
    </row>
    <row r="76" spans="1:26" s="160" customFormat="1" x14ac:dyDescent="0.25">
      <c r="A76" s="435" t="s">
        <v>1124</v>
      </c>
      <c r="B76" s="341" t="s">
        <v>1699</v>
      </c>
      <c r="C76" s="376"/>
      <c r="D76" s="376"/>
      <c r="E76" s="376"/>
      <c r="F76" s="345">
        <f>'2C Önk bev kiad fel'!E165</f>
        <v>3905</v>
      </c>
      <c r="G76" s="376"/>
      <c r="H76" s="376"/>
      <c r="I76" s="376"/>
      <c r="J76" s="345">
        <f>'2C Önk bev kiad fel'!H165</f>
        <v>3949</v>
      </c>
      <c r="K76" s="376"/>
      <c r="L76" s="376"/>
      <c r="M76" s="376"/>
      <c r="N76" s="345" t="e">
        <f>'2C Önk bev kiad fel'!K165+'3B PH fel'!#REF!</f>
        <v>#REF!</v>
      </c>
      <c r="O76" s="376"/>
      <c r="P76" s="376"/>
      <c r="Q76" s="376"/>
      <c r="R76" s="345">
        <f>'2C Önk bev kiad fel'!N165</f>
        <v>3938</v>
      </c>
      <c r="S76" s="376"/>
      <c r="T76" s="376"/>
      <c r="U76" s="376"/>
      <c r="V76" s="345">
        <f>'2C Önk bev kiad fel'!Q165</f>
        <v>0</v>
      </c>
      <c r="W76" s="376"/>
      <c r="X76" s="376"/>
      <c r="Y76" s="376"/>
      <c r="Z76" s="345">
        <f>'2C Önk bev kiad fel'!T165</f>
        <v>14404</v>
      </c>
    </row>
    <row r="77" spans="1:26" s="160" customFormat="1" x14ac:dyDescent="0.25">
      <c r="A77" s="435" t="s">
        <v>1125</v>
      </c>
      <c r="B77" s="341" t="s">
        <v>758</v>
      </c>
      <c r="C77" s="376"/>
      <c r="D77" s="376"/>
      <c r="E77" s="376"/>
      <c r="F77" s="345">
        <f>'2C Önk bev kiad fel'!E172</f>
        <v>23314</v>
      </c>
      <c r="G77" s="376"/>
      <c r="H77" s="376"/>
      <c r="I77" s="376"/>
      <c r="J77" s="345">
        <f>'2C Önk bev kiad fel'!H172</f>
        <v>23314</v>
      </c>
      <c r="K77" s="376"/>
      <c r="L77" s="376"/>
      <c r="M77" s="376"/>
      <c r="N77" s="345">
        <f>'2C Önk bev kiad fel'!K172</f>
        <v>23314</v>
      </c>
      <c r="O77" s="376"/>
      <c r="P77" s="376"/>
      <c r="Q77" s="376"/>
      <c r="R77" s="345">
        <f>'2C Önk bev kiad fel'!N172</f>
        <v>19680</v>
      </c>
      <c r="S77" s="376"/>
      <c r="T77" s="376"/>
      <c r="U77" s="376"/>
      <c r="V77" s="345">
        <f>'2C Önk bev kiad fel'!Q172</f>
        <v>23314</v>
      </c>
      <c r="W77" s="376"/>
      <c r="X77" s="376"/>
      <c r="Y77" s="376"/>
      <c r="Z77" s="345">
        <f>'2C Önk bev kiad fel'!T172</f>
        <v>23314</v>
      </c>
    </row>
    <row r="78" spans="1:26" s="160" customFormat="1" x14ac:dyDescent="0.25">
      <c r="A78" s="435" t="s">
        <v>1127</v>
      </c>
      <c r="B78" s="341" t="s">
        <v>1073</v>
      </c>
      <c r="C78" s="376">
        <v>1</v>
      </c>
      <c r="D78" s="376"/>
      <c r="E78" s="376"/>
      <c r="F78" s="345">
        <f>'5 GSZNR fel'!E87</f>
        <v>10094</v>
      </c>
      <c r="G78" s="376">
        <v>1</v>
      </c>
      <c r="H78" s="376"/>
      <c r="I78" s="376"/>
      <c r="J78" s="345">
        <f>'5 GSZNR fel'!H87</f>
        <v>10501</v>
      </c>
      <c r="K78" s="376">
        <v>1</v>
      </c>
      <c r="L78" s="376"/>
      <c r="M78" s="376"/>
      <c r="N78" s="345">
        <f>'5 GSZNR fel'!K87</f>
        <v>10501</v>
      </c>
      <c r="O78" s="376">
        <v>1</v>
      </c>
      <c r="P78" s="376"/>
      <c r="Q78" s="376"/>
      <c r="R78" s="345">
        <f>'5 GSZNR fel'!N87</f>
        <v>6789</v>
      </c>
      <c r="S78" s="376">
        <v>1.5</v>
      </c>
      <c r="T78" s="376"/>
      <c r="U78" s="376"/>
      <c r="V78" s="345">
        <f>'5 GSZNR fel'!Q87</f>
        <v>9388</v>
      </c>
      <c r="W78" s="376">
        <v>1.5</v>
      </c>
      <c r="X78" s="376"/>
      <c r="Y78" s="376"/>
      <c r="Z78" s="345">
        <f>'5 GSZNR fel'!T87</f>
        <v>9388</v>
      </c>
    </row>
    <row r="79" spans="1:26" s="160" customFormat="1" x14ac:dyDescent="0.25">
      <c r="A79" s="435" t="s">
        <v>1128</v>
      </c>
      <c r="B79" s="341" t="s">
        <v>1712</v>
      </c>
      <c r="C79" s="376"/>
      <c r="D79" s="376"/>
      <c r="E79" s="376"/>
      <c r="F79" s="345">
        <f>'5 GSZNR fel'!E68</f>
        <v>19542</v>
      </c>
      <c r="G79" s="376"/>
      <c r="H79" s="376"/>
      <c r="I79" s="376"/>
      <c r="J79" s="345">
        <f>'5 GSZNR fel'!H68</f>
        <v>19648</v>
      </c>
      <c r="K79" s="376"/>
      <c r="L79" s="376"/>
      <c r="M79" s="376"/>
      <c r="N79" s="345">
        <f>'5 GSZNR fel'!K68</f>
        <v>19648</v>
      </c>
      <c r="O79" s="376"/>
      <c r="P79" s="376"/>
      <c r="Q79" s="376"/>
      <c r="R79" s="345">
        <f>'5 GSZNR fel'!N68</f>
        <v>23947</v>
      </c>
      <c r="S79" s="376"/>
      <c r="T79" s="376"/>
      <c r="U79" s="376"/>
      <c r="V79" s="345">
        <f>'5 GSZNR fel'!Q68</f>
        <v>57112</v>
      </c>
      <c r="W79" s="376"/>
      <c r="X79" s="376"/>
      <c r="Y79" s="376"/>
      <c r="Z79" s="345">
        <f>'5 GSZNR fel'!T68</f>
        <v>57112</v>
      </c>
    </row>
    <row r="80" spans="1:26" s="160" customFormat="1" x14ac:dyDescent="0.25">
      <c r="A80" s="435" t="s">
        <v>1130</v>
      </c>
      <c r="B80" s="341" t="s">
        <v>1423</v>
      </c>
      <c r="C80" s="376"/>
      <c r="D80" s="376"/>
      <c r="E80" s="376"/>
      <c r="F80" s="345">
        <f>'2C Önk bev kiad fel'!E182</f>
        <v>60000</v>
      </c>
      <c r="G80" s="376"/>
      <c r="H80" s="376"/>
      <c r="I80" s="376"/>
      <c r="J80" s="345">
        <f>'2C Önk bev kiad fel'!H182</f>
        <v>140000</v>
      </c>
      <c r="K80" s="376"/>
      <c r="L80" s="376"/>
      <c r="M80" s="376"/>
      <c r="N80" s="345">
        <f>'2C Önk bev kiad fel'!K182</f>
        <v>140000</v>
      </c>
      <c r="O80" s="376"/>
      <c r="P80" s="376"/>
      <c r="Q80" s="376"/>
      <c r="R80" s="345">
        <f>'2C Önk bev kiad fel'!N182</f>
        <v>120000</v>
      </c>
      <c r="S80" s="376"/>
      <c r="T80" s="376"/>
      <c r="U80" s="376"/>
      <c r="V80" s="345">
        <f>'2C Önk bev kiad fel'!Q182</f>
        <v>80000</v>
      </c>
      <c r="W80" s="376"/>
      <c r="X80" s="376"/>
      <c r="Y80" s="376"/>
      <c r="Z80" s="345">
        <f>'2C Önk bev kiad fel'!T182</f>
        <v>93674</v>
      </c>
    </row>
    <row r="81" spans="1:26" s="160" customFormat="1" x14ac:dyDescent="0.25">
      <c r="A81" s="445" t="s">
        <v>1131</v>
      </c>
      <c r="B81" s="341" t="s">
        <v>1357</v>
      </c>
      <c r="C81" s="376"/>
      <c r="D81" s="376"/>
      <c r="E81" s="376"/>
      <c r="F81" s="345">
        <f>'2C Önk bev kiad fel'!E176</f>
        <v>0</v>
      </c>
      <c r="G81" s="376"/>
      <c r="H81" s="376"/>
      <c r="I81" s="376"/>
      <c r="J81" s="345">
        <f>'2C Önk bev kiad fel'!H176</f>
        <v>5517</v>
      </c>
      <c r="K81" s="376"/>
      <c r="L81" s="376"/>
      <c r="M81" s="376"/>
      <c r="N81" s="345">
        <f>'2C Önk bev kiad fel'!K176</f>
        <v>5517</v>
      </c>
      <c r="O81" s="376"/>
      <c r="P81" s="376"/>
      <c r="Q81" s="376"/>
      <c r="R81" s="345">
        <f>'2C Önk bev kiad fel'!N176</f>
        <v>5311</v>
      </c>
      <c r="S81" s="376"/>
      <c r="T81" s="376"/>
      <c r="U81" s="376"/>
      <c r="V81" s="345">
        <f>'2C Önk bev kiad fel'!Q176</f>
        <v>5300</v>
      </c>
      <c r="W81" s="376"/>
      <c r="X81" s="376"/>
      <c r="Y81" s="376"/>
      <c r="Z81" s="345">
        <f>'2C Önk bev kiad fel'!T176</f>
        <v>5300</v>
      </c>
    </row>
    <row r="82" spans="1:26" s="160" customFormat="1" ht="14.95" hidden="1" x14ac:dyDescent="0.25">
      <c r="A82" s="445"/>
      <c r="B82" s="418" t="s">
        <v>1371</v>
      </c>
      <c r="C82" s="376"/>
      <c r="D82" s="376"/>
      <c r="E82" s="376"/>
      <c r="F82" s="345">
        <f>+'2C Önk bev kiad fel'!E186</f>
        <v>113083</v>
      </c>
      <c r="G82" s="376"/>
      <c r="H82" s="376"/>
      <c r="I82" s="376"/>
      <c r="J82" s="345">
        <f>+'2C Önk bev kiad fel'!H186</f>
        <v>89599</v>
      </c>
      <c r="K82" s="376"/>
      <c r="L82" s="376"/>
      <c r="M82" s="376"/>
      <c r="N82" s="345">
        <f>+'2C Önk bev kiad fel'!K186</f>
        <v>158845</v>
      </c>
      <c r="O82" s="376"/>
      <c r="P82" s="376"/>
      <c r="Q82" s="376"/>
      <c r="R82" s="345">
        <f>+'2C Önk bev kiad fel'!N186</f>
        <v>88892</v>
      </c>
      <c r="S82" s="376"/>
      <c r="T82" s="376"/>
      <c r="U82" s="376"/>
      <c r="V82" s="345">
        <f>+'2C Önk bev kiad fel'!Q186</f>
        <v>0</v>
      </c>
      <c r="W82" s="376"/>
      <c r="X82" s="376"/>
      <c r="Y82" s="376"/>
      <c r="Z82" s="345">
        <f>+'2C Önk bev kiad fel'!U186</f>
        <v>0</v>
      </c>
    </row>
    <row r="83" spans="1:26" s="160" customFormat="1" ht="14.95" hidden="1" x14ac:dyDescent="0.25">
      <c r="A83" s="445" t="s">
        <v>1132</v>
      </c>
      <c r="B83" s="418" t="s">
        <v>1465</v>
      </c>
      <c r="C83" s="376"/>
      <c r="D83" s="376"/>
      <c r="E83" s="376"/>
      <c r="F83" s="345"/>
      <c r="G83" s="376"/>
      <c r="H83" s="376"/>
      <c r="I83" s="376"/>
      <c r="J83" s="345">
        <f>+'5 GSZNR fel'!H111</f>
        <v>2212</v>
      </c>
      <c r="K83" s="376"/>
      <c r="L83" s="376"/>
      <c r="M83" s="376"/>
      <c r="N83" s="345"/>
      <c r="O83" s="376"/>
      <c r="P83" s="376"/>
      <c r="Q83" s="376"/>
      <c r="R83" s="345"/>
      <c r="S83" s="376"/>
      <c r="T83" s="376"/>
      <c r="U83" s="376"/>
      <c r="V83" s="345"/>
      <c r="W83" s="376"/>
      <c r="X83" s="376"/>
      <c r="Y83" s="376"/>
      <c r="Z83" s="345"/>
    </row>
    <row r="84" spans="1:26" s="160" customFormat="1" ht="30.1" hidden="1" x14ac:dyDescent="0.25">
      <c r="A84" s="445" t="s">
        <v>1466</v>
      </c>
      <c r="B84" s="736" t="s">
        <v>1414</v>
      </c>
      <c r="C84" s="376"/>
      <c r="D84" s="376"/>
      <c r="E84" s="376"/>
      <c r="F84" s="345"/>
      <c r="G84" s="376"/>
      <c r="H84" s="376"/>
      <c r="I84" s="376"/>
      <c r="J84" s="345">
        <f>+'2C Önk bev kiad fel'!H189</f>
        <v>71483</v>
      </c>
      <c r="K84" s="376"/>
      <c r="L84" s="376"/>
      <c r="M84" s="376"/>
      <c r="N84" s="345"/>
      <c r="O84" s="376"/>
      <c r="P84" s="376"/>
      <c r="Q84" s="376"/>
      <c r="R84" s="345"/>
      <c r="S84" s="376"/>
      <c r="T84" s="376"/>
      <c r="U84" s="376"/>
      <c r="V84" s="345"/>
      <c r="W84" s="376"/>
      <c r="X84" s="376"/>
      <c r="Y84" s="376"/>
      <c r="Z84" s="345"/>
    </row>
    <row r="85" spans="1:26" s="160" customFormat="1" ht="15.8" hidden="1" x14ac:dyDescent="0.25">
      <c r="A85" s="445"/>
      <c r="B85" s="780" t="s">
        <v>1480</v>
      </c>
      <c r="C85" s="376"/>
      <c r="D85" s="376"/>
      <c r="E85" s="376"/>
      <c r="F85" s="345"/>
      <c r="G85" s="376"/>
      <c r="H85" s="376"/>
      <c r="I85" s="376"/>
      <c r="J85" s="345">
        <f>+'2C Önk bev kiad fel'!H193</f>
        <v>8148</v>
      </c>
      <c r="K85" s="376"/>
      <c r="L85" s="376"/>
      <c r="M85" s="376"/>
      <c r="N85" s="345"/>
      <c r="O85" s="376"/>
      <c r="P85" s="376"/>
      <c r="Q85" s="376"/>
      <c r="R85" s="345"/>
      <c r="S85" s="376"/>
      <c r="T85" s="376"/>
      <c r="U85" s="376"/>
      <c r="V85" s="345"/>
      <c r="W85" s="376"/>
      <c r="X85" s="376"/>
      <c r="Y85" s="376"/>
      <c r="Z85" s="345"/>
    </row>
    <row r="86" spans="1:26" x14ac:dyDescent="0.25">
      <c r="A86" s="364" t="s">
        <v>328</v>
      </c>
      <c r="B86" s="335" t="s">
        <v>660</v>
      </c>
      <c r="C86" s="375"/>
      <c r="D86" s="375"/>
      <c r="E86" s="375"/>
      <c r="F86" s="336">
        <f t="shared" ref="F86" si="0">SUM(F87:F88)</f>
        <v>4290</v>
      </c>
      <c r="G86" s="375"/>
      <c r="H86" s="375"/>
      <c r="I86" s="375"/>
      <c r="J86" s="336">
        <f t="shared" ref="J86" si="1">SUM(J87:J88)</f>
        <v>4290</v>
      </c>
      <c r="K86" s="375"/>
      <c r="L86" s="375"/>
      <c r="M86" s="375"/>
      <c r="N86" s="336">
        <f t="shared" ref="N86" si="2">SUM(N87:N88)</f>
        <v>4290</v>
      </c>
      <c r="O86" s="375"/>
      <c r="P86" s="375"/>
      <c r="Q86" s="375"/>
      <c r="R86" s="336">
        <f t="shared" ref="R86" si="3">SUM(R87:R88)</f>
        <v>4037</v>
      </c>
      <c r="S86" s="375"/>
      <c r="T86" s="375"/>
      <c r="U86" s="375"/>
      <c r="V86" s="336">
        <f t="shared" ref="V86" si="4">SUM(V87:V88)</f>
        <v>3277</v>
      </c>
      <c r="W86" s="375"/>
      <c r="X86" s="375"/>
      <c r="Y86" s="375"/>
      <c r="Z86" s="336">
        <f t="shared" ref="Z86" si="5">SUM(Z87:Z88)</f>
        <v>3277</v>
      </c>
    </row>
    <row r="87" spans="1:26" x14ac:dyDescent="0.25">
      <c r="A87" s="435" t="s">
        <v>1133</v>
      </c>
      <c r="B87" s="341" t="s">
        <v>1134</v>
      </c>
      <c r="C87" s="378"/>
      <c r="D87" s="378"/>
      <c r="E87" s="378"/>
      <c r="F87" s="273">
        <f>'3B PH fel'!F28</f>
        <v>0</v>
      </c>
      <c r="G87" s="378"/>
      <c r="H87" s="378"/>
      <c r="I87" s="378"/>
      <c r="J87" s="273">
        <f>'3B PH fel'!J28</f>
        <v>0</v>
      </c>
      <c r="K87" s="378"/>
      <c r="L87" s="378"/>
      <c r="M87" s="378"/>
      <c r="N87" s="273">
        <f>'3B PH fel'!N28</f>
        <v>0</v>
      </c>
      <c r="O87" s="378"/>
      <c r="P87" s="378"/>
      <c r="Q87" s="378"/>
      <c r="R87" s="273">
        <f>'3B PH fel'!R28</f>
        <v>0</v>
      </c>
      <c r="S87" s="378"/>
      <c r="T87" s="378"/>
      <c r="U87" s="378"/>
      <c r="V87" s="273">
        <f>'3B PH fel'!V28</f>
        <v>0</v>
      </c>
      <c r="W87" s="378"/>
      <c r="X87" s="378"/>
      <c r="Y87" s="378"/>
      <c r="Z87" s="273">
        <f>'3B PH fel'!Z28</f>
        <v>0</v>
      </c>
    </row>
    <row r="88" spans="1:26" x14ac:dyDescent="0.25">
      <c r="A88" s="435" t="s">
        <v>1135</v>
      </c>
      <c r="B88" s="341" t="s">
        <v>616</v>
      </c>
      <c r="C88" s="378"/>
      <c r="D88" s="378"/>
      <c r="E88" s="378"/>
      <c r="F88" s="273">
        <f>'3B PH fel'!F30</f>
        <v>4290</v>
      </c>
      <c r="G88" s="378"/>
      <c r="H88" s="378"/>
      <c r="I88" s="378"/>
      <c r="J88" s="273">
        <f>'3B PH fel'!J30</f>
        <v>4290</v>
      </c>
      <c r="K88" s="378"/>
      <c r="L88" s="378"/>
      <c r="M88" s="378"/>
      <c r="N88" s="273">
        <f>'3B PH fel'!N30</f>
        <v>4290</v>
      </c>
      <c r="O88" s="378"/>
      <c r="P88" s="378"/>
      <c r="Q88" s="378"/>
      <c r="R88" s="273">
        <f>'3B PH fel'!R30</f>
        <v>4037</v>
      </c>
      <c r="S88" s="378"/>
      <c r="T88" s="378"/>
      <c r="U88" s="378"/>
      <c r="V88" s="273">
        <f>'3B PH fel'!V30</f>
        <v>3277</v>
      </c>
      <c r="W88" s="378"/>
      <c r="X88" s="378"/>
      <c r="Y88" s="378"/>
      <c r="Z88" s="273">
        <f>'3B PH fel'!Z30</f>
        <v>3277</v>
      </c>
    </row>
    <row r="89" spans="1:26" x14ac:dyDescent="0.25">
      <c r="A89" s="364" t="s">
        <v>1136</v>
      </c>
      <c r="B89" s="335" t="s">
        <v>596</v>
      </c>
      <c r="C89" s="375"/>
      <c r="D89" s="375"/>
      <c r="E89" s="375"/>
      <c r="F89" s="336">
        <f>F90+F91+F92</f>
        <v>410430</v>
      </c>
      <c r="G89" s="375"/>
      <c r="H89" s="375"/>
      <c r="I89" s="375"/>
      <c r="J89" s="336">
        <f>J90+J91+J92</f>
        <v>711873</v>
      </c>
      <c r="K89" s="375"/>
      <c r="L89" s="375"/>
      <c r="M89" s="375"/>
      <c r="N89" s="336">
        <f>N90+N91+N92</f>
        <v>411619</v>
      </c>
      <c r="O89" s="375"/>
      <c r="P89" s="375"/>
      <c r="Q89" s="375"/>
      <c r="R89" s="336">
        <f>R90+R91+R92</f>
        <v>311873</v>
      </c>
      <c r="S89" s="375"/>
      <c r="T89" s="375"/>
      <c r="U89" s="375"/>
      <c r="V89" s="336">
        <f t="shared" ref="V89" si="6">V90+V91+V92</f>
        <v>197708</v>
      </c>
      <c r="W89" s="375"/>
      <c r="X89" s="375"/>
      <c r="Y89" s="375"/>
      <c r="Z89" s="336">
        <f t="shared" ref="Z89" si="7">Z90+Z91+Z92</f>
        <v>330006</v>
      </c>
    </row>
    <row r="90" spans="1:26" x14ac:dyDescent="0.25">
      <c r="A90" s="435" t="s">
        <v>1137</v>
      </c>
      <c r="B90" s="341" t="s">
        <v>1138</v>
      </c>
      <c r="C90" s="378"/>
      <c r="D90" s="378"/>
      <c r="E90" s="378"/>
      <c r="F90" s="273">
        <f>'2C Önk bev kiad fel'!E201</f>
        <v>0</v>
      </c>
      <c r="G90" s="378"/>
      <c r="H90" s="378"/>
      <c r="I90" s="378"/>
      <c r="J90" s="273">
        <f>'2C Önk bev kiad fel'!H201</f>
        <v>0</v>
      </c>
      <c r="K90" s="378"/>
      <c r="L90" s="378"/>
      <c r="M90" s="378"/>
      <c r="N90" s="273">
        <f>'2C Önk bev kiad fel'!K201</f>
        <v>0</v>
      </c>
      <c r="O90" s="378"/>
      <c r="P90" s="378"/>
      <c r="Q90" s="378"/>
      <c r="R90" s="273">
        <f>'2C Önk bev kiad fel'!O201</f>
        <v>0</v>
      </c>
      <c r="S90" s="378"/>
      <c r="T90" s="378"/>
      <c r="U90" s="378"/>
      <c r="V90" s="273">
        <f>'2C Önk bev kiad fel'!Q201</f>
        <v>180645</v>
      </c>
      <c r="W90" s="378"/>
      <c r="X90" s="378"/>
      <c r="Y90" s="378"/>
      <c r="Z90" s="273">
        <f>'2C Önk bev kiad fel'!T201</f>
        <v>180645</v>
      </c>
    </row>
    <row r="91" spans="1:26" x14ac:dyDescent="0.25">
      <c r="A91" s="435" t="s">
        <v>1139</v>
      </c>
      <c r="B91" s="341" t="s">
        <v>762</v>
      </c>
      <c r="C91" s="378"/>
      <c r="D91" s="378"/>
      <c r="E91" s="378"/>
      <c r="F91" s="273">
        <f>'2C Önk bev kiad fel'!E202</f>
        <v>400000</v>
      </c>
      <c r="G91" s="378"/>
      <c r="H91" s="378"/>
      <c r="I91" s="378"/>
      <c r="J91" s="273">
        <f>'2C Önk bev kiad fel'!H202</f>
        <v>400000</v>
      </c>
      <c r="K91" s="378"/>
      <c r="L91" s="378"/>
      <c r="M91" s="378"/>
      <c r="N91" s="273">
        <f>'2C Önk bev kiad fel'!K202</f>
        <v>400000</v>
      </c>
      <c r="O91" s="378"/>
      <c r="P91" s="378"/>
      <c r="Q91" s="378"/>
      <c r="R91" s="273">
        <f>'2C Önk bev kiad fel'!N202</f>
        <v>0</v>
      </c>
      <c r="S91" s="378"/>
      <c r="T91" s="378"/>
      <c r="U91" s="378"/>
      <c r="V91" s="273">
        <f>'2C Önk bev kiad fel'!Q202</f>
        <v>0</v>
      </c>
      <c r="W91" s="378"/>
      <c r="X91" s="378"/>
      <c r="Y91" s="378"/>
      <c r="Z91" s="273">
        <f>'2C Önk bev kiad fel'!T202</f>
        <v>0</v>
      </c>
    </row>
    <row r="92" spans="1:26" x14ac:dyDescent="0.25">
      <c r="A92" s="435" t="s">
        <v>1140</v>
      </c>
      <c r="B92" s="341" t="s">
        <v>760</v>
      </c>
      <c r="C92" s="378"/>
      <c r="D92" s="378"/>
      <c r="E92" s="378"/>
      <c r="F92" s="273">
        <f>'2C Önk bev kiad fel'!E200</f>
        <v>10430</v>
      </c>
      <c r="G92" s="378"/>
      <c r="H92" s="378"/>
      <c r="I92" s="378"/>
      <c r="J92" s="273">
        <f>'2C Önk bev kiad fel'!H200</f>
        <v>311873</v>
      </c>
      <c r="K92" s="378"/>
      <c r="L92" s="378"/>
      <c r="M92" s="378"/>
      <c r="N92" s="273">
        <f>'2C Önk bev kiad fel'!K200</f>
        <v>11619</v>
      </c>
      <c r="O92" s="378"/>
      <c r="P92" s="378"/>
      <c r="Q92" s="378"/>
      <c r="R92" s="273">
        <f>'2C Önk bev kiad fel'!N200</f>
        <v>311873</v>
      </c>
      <c r="S92" s="378"/>
      <c r="T92" s="378"/>
      <c r="U92" s="378"/>
      <c r="V92" s="273">
        <f>'2C Önk bev kiad fel'!Q200</f>
        <v>17063</v>
      </c>
      <c r="W92" s="378"/>
      <c r="X92" s="378"/>
      <c r="Y92" s="378"/>
      <c r="Z92" s="273">
        <f>'2C Önk bev kiad fel'!T200</f>
        <v>149361</v>
      </c>
    </row>
    <row r="93" spans="1:26" x14ac:dyDescent="0.25">
      <c r="A93" s="420"/>
    </row>
    <row r="94" spans="1:26" x14ac:dyDescent="0.25">
      <c r="A94" s="420"/>
    </row>
    <row r="95" spans="1:26" x14ac:dyDescent="0.25">
      <c r="A95" s="420"/>
    </row>
    <row r="96" spans="1:26" x14ac:dyDescent="0.25">
      <c r="A96" s="420"/>
    </row>
    <row r="97" spans="1:1" x14ac:dyDescent="0.25">
      <c r="A97" s="420"/>
    </row>
    <row r="98" spans="1:1" x14ac:dyDescent="0.25">
      <c r="A98" s="420"/>
    </row>
    <row r="99" spans="1:1" x14ac:dyDescent="0.25">
      <c r="A99" s="420"/>
    </row>
    <row r="100" spans="1:1" x14ac:dyDescent="0.25">
      <c r="A100" s="420"/>
    </row>
    <row r="101" spans="1:1" x14ac:dyDescent="0.25">
      <c r="A101" s="420"/>
    </row>
    <row r="102" spans="1:1" x14ac:dyDescent="0.25">
      <c r="A102" s="420"/>
    </row>
    <row r="103" spans="1:1" x14ac:dyDescent="0.25">
      <c r="A103" s="420"/>
    </row>
    <row r="104" spans="1:1" x14ac:dyDescent="0.25">
      <c r="A104" s="420"/>
    </row>
    <row r="105" spans="1:1" x14ac:dyDescent="0.25">
      <c r="A105" s="420"/>
    </row>
    <row r="106" spans="1:1" x14ac:dyDescent="0.25">
      <c r="A106" s="420"/>
    </row>
    <row r="107" spans="1:1" x14ac:dyDescent="0.25">
      <c r="A107" s="420"/>
    </row>
    <row r="108" spans="1:1" x14ac:dyDescent="0.25">
      <c r="A108" s="420"/>
    </row>
    <row r="109" spans="1:1" x14ac:dyDescent="0.25">
      <c r="A109" s="420"/>
    </row>
    <row r="110" spans="1:1" x14ac:dyDescent="0.25">
      <c r="A110" s="420"/>
    </row>
    <row r="111" spans="1:1" x14ac:dyDescent="0.25">
      <c r="A111" s="420"/>
    </row>
    <row r="112" spans="1:1" x14ac:dyDescent="0.25">
      <c r="A112" s="420"/>
    </row>
    <row r="113" spans="1:1" x14ac:dyDescent="0.25">
      <c r="A113" s="420"/>
    </row>
    <row r="114" spans="1:1" x14ac:dyDescent="0.25">
      <c r="A114" s="420"/>
    </row>
    <row r="115" spans="1:1" x14ac:dyDescent="0.25">
      <c r="A115" s="420"/>
    </row>
    <row r="116" spans="1:1" x14ac:dyDescent="0.25">
      <c r="A116" s="420"/>
    </row>
    <row r="117" spans="1:1" x14ac:dyDescent="0.25">
      <c r="A117" s="420"/>
    </row>
    <row r="118" spans="1:1" x14ac:dyDescent="0.25">
      <c r="A118" s="420"/>
    </row>
    <row r="119" spans="1:1" x14ac:dyDescent="0.25">
      <c r="A119" s="420"/>
    </row>
    <row r="120" spans="1:1" x14ac:dyDescent="0.25">
      <c r="A120" s="420"/>
    </row>
    <row r="121" spans="1:1" x14ac:dyDescent="0.25">
      <c r="A121" s="420"/>
    </row>
    <row r="122" spans="1:1" x14ac:dyDescent="0.25">
      <c r="A122" s="420"/>
    </row>
    <row r="123" spans="1:1" x14ac:dyDescent="0.25">
      <c r="A123" s="420"/>
    </row>
    <row r="124" spans="1:1" x14ac:dyDescent="0.25">
      <c r="A124" s="420"/>
    </row>
    <row r="125" spans="1:1" x14ac:dyDescent="0.25">
      <c r="A125" s="420"/>
    </row>
    <row r="126" spans="1:1" x14ac:dyDescent="0.25">
      <c r="A126" s="420"/>
    </row>
    <row r="127" spans="1:1" x14ac:dyDescent="0.25">
      <c r="A127" s="420"/>
    </row>
    <row r="128" spans="1:1" x14ac:dyDescent="0.25">
      <c r="A128" s="420"/>
    </row>
    <row r="129" spans="1:1" x14ac:dyDescent="0.25">
      <c r="A129" s="420"/>
    </row>
    <row r="130" spans="1:1" x14ac:dyDescent="0.25">
      <c r="A130" s="420"/>
    </row>
    <row r="131" spans="1:1" x14ac:dyDescent="0.25">
      <c r="A131" s="420"/>
    </row>
    <row r="132" spans="1:1" x14ac:dyDescent="0.25">
      <c r="A132" s="420"/>
    </row>
    <row r="133" spans="1:1" x14ac:dyDescent="0.25">
      <c r="A133" s="420"/>
    </row>
    <row r="134" spans="1:1" x14ac:dyDescent="0.25">
      <c r="A134" s="420"/>
    </row>
    <row r="135" spans="1:1" x14ac:dyDescent="0.25">
      <c r="A135" s="420"/>
    </row>
    <row r="136" spans="1:1" x14ac:dyDescent="0.25">
      <c r="A136" s="420"/>
    </row>
    <row r="137" spans="1:1" x14ac:dyDescent="0.25">
      <c r="A137" s="420"/>
    </row>
    <row r="138" spans="1:1" x14ac:dyDescent="0.25">
      <c r="A138" s="420"/>
    </row>
    <row r="139" spans="1:1" x14ac:dyDescent="0.25">
      <c r="A139" s="420"/>
    </row>
    <row r="140" spans="1:1" x14ac:dyDescent="0.25">
      <c r="A140" s="420"/>
    </row>
    <row r="141" spans="1:1" x14ac:dyDescent="0.25">
      <c r="A141" s="420"/>
    </row>
    <row r="142" spans="1:1" x14ac:dyDescent="0.25">
      <c r="A142" s="420"/>
    </row>
    <row r="143" spans="1:1" x14ac:dyDescent="0.25">
      <c r="A143" s="420"/>
    </row>
    <row r="144" spans="1:1" x14ac:dyDescent="0.25">
      <c r="A144" s="420"/>
    </row>
    <row r="145" spans="1:1" x14ac:dyDescent="0.25">
      <c r="A145" s="420"/>
    </row>
    <row r="146" spans="1:1" x14ac:dyDescent="0.25">
      <c r="A146" s="420"/>
    </row>
    <row r="147" spans="1:1" x14ac:dyDescent="0.25">
      <c r="A147" s="420"/>
    </row>
    <row r="148" spans="1:1" x14ac:dyDescent="0.25">
      <c r="A148" s="420"/>
    </row>
    <row r="149" spans="1:1" x14ac:dyDescent="0.25">
      <c r="A149" s="420"/>
    </row>
    <row r="150" spans="1:1" x14ac:dyDescent="0.25">
      <c r="A150" s="420"/>
    </row>
    <row r="151" spans="1:1" x14ac:dyDescent="0.25">
      <c r="A151" s="420"/>
    </row>
    <row r="152" spans="1:1" x14ac:dyDescent="0.25">
      <c r="A152" s="420"/>
    </row>
    <row r="153" spans="1:1" x14ac:dyDescent="0.25">
      <c r="A153" s="420"/>
    </row>
    <row r="154" spans="1:1" x14ac:dyDescent="0.25">
      <c r="A154" s="420"/>
    </row>
    <row r="155" spans="1:1" x14ac:dyDescent="0.25">
      <c r="A155" s="420"/>
    </row>
    <row r="156" spans="1:1" x14ac:dyDescent="0.25">
      <c r="A156" s="420"/>
    </row>
    <row r="157" spans="1:1" x14ac:dyDescent="0.25">
      <c r="A157" s="420"/>
    </row>
    <row r="158" spans="1:1" x14ac:dyDescent="0.25">
      <c r="A158" s="420"/>
    </row>
    <row r="159" spans="1:1" x14ac:dyDescent="0.25">
      <c r="A159" s="420"/>
    </row>
    <row r="160" spans="1:1" x14ac:dyDescent="0.25">
      <c r="A160" s="420"/>
    </row>
    <row r="161" spans="1:1" x14ac:dyDescent="0.25">
      <c r="A161" s="420"/>
    </row>
    <row r="162" spans="1:1" x14ac:dyDescent="0.25">
      <c r="A162" s="420"/>
    </row>
    <row r="163" spans="1:1" x14ac:dyDescent="0.25">
      <c r="A163" s="420"/>
    </row>
    <row r="164" spans="1:1" x14ac:dyDescent="0.25">
      <c r="A164" s="420"/>
    </row>
    <row r="165" spans="1:1" x14ac:dyDescent="0.25">
      <c r="A165" s="420"/>
    </row>
    <row r="166" spans="1:1" x14ac:dyDescent="0.25">
      <c r="A166" s="420"/>
    </row>
    <row r="167" spans="1:1" x14ac:dyDescent="0.25">
      <c r="A167" s="420"/>
    </row>
    <row r="168" spans="1:1" x14ac:dyDescent="0.25">
      <c r="A168" s="420"/>
    </row>
    <row r="169" spans="1:1" x14ac:dyDescent="0.25">
      <c r="A169" s="420"/>
    </row>
    <row r="170" spans="1:1" x14ac:dyDescent="0.25">
      <c r="A170" s="420"/>
    </row>
    <row r="171" spans="1:1" x14ac:dyDescent="0.25">
      <c r="A171" s="420"/>
    </row>
    <row r="172" spans="1:1" x14ac:dyDescent="0.25">
      <c r="A172" s="420"/>
    </row>
    <row r="173" spans="1:1" x14ac:dyDescent="0.25">
      <c r="A173" s="420"/>
    </row>
    <row r="174" spans="1:1" x14ac:dyDescent="0.25">
      <c r="A174" s="420"/>
    </row>
    <row r="175" spans="1:1" x14ac:dyDescent="0.25">
      <c r="A175" s="420"/>
    </row>
    <row r="176" spans="1:1" x14ac:dyDescent="0.25">
      <c r="A176" s="420"/>
    </row>
    <row r="177" spans="1:1" x14ac:dyDescent="0.25">
      <c r="A177" s="420"/>
    </row>
    <row r="178" spans="1:1" x14ac:dyDescent="0.25">
      <c r="A178" s="420"/>
    </row>
    <row r="179" spans="1:1" x14ac:dyDescent="0.25">
      <c r="A179" s="420"/>
    </row>
    <row r="180" spans="1:1" x14ac:dyDescent="0.25">
      <c r="A180" s="420"/>
    </row>
    <row r="181" spans="1:1" x14ac:dyDescent="0.25">
      <c r="A181" s="420"/>
    </row>
    <row r="182" spans="1:1" x14ac:dyDescent="0.25">
      <c r="A182" s="420"/>
    </row>
    <row r="183" spans="1:1" x14ac:dyDescent="0.25">
      <c r="A183" s="420"/>
    </row>
    <row r="184" spans="1:1" x14ac:dyDescent="0.25">
      <c r="A184" s="420"/>
    </row>
    <row r="185" spans="1:1" x14ac:dyDescent="0.25">
      <c r="A185" s="420"/>
    </row>
    <row r="186" spans="1:1" x14ac:dyDescent="0.25">
      <c r="A186" s="420"/>
    </row>
    <row r="187" spans="1:1" x14ac:dyDescent="0.25">
      <c r="A187" s="420"/>
    </row>
    <row r="188" spans="1:1" x14ac:dyDescent="0.25">
      <c r="A188" s="420"/>
    </row>
    <row r="189" spans="1:1" x14ac:dyDescent="0.25">
      <c r="A189" s="420"/>
    </row>
    <row r="190" spans="1:1" x14ac:dyDescent="0.25">
      <c r="A190" s="420"/>
    </row>
    <row r="191" spans="1:1" x14ac:dyDescent="0.25">
      <c r="A191" s="420"/>
    </row>
    <row r="192" spans="1:1" x14ac:dyDescent="0.25">
      <c r="A192" s="420"/>
    </row>
    <row r="193" spans="1:1" x14ac:dyDescent="0.25">
      <c r="A193" s="420"/>
    </row>
    <row r="194" spans="1:1" x14ac:dyDescent="0.25">
      <c r="A194" s="420"/>
    </row>
    <row r="195" spans="1:1" x14ac:dyDescent="0.25">
      <c r="A195" s="420"/>
    </row>
    <row r="196" spans="1:1" x14ac:dyDescent="0.25">
      <c r="A196" s="420"/>
    </row>
    <row r="197" spans="1:1" x14ac:dyDescent="0.25">
      <c r="A197" s="420"/>
    </row>
    <row r="198" spans="1:1" x14ac:dyDescent="0.25">
      <c r="A198" s="420"/>
    </row>
    <row r="199" spans="1:1" x14ac:dyDescent="0.25">
      <c r="A199" s="420"/>
    </row>
    <row r="200" spans="1:1" x14ac:dyDescent="0.25">
      <c r="A200" s="420"/>
    </row>
    <row r="201" spans="1:1" x14ac:dyDescent="0.25">
      <c r="A201" s="420"/>
    </row>
    <row r="202" spans="1:1" x14ac:dyDescent="0.25">
      <c r="A202" s="420"/>
    </row>
    <row r="203" spans="1:1" x14ac:dyDescent="0.25">
      <c r="A203" s="420"/>
    </row>
    <row r="204" spans="1:1" x14ac:dyDescent="0.25">
      <c r="A204" s="420"/>
    </row>
    <row r="205" spans="1:1" x14ac:dyDescent="0.25">
      <c r="A205" s="420"/>
    </row>
    <row r="206" spans="1:1" x14ac:dyDescent="0.25">
      <c r="A206" s="420"/>
    </row>
    <row r="207" spans="1:1" x14ac:dyDescent="0.25">
      <c r="A207" s="420"/>
    </row>
    <row r="208" spans="1:1" x14ac:dyDescent="0.25">
      <c r="A208" s="420"/>
    </row>
    <row r="209" spans="1:1" x14ac:dyDescent="0.25">
      <c r="A209" s="420"/>
    </row>
    <row r="210" spans="1:1" x14ac:dyDescent="0.25">
      <c r="A210" s="420"/>
    </row>
    <row r="211" spans="1:1" x14ac:dyDescent="0.25">
      <c r="A211" s="420"/>
    </row>
    <row r="212" spans="1:1" x14ac:dyDescent="0.25">
      <c r="A212" s="420"/>
    </row>
    <row r="213" spans="1:1" x14ac:dyDescent="0.25">
      <c r="A213" s="420"/>
    </row>
    <row r="214" spans="1:1" x14ac:dyDescent="0.25">
      <c r="A214" s="420"/>
    </row>
    <row r="215" spans="1:1" x14ac:dyDescent="0.25">
      <c r="A215" s="420"/>
    </row>
    <row r="216" spans="1:1" x14ac:dyDescent="0.25">
      <c r="A216" s="420"/>
    </row>
    <row r="217" spans="1:1" x14ac:dyDescent="0.25">
      <c r="A217" s="420"/>
    </row>
    <row r="218" spans="1:1" x14ac:dyDescent="0.25">
      <c r="A218" s="420"/>
    </row>
    <row r="219" spans="1:1" x14ac:dyDescent="0.25">
      <c r="A219" s="420"/>
    </row>
    <row r="220" spans="1:1" x14ac:dyDescent="0.25">
      <c r="A220" s="420"/>
    </row>
    <row r="221" spans="1:1" x14ac:dyDescent="0.25">
      <c r="A221" s="420"/>
    </row>
    <row r="222" spans="1:1" x14ac:dyDescent="0.25">
      <c r="A222" s="420"/>
    </row>
    <row r="223" spans="1:1" x14ac:dyDescent="0.25">
      <c r="A223" s="420"/>
    </row>
    <row r="224" spans="1:1" x14ac:dyDescent="0.25">
      <c r="A224" s="420"/>
    </row>
    <row r="225" spans="1:1" x14ac:dyDescent="0.25">
      <c r="A225" s="420"/>
    </row>
    <row r="226" spans="1:1" x14ac:dyDescent="0.25">
      <c r="A226" s="420"/>
    </row>
    <row r="227" spans="1:1" x14ac:dyDescent="0.25">
      <c r="A227" s="420"/>
    </row>
    <row r="228" spans="1:1" x14ac:dyDescent="0.25">
      <c r="A228" s="420"/>
    </row>
    <row r="229" spans="1:1" x14ac:dyDescent="0.25">
      <c r="A229" s="420"/>
    </row>
    <row r="230" spans="1:1" x14ac:dyDescent="0.25">
      <c r="A230" s="420"/>
    </row>
    <row r="231" spans="1:1" x14ac:dyDescent="0.25">
      <c r="A231" s="420"/>
    </row>
    <row r="232" spans="1:1" x14ac:dyDescent="0.25">
      <c r="A232" s="420"/>
    </row>
    <row r="233" spans="1:1" x14ac:dyDescent="0.25">
      <c r="A233" s="420"/>
    </row>
    <row r="234" spans="1:1" x14ac:dyDescent="0.25">
      <c r="A234" s="420"/>
    </row>
    <row r="235" spans="1:1" x14ac:dyDescent="0.25">
      <c r="A235" s="420"/>
    </row>
    <row r="236" spans="1:1" x14ac:dyDescent="0.25">
      <c r="A236" s="420"/>
    </row>
    <row r="237" spans="1:1" x14ac:dyDescent="0.25">
      <c r="A237" s="420"/>
    </row>
    <row r="238" spans="1:1" x14ac:dyDescent="0.25">
      <c r="A238" s="420"/>
    </row>
    <row r="239" spans="1:1" x14ac:dyDescent="0.25">
      <c r="A239" s="420"/>
    </row>
    <row r="240" spans="1:1" x14ac:dyDescent="0.25">
      <c r="A240" s="420"/>
    </row>
    <row r="241" spans="1:1" x14ac:dyDescent="0.25">
      <c r="A241" s="420"/>
    </row>
    <row r="242" spans="1:1" x14ac:dyDescent="0.25">
      <c r="A242" s="420"/>
    </row>
    <row r="243" spans="1:1" x14ac:dyDescent="0.25">
      <c r="A243" s="420"/>
    </row>
    <row r="244" spans="1:1" x14ac:dyDescent="0.25">
      <c r="A244" s="420"/>
    </row>
    <row r="245" spans="1:1" x14ac:dyDescent="0.25">
      <c r="A245" s="420"/>
    </row>
    <row r="246" spans="1:1" x14ac:dyDescent="0.25">
      <c r="A246" s="420"/>
    </row>
    <row r="247" spans="1:1" x14ac:dyDescent="0.25">
      <c r="A247" s="420"/>
    </row>
    <row r="248" spans="1:1" x14ac:dyDescent="0.25">
      <c r="A248" s="420"/>
    </row>
    <row r="249" spans="1:1" x14ac:dyDescent="0.25">
      <c r="A249" s="420"/>
    </row>
    <row r="250" spans="1:1" x14ac:dyDescent="0.25">
      <c r="A250" s="420"/>
    </row>
    <row r="251" spans="1:1" x14ac:dyDescent="0.25">
      <c r="A251" s="420"/>
    </row>
    <row r="252" spans="1:1" x14ac:dyDescent="0.25">
      <c r="A252" s="420"/>
    </row>
    <row r="253" spans="1:1" x14ac:dyDescent="0.25">
      <c r="A253" s="420"/>
    </row>
    <row r="254" spans="1:1" x14ac:dyDescent="0.25">
      <c r="A254" s="420"/>
    </row>
    <row r="255" spans="1:1" x14ac:dyDescent="0.25">
      <c r="A255" s="420"/>
    </row>
    <row r="256" spans="1:1" x14ac:dyDescent="0.25">
      <c r="A256" s="420"/>
    </row>
    <row r="257" spans="1:1" x14ac:dyDescent="0.25">
      <c r="A257" s="420"/>
    </row>
    <row r="258" spans="1:1" x14ac:dyDescent="0.25">
      <c r="A258" s="420"/>
    </row>
    <row r="259" spans="1:1" x14ac:dyDescent="0.25">
      <c r="A259" s="420"/>
    </row>
    <row r="260" spans="1:1" x14ac:dyDescent="0.25">
      <c r="A260" s="420"/>
    </row>
    <row r="261" spans="1:1" x14ac:dyDescent="0.25">
      <c r="A261" s="420"/>
    </row>
    <row r="262" spans="1:1" x14ac:dyDescent="0.25">
      <c r="A262" s="420"/>
    </row>
    <row r="263" spans="1:1" x14ac:dyDescent="0.25">
      <c r="A263" s="420"/>
    </row>
    <row r="264" spans="1:1" x14ac:dyDescent="0.25">
      <c r="A264" s="420"/>
    </row>
    <row r="265" spans="1:1" x14ac:dyDescent="0.25">
      <c r="A265" s="420"/>
    </row>
    <row r="266" spans="1:1" x14ac:dyDescent="0.25">
      <c r="A266" s="420"/>
    </row>
    <row r="267" spans="1:1" x14ac:dyDescent="0.25">
      <c r="A267" s="420"/>
    </row>
    <row r="268" spans="1:1" x14ac:dyDescent="0.25">
      <c r="A268" s="420"/>
    </row>
    <row r="269" spans="1:1" x14ac:dyDescent="0.25">
      <c r="A269" s="420"/>
    </row>
    <row r="270" spans="1:1" x14ac:dyDescent="0.25">
      <c r="A270" s="420"/>
    </row>
    <row r="271" spans="1:1" x14ac:dyDescent="0.25">
      <c r="A271" s="420"/>
    </row>
    <row r="272" spans="1:1" x14ac:dyDescent="0.25">
      <c r="A272" s="420"/>
    </row>
  </sheetData>
  <mergeCells count="8">
    <mergeCell ref="W3:Z3"/>
    <mergeCell ref="O3:R3"/>
    <mergeCell ref="S3:V3"/>
    <mergeCell ref="C3:F3"/>
    <mergeCell ref="A2:A3"/>
    <mergeCell ref="B2:B3"/>
    <mergeCell ref="G3:J3"/>
    <mergeCell ref="K3:N3"/>
  </mergeCells>
  <printOptions horizontalCentered="1"/>
  <pageMargins left="0.19685039370078741" right="0.19685039370078741" top="0.6692913385826772" bottom="0.19685039370078741" header="0.15748031496062992" footer="0.43307086614173229"/>
  <pageSetup paperSize="9" scale="56" fitToWidth="0" fitToHeight="0" pageOrder="overThenDown" orientation="portrait" r:id="rId1"/>
  <headerFooter>
    <oddHeader xml:space="preserve">&amp;L1/C.  melléklet a ...../2019. (.......) önkormányzati rendelethez&amp;C&amp;"-,Félkövér"&amp;16
Az Önkormányzat 2019.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K113"/>
  <sheetViews>
    <sheetView view="pageBreakPreview" topLeftCell="A31" zoomScale="75" zoomScaleNormal="100" zoomScaleSheetLayoutView="75" workbookViewId="0">
      <selection activeCell="T116" sqref="T116"/>
    </sheetView>
  </sheetViews>
  <sheetFormatPr defaultColWidth="9.125" defaultRowHeight="14.3" x14ac:dyDescent="0.25"/>
  <cols>
    <col min="1" max="1" width="5.75" style="606" customWidth="1"/>
    <col min="2" max="2" width="53.625" style="607" customWidth="1"/>
    <col min="3" max="5" width="10" style="607" hidden="1" customWidth="1"/>
    <col min="6" max="6" width="11.125" style="607" hidden="1" customWidth="1"/>
    <col min="7" max="7" width="10" style="607" hidden="1" customWidth="1"/>
    <col min="8" max="8" width="11.125" style="607" hidden="1" customWidth="1"/>
    <col min="9" max="9" width="10" style="607" hidden="1" customWidth="1"/>
    <col min="10" max="10" width="10.25" style="607" hidden="1" customWidth="1"/>
    <col min="11" max="12" width="10.125" style="607" hidden="1" customWidth="1"/>
    <col min="13" max="14" width="9.75" style="607" hidden="1" customWidth="1"/>
    <col min="15" max="16" width="10.125" style="607" hidden="1" customWidth="1"/>
    <col min="17" max="18" width="9.75" style="607" hidden="1" customWidth="1"/>
    <col min="19" max="20" width="10.125" style="607" customWidth="1"/>
    <col min="21" max="22" width="9.75" style="607" customWidth="1"/>
    <col min="23" max="23" width="10" style="607" bestFit="1" customWidth="1"/>
    <col min="24" max="25" width="9.125" style="607"/>
    <col min="26" max="26" width="15.125" style="607" customWidth="1"/>
    <col min="27" max="16384" width="9.125" style="607"/>
  </cols>
  <sheetData>
    <row r="1" spans="1:26" ht="14.95" x14ac:dyDescent="0.25">
      <c r="F1" s="608"/>
      <c r="N1" s="608"/>
      <c r="R1" s="608"/>
      <c r="V1" s="608"/>
      <c r="Z1" s="423" t="s">
        <v>302</v>
      </c>
    </row>
    <row r="2" spans="1:26" x14ac:dyDescent="0.25">
      <c r="A2" s="609" t="s">
        <v>468</v>
      </c>
      <c r="B2" s="609" t="s">
        <v>469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</row>
    <row r="3" spans="1:26" ht="30.25" customHeight="1" x14ac:dyDescent="0.25">
      <c r="A3" s="889" t="s">
        <v>305</v>
      </c>
      <c r="B3" s="890" t="s">
        <v>470</v>
      </c>
      <c r="C3" s="880" t="s">
        <v>1505</v>
      </c>
      <c r="D3" s="881"/>
      <c r="E3" s="881"/>
      <c r="F3" s="882"/>
      <c r="G3" s="880" t="s">
        <v>1506</v>
      </c>
      <c r="H3" s="881"/>
      <c r="I3" s="881"/>
      <c r="J3" s="882"/>
      <c r="K3" s="880" t="s">
        <v>1507</v>
      </c>
      <c r="L3" s="881"/>
      <c r="M3" s="881"/>
      <c r="N3" s="882"/>
      <c r="O3" s="880" t="s">
        <v>1498</v>
      </c>
      <c r="P3" s="881"/>
      <c r="Q3" s="881"/>
      <c r="R3" s="882"/>
      <c r="S3" s="880" t="s">
        <v>1501</v>
      </c>
      <c r="T3" s="881"/>
      <c r="U3" s="881"/>
      <c r="V3" s="882"/>
      <c r="W3" s="880" t="s">
        <v>1720</v>
      </c>
      <c r="X3" s="881"/>
      <c r="Y3" s="881"/>
      <c r="Z3" s="882"/>
    </row>
    <row r="4" spans="1:26" ht="42.8" x14ac:dyDescent="0.25">
      <c r="A4" s="889"/>
      <c r="B4" s="890"/>
      <c r="C4" s="611" t="s">
        <v>1313</v>
      </c>
      <c r="D4" s="611" t="s">
        <v>1314</v>
      </c>
      <c r="E4" s="611" t="s">
        <v>1315</v>
      </c>
      <c r="F4" s="611" t="s">
        <v>553</v>
      </c>
      <c r="G4" s="611" t="s">
        <v>1313</v>
      </c>
      <c r="H4" s="611" t="s">
        <v>1314</v>
      </c>
      <c r="I4" s="611" t="s">
        <v>1315</v>
      </c>
      <c r="J4" s="611" t="s">
        <v>553</v>
      </c>
      <c r="K4" s="611" t="s">
        <v>1313</v>
      </c>
      <c r="L4" s="611" t="s">
        <v>1314</v>
      </c>
      <c r="M4" s="611" t="s">
        <v>1315</v>
      </c>
      <c r="N4" s="611" t="s">
        <v>553</v>
      </c>
      <c r="O4" s="641" t="s">
        <v>1313</v>
      </c>
      <c r="P4" s="641" t="s">
        <v>1314</v>
      </c>
      <c r="Q4" s="641" t="s">
        <v>1315</v>
      </c>
      <c r="R4" s="641" t="s">
        <v>553</v>
      </c>
      <c r="S4" s="641" t="s">
        <v>1313</v>
      </c>
      <c r="T4" s="641" t="s">
        <v>1314</v>
      </c>
      <c r="U4" s="641" t="s">
        <v>1315</v>
      </c>
      <c r="V4" s="641" t="s">
        <v>553</v>
      </c>
      <c r="W4" s="641" t="s">
        <v>1313</v>
      </c>
      <c r="X4" s="641" t="s">
        <v>1314</v>
      </c>
      <c r="Y4" s="641" t="s">
        <v>1315</v>
      </c>
      <c r="Z4" s="641" t="s">
        <v>553</v>
      </c>
    </row>
    <row r="5" spans="1:26" x14ac:dyDescent="0.25">
      <c r="A5" s="612" t="s">
        <v>309</v>
      </c>
      <c r="B5" s="613" t="s">
        <v>310</v>
      </c>
      <c r="C5" s="614">
        <f t="shared" ref="C5:D5" si="0">C6+C25+C41+C55</f>
        <v>3685446</v>
      </c>
      <c r="D5" s="614">
        <f t="shared" si="0"/>
        <v>75150</v>
      </c>
      <c r="E5" s="614">
        <f t="shared" ref="E5" si="1">E6+E25+E41+E55</f>
        <v>0</v>
      </c>
      <c r="F5" s="614">
        <f>SUM(C5:E5)</f>
        <v>3760596</v>
      </c>
      <c r="G5" s="614">
        <f t="shared" ref="G5:I5" si="2">G6+G25+G41+G55</f>
        <v>3829739</v>
      </c>
      <c r="H5" s="614">
        <f t="shared" si="2"/>
        <v>210857</v>
      </c>
      <c r="I5" s="614">
        <f t="shared" si="2"/>
        <v>0</v>
      </c>
      <c r="J5" s="614">
        <f>SUM(G5:I5)</f>
        <v>4040596</v>
      </c>
      <c r="K5" s="614">
        <f t="shared" ref="K5:M5" si="3">K6+K25+K41+K55</f>
        <v>3705661</v>
      </c>
      <c r="L5" s="614">
        <f t="shared" si="3"/>
        <v>225405</v>
      </c>
      <c r="M5" s="614">
        <f t="shared" si="3"/>
        <v>0</v>
      </c>
      <c r="N5" s="614">
        <f>SUM(K5:M5)</f>
        <v>3931066</v>
      </c>
      <c r="O5" s="614">
        <f t="shared" ref="O5:Q5" si="4">O6+O25+O41+O55</f>
        <v>4164695</v>
      </c>
      <c r="P5" s="614">
        <f t="shared" si="4"/>
        <v>12200</v>
      </c>
      <c r="Q5" s="614">
        <f t="shared" si="4"/>
        <v>0</v>
      </c>
      <c r="R5" s="614">
        <f>SUM(O5:Q5)</f>
        <v>4176895</v>
      </c>
      <c r="S5" s="614">
        <f t="shared" ref="S5:U5" si="5">S6+S25+S41+S55</f>
        <v>3962222.0810000002</v>
      </c>
      <c r="T5" s="614">
        <f t="shared" si="5"/>
        <v>49237</v>
      </c>
      <c r="U5" s="614">
        <f t="shared" si="5"/>
        <v>0</v>
      </c>
      <c r="V5" s="614">
        <f>SUM(S5:U5)</f>
        <v>4011459.0810000002</v>
      </c>
      <c r="W5" s="614">
        <f t="shared" ref="W5:Y5" si="6">W6+W25+W41+W55</f>
        <v>3968588.8339999998</v>
      </c>
      <c r="X5" s="614">
        <f t="shared" si="6"/>
        <v>49237</v>
      </c>
      <c r="Y5" s="614">
        <f t="shared" si="6"/>
        <v>0</v>
      </c>
      <c r="Z5" s="614">
        <f>SUM(W5:Y5)</f>
        <v>4017825.8339999998</v>
      </c>
    </row>
    <row r="6" spans="1:26" x14ac:dyDescent="0.25">
      <c r="A6" s="615" t="s">
        <v>311</v>
      </c>
      <c r="B6" s="616" t="s">
        <v>312</v>
      </c>
      <c r="C6" s="617">
        <f t="shared" ref="C6:D6" si="7">C7+C16+C17+C18</f>
        <v>552349</v>
      </c>
      <c r="D6" s="617">
        <f t="shared" si="7"/>
        <v>12800</v>
      </c>
      <c r="E6" s="617">
        <f t="shared" ref="E6" si="8">E7+E16+E17+E18</f>
        <v>0</v>
      </c>
      <c r="F6" s="617">
        <f t="shared" ref="F6:F74" si="9">SUM(C6:E6)</f>
        <v>565149</v>
      </c>
      <c r="G6" s="617">
        <f t="shared" ref="G6:I6" si="10">G7+G16+G17+G18</f>
        <v>637932</v>
      </c>
      <c r="H6" s="617">
        <f t="shared" si="10"/>
        <v>12800</v>
      </c>
      <c r="I6" s="617">
        <f t="shared" si="10"/>
        <v>0</v>
      </c>
      <c r="J6" s="617">
        <f t="shared" ref="J6:J56" si="11">SUM(G6:I6)</f>
        <v>650732</v>
      </c>
      <c r="K6" s="617">
        <f t="shared" ref="K6:M6" si="12">K7+K16+K17+K18</f>
        <v>554473</v>
      </c>
      <c r="L6" s="617">
        <f t="shared" si="12"/>
        <v>57430</v>
      </c>
      <c r="M6" s="617">
        <f t="shared" si="12"/>
        <v>0</v>
      </c>
      <c r="N6" s="617">
        <f t="shared" ref="N6:N56" si="13">SUM(K6:M6)</f>
        <v>611903</v>
      </c>
      <c r="O6" s="617">
        <f t="shared" ref="O6:Q6" si="14">O7+O16+O17+O18</f>
        <v>657316</v>
      </c>
      <c r="P6" s="617">
        <f t="shared" si="14"/>
        <v>12200</v>
      </c>
      <c r="Q6" s="617">
        <f t="shared" si="14"/>
        <v>0</v>
      </c>
      <c r="R6" s="617">
        <f t="shared" ref="R6:R56" si="15">SUM(O6:Q6)</f>
        <v>669516</v>
      </c>
      <c r="S6" s="617">
        <f t="shared" ref="S6:U6" si="16">S7+S16+S17+S18</f>
        <v>599232.08100000001</v>
      </c>
      <c r="T6" s="617">
        <f t="shared" si="16"/>
        <v>12600</v>
      </c>
      <c r="U6" s="617">
        <f t="shared" si="16"/>
        <v>0</v>
      </c>
      <c r="V6" s="617">
        <f t="shared" ref="V6:V56" si="17">SUM(S6:U6)</f>
        <v>611832.08100000001</v>
      </c>
      <c r="W6" s="617">
        <f t="shared" ref="W6:Y6" si="18">W7+W16+W17+W18</f>
        <v>605598.83400000003</v>
      </c>
      <c r="X6" s="617">
        <f t="shared" si="18"/>
        <v>12600</v>
      </c>
      <c r="Y6" s="617">
        <f t="shared" si="18"/>
        <v>0</v>
      </c>
      <c r="Z6" s="617">
        <f t="shared" ref="Z6:Z14" si="19">SUM(W6:Y6)</f>
        <v>618198.83400000003</v>
      </c>
    </row>
    <row r="7" spans="1:26" s="621" customFormat="1" x14ac:dyDescent="0.25">
      <c r="A7" s="618"/>
      <c r="B7" s="619" t="s">
        <v>471</v>
      </c>
      <c r="C7" s="620">
        <f t="shared" ref="C7:D7" si="20">SUM(C8:C14)</f>
        <v>511956</v>
      </c>
      <c r="D7" s="620">
        <f t="shared" si="20"/>
        <v>12200</v>
      </c>
      <c r="E7" s="620">
        <f t="shared" ref="E7" si="21">SUM(E8:E14)</f>
        <v>0</v>
      </c>
      <c r="F7" s="620">
        <f t="shared" si="9"/>
        <v>524156</v>
      </c>
      <c r="G7" s="620">
        <f>SUM(G8:G15)</f>
        <v>581906</v>
      </c>
      <c r="H7" s="620">
        <f t="shared" ref="H7:I7" si="22">SUM(H8:H15)</f>
        <v>12200</v>
      </c>
      <c r="I7" s="620">
        <f t="shared" si="22"/>
        <v>0</v>
      </c>
      <c r="J7" s="620">
        <f t="shared" si="11"/>
        <v>594106</v>
      </c>
      <c r="K7" s="620">
        <f t="shared" ref="K7:M7" si="23">SUM(K8:K14)</f>
        <v>514080</v>
      </c>
      <c r="L7" s="620">
        <f t="shared" si="23"/>
        <v>14932</v>
      </c>
      <c r="M7" s="620">
        <f t="shared" si="23"/>
        <v>0</v>
      </c>
      <c r="N7" s="620">
        <f t="shared" si="13"/>
        <v>529012</v>
      </c>
      <c r="O7" s="620">
        <f t="shared" ref="O7:Q7" si="24">SUM(O8:O14)</f>
        <v>599837</v>
      </c>
      <c r="P7" s="620">
        <f t="shared" si="24"/>
        <v>12200</v>
      </c>
      <c r="Q7" s="620">
        <f t="shared" si="24"/>
        <v>0</v>
      </c>
      <c r="R7" s="620">
        <f t="shared" si="15"/>
        <v>612037</v>
      </c>
      <c r="S7" s="620">
        <f t="shared" ref="S7:U7" si="25">SUM(S8:S14)</f>
        <v>599232.08100000001</v>
      </c>
      <c r="T7" s="620">
        <f t="shared" si="25"/>
        <v>12600</v>
      </c>
      <c r="U7" s="620">
        <f t="shared" si="25"/>
        <v>0</v>
      </c>
      <c r="V7" s="620">
        <f t="shared" si="17"/>
        <v>611832.08100000001</v>
      </c>
      <c r="W7" s="620">
        <f t="shared" ref="W7:Y7" si="26">SUM(W8:W14)</f>
        <v>605598.83400000003</v>
      </c>
      <c r="X7" s="620">
        <f t="shared" si="26"/>
        <v>12600</v>
      </c>
      <c r="Y7" s="620">
        <f t="shared" si="26"/>
        <v>0</v>
      </c>
      <c r="Z7" s="620">
        <f t="shared" si="19"/>
        <v>618198.83400000003</v>
      </c>
    </row>
    <row r="8" spans="1:26" s="621" customFormat="1" ht="28.55" x14ac:dyDescent="0.25">
      <c r="A8" s="618"/>
      <c r="B8" s="622" t="s">
        <v>472</v>
      </c>
      <c r="C8" s="623">
        <v>4</v>
      </c>
      <c r="D8" s="623">
        <v>0</v>
      </c>
      <c r="E8" s="623">
        <v>0</v>
      </c>
      <c r="F8" s="623">
        <f t="shared" si="9"/>
        <v>4</v>
      </c>
      <c r="G8" s="623">
        <v>278</v>
      </c>
      <c r="H8" s="623">
        <v>0</v>
      </c>
      <c r="I8" s="623">
        <v>0</v>
      </c>
      <c r="J8" s="623">
        <f t="shared" si="11"/>
        <v>278</v>
      </c>
      <c r="K8" s="623">
        <f>479+4</f>
        <v>483</v>
      </c>
      <c r="L8" s="623">
        <v>0</v>
      </c>
      <c r="M8" s="623">
        <v>0</v>
      </c>
      <c r="N8" s="623">
        <f t="shared" si="13"/>
        <v>483</v>
      </c>
      <c r="O8" s="623">
        <v>278</v>
      </c>
      <c r="P8" s="623">
        <v>0</v>
      </c>
      <c r="Q8" s="623">
        <v>0</v>
      </c>
      <c r="R8" s="623">
        <f t="shared" si="15"/>
        <v>278</v>
      </c>
      <c r="S8" s="623"/>
      <c r="T8" s="623">
        <v>0</v>
      </c>
      <c r="U8" s="623">
        <v>0</v>
      </c>
      <c r="V8" s="623">
        <f t="shared" si="17"/>
        <v>0</v>
      </c>
      <c r="W8" s="623">
        <f>0+352+103</f>
        <v>455</v>
      </c>
      <c r="X8" s="623">
        <v>0</v>
      </c>
      <c r="Y8" s="623">
        <v>0</v>
      </c>
      <c r="Z8" s="623">
        <f t="shared" si="19"/>
        <v>455</v>
      </c>
    </row>
    <row r="9" spans="1:26" s="621" customFormat="1" x14ac:dyDescent="0.25">
      <c r="A9" s="618"/>
      <c r="B9" s="622" t="s">
        <v>473</v>
      </c>
      <c r="C9" s="623">
        <v>306928</v>
      </c>
      <c r="D9" s="623">
        <v>0</v>
      </c>
      <c r="E9" s="623">
        <v>0</v>
      </c>
      <c r="F9" s="623">
        <f t="shared" si="9"/>
        <v>306928</v>
      </c>
      <c r="G9" s="623">
        <v>310842</v>
      </c>
      <c r="H9" s="623">
        <v>0</v>
      </c>
      <c r="I9" s="623">
        <v>0</v>
      </c>
      <c r="J9" s="623">
        <f t="shared" si="11"/>
        <v>310842</v>
      </c>
      <c r="K9" s="623">
        <f>303118+2304+6656-4</f>
        <v>312074</v>
      </c>
      <c r="L9" s="623">
        <v>0</v>
      </c>
      <c r="M9" s="623">
        <v>0</v>
      </c>
      <c r="N9" s="623">
        <f t="shared" si="13"/>
        <v>312074</v>
      </c>
      <c r="O9" s="623">
        <v>315578</v>
      </c>
      <c r="P9" s="623">
        <v>0</v>
      </c>
      <c r="Q9" s="623">
        <v>0</v>
      </c>
      <c r="R9" s="623">
        <f t="shared" si="15"/>
        <v>315578</v>
      </c>
      <c r="S9" s="623">
        <f>+(211495800+105391534+7794500)/1000</f>
        <v>324681.83399999997</v>
      </c>
      <c r="T9" s="623">
        <v>0</v>
      </c>
      <c r="U9" s="623">
        <v>0</v>
      </c>
      <c r="V9" s="623">
        <f t="shared" si="17"/>
        <v>324681.83399999997</v>
      </c>
      <c r="W9" s="623">
        <f>+(211495800+105391534+7794500)/1000</f>
        <v>324681.83399999997</v>
      </c>
      <c r="X9" s="623">
        <v>0</v>
      </c>
      <c r="Y9" s="623">
        <v>0</v>
      </c>
      <c r="Z9" s="623">
        <f t="shared" si="19"/>
        <v>324681.83399999997</v>
      </c>
    </row>
    <row r="10" spans="1:26" s="621" customFormat="1" ht="28.55" x14ac:dyDescent="0.25">
      <c r="A10" s="618"/>
      <c r="B10" s="622" t="s">
        <v>474</v>
      </c>
      <c r="C10" s="623">
        <v>188141</v>
      </c>
      <c r="D10" s="623">
        <v>0</v>
      </c>
      <c r="E10" s="623">
        <v>0</v>
      </c>
      <c r="F10" s="623">
        <f t="shared" si="9"/>
        <v>188141</v>
      </c>
      <c r="G10" s="623">
        <v>240403</v>
      </c>
      <c r="H10" s="623">
        <v>0</v>
      </c>
      <c r="I10" s="623">
        <v>0</v>
      </c>
      <c r="J10" s="623">
        <f t="shared" si="11"/>
        <v>240403</v>
      </c>
      <c r="K10" s="623">
        <f>172450+1323+522+1333+522+2681+1087</f>
        <v>179918</v>
      </c>
      <c r="L10" s="623">
        <v>0</v>
      </c>
      <c r="M10" s="623">
        <v>0</v>
      </c>
      <c r="N10" s="623">
        <f t="shared" si="13"/>
        <v>179918</v>
      </c>
      <c r="O10" s="623">
        <v>244815</v>
      </c>
      <c r="P10" s="623">
        <v>0</v>
      </c>
      <c r="Q10" s="623">
        <v>0</v>
      </c>
      <c r="R10" s="623">
        <f t="shared" si="15"/>
        <v>244815</v>
      </c>
      <c r="S10" s="623">
        <f>+(9180000+8192360+71231000+99990857+49020+36831200+32062000)/1000</f>
        <v>257536.43700000001</v>
      </c>
      <c r="T10" s="623">
        <v>0</v>
      </c>
      <c r="U10" s="623">
        <v>0</v>
      </c>
      <c r="V10" s="623">
        <f t="shared" si="17"/>
        <v>257536.43700000001</v>
      </c>
      <c r="W10" s="623">
        <f>257536+2754+1397</f>
        <v>261687</v>
      </c>
      <c r="X10" s="623">
        <v>0</v>
      </c>
      <c r="Y10" s="623">
        <v>0</v>
      </c>
      <c r="Z10" s="623">
        <f t="shared" si="19"/>
        <v>261687</v>
      </c>
    </row>
    <row r="11" spans="1:26" s="621" customFormat="1" x14ac:dyDescent="0.25">
      <c r="A11" s="618"/>
      <c r="B11" s="622" t="s">
        <v>475</v>
      </c>
      <c r="C11" s="623">
        <v>16883</v>
      </c>
      <c r="D11" s="623">
        <v>12200</v>
      </c>
      <c r="E11" s="623">
        <v>0</v>
      </c>
      <c r="F11" s="623">
        <f t="shared" si="9"/>
        <v>29083</v>
      </c>
      <c r="G11" s="623">
        <v>21177</v>
      </c>
      <c r="H11" s="623">
        <v>12200</v>
      </c>
      <c r="I11" s="623">
        <v>0</v>
      </c>
      <c r="J11" s="623">
        <f t="shared" si="11"/>
        <v>33377</v>
      </c>
      <c r="K11" s="623">
        <f>17460+1715</f>
        <v>19175</v>
      </c>
      <c r="L11" s="623">
        <v>12000</v>
      </c>
      <c r="M11" s="623">
        <v>0</v>
      </c>
      <c r="N11" s="623">
        <f t="shared" si="13"/>
        <v>31175</v>
      </c>
      <c r="O11" s="623">
        <v>34224</v>
      </c>
      <c r="P11" s="623">
        <v>12200</v>
      </c>
      <c r="Q11" s="623">
        <v>0</v>
      </c>
      <c r="R11" s="623">
        <f t="shared" si="15"/>
        <v>46424</v>
      </c>
      <c r="S11" s="623">
        <f>17013810/1000</f>
        <v>17013.810000000001</v>
      </c>
      <c r="T11" s="623">
        <v>12600</v>
      </c>
      <c r="U11" s="623">
        <v>0</v>
      </c>
      <c r="V11" s="623">
        <f t="shared" si="17"/>
        <v>29613.81</v>
      </c>
      <c r="W11" s="623">
        <f>17014+1308+453</f>
        <v>18775</v>
      </c>
      <c r="X11" s="623">
        <v>12600</v>
      </c>
      <c r="Y11" s="623">
        <v>0</v>
      </c>
      <c r="Z11" s="623">
        <f t="shared" si="19"/>
        <v>31375</v>
      </c>
    </row>
    <row r="12" spans="1:26" x14ac:dyDescent="0.25">
      <c r="A12" s="618"/>
      <c r="B12" s="622" t="s">
        <v>476</v>
      </c>
      <c r="C12" s="624">
        <v>0</v>
      </c>
      <c r="D12" s="624">
        <v>0</v>
      </c>
      <c r="E12" s="624">
        <v>0</v>
      </c>
      <c r="F12" s="624">
        <f t="shared" si="9"/>
        <v>0</v>
      </c>
      <c r="G12" s="624">
        <v>0</v>
      </c>
      <c r="H12" s="624">
        <v>0</v>
      </c>
      <c r="I12" s="624">
        <v>0</v>
      </c>
      <c r="J12" s="624">
        <f t="shared" si="11"/>
        <v>0</v>
      </c>
      <c r="K12" s="624">
        <f>1766+1143-479</f>
        <v>2430</v>
      </c>
      <c r="L12" s="624">
        <v>0</v>
      </c>
      <c r="M12" s="624">
        <v>0</v>
      </c>
      <c r="N12" s="624">
        <f t="shared" si="13"/>
        <v>2430</v>
      </c>
      <c r="O12" s="624"/>
      <c r="P12" s="624">
        <v>0</v>
      </c>
      <c r="Q12" s="624">
        <v>0</v>
      </c>
      <c r="R12" s="624">
        <f t="shared" si="15"/>
        <v>0</v>
      </c>
      <c r="S12" s="624">
        <v>0</v>
      </c>
      <c r="T12" s="624">
        <v>0</v>
      </c>
      <c r="U12" s="624">
        <v>0</v>
      </c>
      <c r="V12" s="624">
        <f t="shared" si="17"/>
        <v>0</v>
      </c>
      <c r="W12" s="624">
        <v>0</v>
      </c>
      <c r="X12" s="624">
        <v>0</v>
      </c>
      <c r="Y12" s="624">
        <v>0</v>
      </c>
      <c r="Z12" s="624">
        <f t="shared" si="19"/>
        <v>0</v>
      </c>
    </row>
    <row r="13" spans="1:26" ht="15.8" customHeight="1" x14ac:dyDescent="0.25">
      <c r="A13" s="618"/>
      <c r="B13" s="622" t="s">
        <v>477</v>
      </c>
      <c r="C13" s="624">
        <v>0</v>
      </c>
      <c r="D13" s="624">
        <v>0</v>
      </c>
      <c r="E13" s="624">
        <v>0</v>
      </c>
      <c r="F13" s="624">
        <f t="shared" si="9"/>
        <v>0</v>
      </c>
      <c r="G13" s="624">
        <v>0</v>
      </c>
      <c r="H13" s="624">
        <v>0</v>
      </c>
      <c r="I13" s="624">
        <v>0</v>
      </c>
      <c r="J13" s="624">
        <f t="shared" si="11"/>
        <v>0</v>
      </c>
      <c r="K13" s="624">
        <v>0</v>
      </c>
      <c r="L13" s="624">
        <v>0</v>
      </c>
      <c r="M13" s="624">
        <v>0</v>
      </c>
      <c r="N13" s="624">
        <f t="shared" si="13"/>
        <v>0</v>
      </c>
      <c r="O13" s="624"/>
      <c r="P13" s="624"/>
      <c r="Q13" s="624">
        <v>0</v>
      </c>
      <c r="R13" s="624">
        <f t="shared" si="15"/>
        <v>0</v>
      </c>
      <c r="S13" s="624">
        <v>0</v>
      </c>
      <c r="T13" s="624">
        <v>0</v>
      </c>
      <c r="U13" s="624">
        <v>0</v>
      </c>
      <c r="V13" s="624">
        <f t="shared" si="17"/>
        <v>0</v>
      </c>
      <c r="W13" s="624">
        <v>0</v>
      </c>
      <c r="X13" s="624">
        <v>0</v>
      </c>
      <c r="Y13" s="624">
        <v>0</v>
      </c>
      <c r="Z13" s="624">
        <f t="shared" si="19"/>
        <v>0</v>
      </c>
    </row>
    <row r="14" spans="1:26" x14ac:dyDescent="0.25">
      <c r="A14" s="618"/>
      <c r="B14" s="622" t="s">
        <v>478</v>
      </c>
      <c r="C14" s="624">
        <v>0</v>
      </c>
      <c r="D14" s="624">
        <v>0</v>
      </c>
      <c r="E14" s="624">
        <v>0</v>
      </c>
      <c r="F14" s="624">
        <f t="shared" si="9"/>
        <v>0</v>
      </c>
      <c r="G14" s="624">
        <v>4781</v>
      </c>
      <c r="H14" s="624">
        <v>0</v>
      </c>
      <c r="I14" s="624">
        <v>0</v>
      </c>
      <c r="J14" s="624">
        <f t="shared" si="11"/>
        <v>4781</v>
      </c>
      <c r="K14" s="624">
        <v>0</v>
      </c>
      <c r="L14" s="624">
        <v>2932</v>
      </c>
      <c r="M14" s="624">
        <v>0</v>
      </c>
      <c r="N14" s="624">
        <f t="shared" si="13"/>
        <v>2932</v>
      </c>
      <c r="O14" s="624">
        <v>4942</v>
      </c>
      <c r="P14" s="624">
        <v>0</v>
      </c>
      <c r="Q14" s="624"/>
      <c r="R14" s="624">
        <f t="shared" si="15"/>
        <v>4942</v>
      </c>
      <c r="S14" s="624">
        <v>0</v>
      </c>
      <c r="T14" s="624">
        <v>0</v>
      </c>
      <c r="U14" s="624">
        <v>0</v>
      </c>
      <c r="V14" s="624">
        <f t="shared" si="17"/>
        <v>0</v>
      </c>
      <c r="W14" s="624">
        <v>0</v>
      </c>
      <c r="X14" s="624">
        <v>0</v>
      </c>
      <c r="Y14" s="624">
        <v>0</v>
      </c>
      <c r="Z14" s="624">
        <f t="shared" si="19"/>
        <v>0</v>
      </c>
    </row>
    <row r="15" spans="1:26" x14ac:dyDescent="0.25">
      <c r="A15" s="618"/>
      <c r="B15" s="651" t="s">
        <v>1477</v>
      </c>
      <c r="C15" s="624"/>
      <c r="D15" s="624"/>
      <c r="E15" s="624"/>
      <c r="F15" s="624"/>
      <c r="G15" s="624">
        <v>4425</v>
      </c>
      <c r="H15" s="624"/>
      <c r="I15" s="624"/>
      <c r="J15" s="624">
        <f t="shared" si="11"/>
        <v>4425</v>
      </c>
      <c r="K15" s="624"/>
      <c r="L15" s="624"/>
      <c r="M15" s="624"/>
      <c r="N15" s="624"/>
      <c r="O15" s="624">
        <v>4425</v>
      </c>
      <c r="P15" s="624"/>
      <c r="Q15" s="624"/>
      <c r="R15" s="624">
        <f t="shared" si="15"/>
        <v>4425</v>
      </c>
      <c r="S15" s="624"/>
      <c r="T15" s="624"/>
      <c r="U15" s="624"/>
      <c r="V15" s="624"/>
      <c r="W15" s="624"/>
      <c r="X15" s="624"/>
      <c r="Y15" s="624"/>
      <c r="Z15" s="624"/>
    </row>
    <row r="16" spans="1:26" x14ac:dyDescent="0.25">
      <c r="A16" s="618"/>
      <c r="B16" s="619" t="s">
        <v>479</v>
      </c>
      <c r="C16" s="625">
        <v>0</v>
      </c>
      <c r="D16" s="625">
        <v>0</v>
      </c>
      <c r="E16" s="625">
        <v>0</v>
      </c>
      <c r="F16" s="625">
        <f t="shared" si="9"/>
        <v>0</v>
      </c>
      <c r="G16" s="625">
        <v>14810</v>
      </c>
      <c r="H16" s="625">
        <v>0</v>
      </c>
      <c r="I16" s="625">
        <v>0</v>
      </c>
      <c r="J16" s="625">
        <f t="shared" si="11"/>
        <v>14810</v>
      </c>
      <c r="K16" s="625">
        <v>0</v>
      </c>
      <c r="L16" s="625">
        <v>41898</v>
      </c>
      <c r="M16" s="625">
        <v>0</v>
      </c>
      <c r="N16" s="625">
        <f t="shared" si="13"/>
        <v>41898</v>
      </c>
      <c r="O16" s="625">
        <v>14810</v>
      </c>
      <c r="P16" s="625"/>
      <c r="Q16" s="625">
        <v>0</v>
      </c>
      <c r="R16" s="625">
        <f t="shared" si="15"/>
        <v>14810</v>
      </c>
      <c r="S16" s="625">
        <v>0</v>
      </c>
      <c r="T16" s="625">
        <v>0</v>
      </c>
      <c r="U16" s="625">
        <v>0</v>
      </c>
      <c r="V16" s="625">
        <f t="shared" si="17"/>
        <v>0</v>
      </c>
      <c r="W16" s="625">
        <v>0</v>
      </c>
      <c r="X16" s="625">
        <v>0</v>
      </c>
      <c r="Y16" s="625">
        <v>0</v>
      </c>
      <c r="Z16" s="625">
        <f t="shared" ref="Z16:Z56" si="27">SUM(W16:Y16)</f>
        <v>0</v>
      </c>
    </row>
    <row r="17" spans="1:26" ht="28.55" x14ac:dyDescent="0.25">
      <c r="A17" s="618"/>
      <c r="B17" s="619" t="s">
        <v>480</v>
      </c>
      <c r="C17" s="625">
        <v>0</v>
      </c>
      <c r="D17" s="625">
        <v>0</v>
      </c>
      <c r="E17" s="625">
        <v>0</v>
      </c>
      <c r="F17" s="625">
        <f t="shared" si="9"/>
        <v>0</v>
      </c>
      <c r="G17" s="625">
        <v>0</v>
      </c>
      <c r="H17" s="625">
        <v>0</v>
      </c>
      <c r="I17" s="625">
        <v>0</v>
      </c>
      <c r="J17" s="625">
        <f t="shared" si="11"/>
        <v>0</v>
      </c>
      <c r="K17" s="625">
        <v>0</v>
      </c>
      <c r="L17" s="625">
        <v>0</v>
      </c>
      <c r="M17" s="625">
        <v>0</v>
      </c>
      <c r="N17" s="625">
        <f t="shared" si="13"/>
        <v>0</v>
      </c>
      <c r="O17" s="625">
        <v>0</v>
      </c>
      <c r="P17" s="625">
        <v>0</v>
      </c>
      <c r="Q17" s="625">
        <v>0</v>
      </c>
      <c r="R17" s="625">
        <f t="shared" si="15"/>
        <v>0</v>
      </c>
      <c r="S17" s="625">
        <v>0</v>
      </c>
      <c r="T17" s="625">
        <v>0</v>
      </c>
      <c r="U17" s="625">
        <v>0</v>
      </c>
      <c r="V17" s="625">
        <f t="shared" si="17"/>
        <v>0</v>
      </c>
      <c r="W17" s="625">
        <v>0</v>
      </c>
      <c r="X17" s="625">
        <v>0</v>
      </c>
      <c r="Y17" s="625">
        <v>0</v>
      </c>
      <c r="Z17" s="625">
        <f t="shared" si="27"/>
        <v>0</v>
      </c>
    </row>
    <row r="18" spans="1:26" ht="28.55" x14ac:dyDescent="0.25">
      <c r="A18" s="618"/>
      <c r="B18" s="619" t="s">
        <v>481</v>
      </c>
      <c r="C18" s="625">
        <f t="shared" ref="C18:E18" si="28">C19+C20+C23+C24</f>
        <v>40393</v>
      </c>
      <c r="D18" s="625">
        <f t="shared" si="28"/>
        <v>600</v>
      </c>
      <c r="E18" s="625">
        <f t="shared" si="28"/>
        <v>0</v>
      </c>
      <c r="F18" s="625">
        <f t="shared" si="9"/>
        <v>40993</v>
      </c>
      <c r="G18" s="625">
        <f t="shared" ref="G18:I18" si="29">G19+G20+G23+G24</f>
        <v>41216</v>
      </c>
      <c r="H18" s="625">
        <f t="shared" si="29"/>
        <v>600</v>
      </c>
      <c r="I18" s="625">
        <f t="shared" si="29"/>
        <v>0</v>
      </c>
      <c r="J18" s="625">
        <f t="shared" si="11"/>
        <v>41816</v>
      </c>
      <c r="K18" s="625">
        <f t="shared" ref="K18:M18" si="30">K19+K20+K23+K24</f>
        <v>40393</v>
      </c>
      <c r="L18" s="625">
        <f t="shared" si="30"/>
        <v>600</v>
      </c>
      <c r="M18" s="625">
        <f t="shared" si="30"/>
        <v>0</v>
      </c>
      <c r="N18" s="625">
        <f t="shared" si="13"/>
        <v>40993</v>
      </c>
      <c r="O18" s="625">
        <v>42669</v>
      </c>
      <c r="P18" s="625">
        <f t="shared" ref="P18:Q18" si="31">P19+P20+P23+P24</f>
        <v>0</v>
      </c>
      <c r="Q18" s="625">
        <f t="shared" si="31"/>
        <v>0</v>
      </c>
      <c r="R18" s="625">
        <f t="shared" si="15"/>
        <v>42669</v>
      </c>
      <c r="S18" s="625">
        <f t="shared" ref="S18:U18" si="32">S19+S20+S23+S24</f>
        <v>0</v>
      </c>
      <c r="T18" s="625">
        <f t="shared" si="32"/>
        <v>0</v>
      </c>
      <c r="U18" s="625">
        <f t="shared" si="32"/>
        <v>0</v>
      </c>
      <c r="V18" s="625">
        <f t="shared" si="17"/>
        <v>0</v>
      </c>
      <c r="W18" s="625">
        <f t="shared" ref="W18:Y18" si="33">W19+W20+W23+W24</f>
        <v>0</v>
      </c>
      <c r="X18" s="625">
        <f t="shared" si="33"/>
        <v>0</v>
      </c>
      <c r="Y18" s="625">
        <f t="shared" si="33"/>
        <v>0</v>
      </c>
      <c r="Z18" s="625">
        <f t="shared" si="27"/>
        <v>0</v>
      </c>
    </row>
    <row r="19" spans="1:26" ht="30.1" hidden="1" x14ac:dyDescent="0.25">
      <c r="A19" s="618"/>
      <c r="B19" s="622" t="s">
        <v>482</v>
      </c>
      <c r="C19" s="624">
        <v>33000</v>
      </c>
      <c r="D19" s="624">
        <v>0</v>
      </c>
      <c r="E19" s="624">
        <v>0</v>
      </c>
      <c r="F19" s="624">
        <f t="shared" si="9"/>
        <v>33000</v>
      </c>
      <c r="G19" s="624">
        <v>33000</v>
      </c>
      <c r="H19" s="624">
        <v>0</v>
      </c>
      <c r="I19" s="624">
        <v>0</v>
      </c>
      <c r="J19" s="624">
        <f t="shared" si="11"/>
        <v>33000</v>
      </c>
      <c r="K19" s="624">
        <v>33000</v>
      </c>
      <c r="L19" s="624">
        <v>0</v>
      </c>
      <c r="M19" s="624">
        <v>0</v>
      </c>
      <c r="N19" s="624">
        <f t="shared" si="13"/>
        <v>33000</v>
      </c>
      <c r="O19" s="624"/>
      <c r="P19" s="624">
        <v>0</v>
      </c>
      <c r="Q19" s="624">
        <v>0</v>
      </c>
      <c r="R19" s="624">
        <f t="shared" si="15"/>
        <v>0</v>
      </c>
      <c r="S19" s="624"/>
      <c r="T19" s="624">
        <v>0</v>
      </c>
      <c r="U19" s="624">
        <v>0</v>
      </c>
      <c r="V19" s="624">
        <f t="shared" si="17"/>
        <v>0</v>
      </c>
      <c r="W19" s="624"/>
      <c r="X19" s="624">
        <v>0</v>
      </c>
      <c r="Y19" s="624">
        <v>0</v>
      </c>
      <c r="Z19" s="624">
        <f t="shared" si="27"/>
        <v>0</v>
      </c>
    </row>
    <row r="20" spans="1:26" ht="14.95" hidden="1" x14ac:dyDescent="0.25">
      <c r="A20" s="618"/>
      <c r="B20" s="622" t="s">
        <v>483</v>
      </c>
      <c r="C20" s="624">
        <f t="shared" ref="C20:E20" si="34">C21+C22</f>
        <v>7393</v>
      </c>
      <c r="D20" s="624">
        <f t="shared" si="34"/>
        <v>600</v>
      </c>
      <c r="E20" s="624">
        <f t="shared" si="34"/>
        <v>0</v>
      </c>
      <c r="F20" s="624">
        <f t="shared" si="9"/>
        <v>7993</v>
      </c>
      <c r="G20" s="624">
        <f t="shared" ref="G20:I20" si="35">G21+G22</f>
        <v>7393</v>
      </c>
      <c r="H20" s="624">
        <f t="shared" si="35"/>
        <v>600</v>
      </c>
      <c r="I20" s="624">
        <f t="shared" si="35"/>
        <v>0</v>
      </c>
      <c r="J20" s="624">
        <f t="shared" si="11"/>
        <v>7993</v>
      </c>
      <c r="K20" s="624">
        <v>7393</v>
      </c>
      <c r="L20" s="624">
        <v>600</v>
      </c>
      <c r="M20" s="624">
        <f t="shared" ref="M20" si="36">M21+M22</f>
        <v>0</v>
      </c>
      <c r="N20" s="624">
        <f t="shared" si="13"/>
        <v>7993</v>
      </c>
      <c r="O20" s="624"/>
      <c r="P20" s="624"/>
      <c r="Q20" s="624">
        <f t="shared" ref="Q20" si="37">Q21+Q22</f>
        <v>0</v>
      </c>
      <c r="R20" s="624">
        <f t="shared" si="15"/>
        <v>0</v>
      </c>
      <c r="S20" s="624"/>
      <c r="T20" s="624"/>
      <c r="U20" s="624">
        <f t="shared" ref="U20" si="38">U21+U22</f>
        <v>0</v>
      </c>
      <c r="V20" s="624">
        <f t="shared" si="17"/>
        <v>0</v>
      </c>
      <c r="W20" s="624"/>
      <c r="X20" s="624"/>
      <c r="Y20" s="624">
        <f t="shared" ref="Y20" si="39">Y21+Y22</f>
        <v>0</v>
      </c>
      <c r="Z20" s="624">
        <f t="shared" si="27"/>
        <v>0</v>
      </c>
    </row>
    <row r="21" spans="1:26" ht="14.95" hidden="1" x14ac:dyDescent="0.25">
      <c r="A21" s="618"/>
      <c r="B21" s="626" t="s">
        <v>484</v>
      </c>
      <c r="C21" s="624"/>
      <c r="D21" s="624">
        <v>600</v>
      </c>
      <c r="E21" s="624">
        <v>0</v>
      </c>
      <c r="F21" s="624">
        <f t="shared" si="9"/>
        <v>600</v>
      </c>
      <c r="G21" s="624"/>
      <c r="H21" s="624">
        <v>600</v>
      </c>
      <c r="I21" s="624">
        <v>0</v>
      </c>
      <c r="J21" s="624">
        <f t="shared" si="11"/>
        <v>600</v>
      </c>
      <c r="K21" s="624"/>
      <c r="L21" s="624">
        <v>600</v>
      </c>
      <c r="M21" s="624">
        <v>0</v>
      </c>
      <c r="N21" s="624">
        <f t="shared" si="13"/>
        <v>600</v>
      </c>
      <c r="O21" s="624"/>
      <c r="P21" s="624"/>
      <c r="Q21" s="624">
        <v>0</v>
      </c>
      <c r="R21" s="624">
        <f t="shared" si="15"/>
        <v>0</v>
      </c>
      <c r="S21" s="624"/>
      <c r="T21" s="624"/>
      <c r="U21" s="624">
        <v>0</v>
      </c>
      <c r="V21" s="624">
        <f t="shared" si="17"/>
        <v>0</v>
      </c>
      <c r="W21" s="624"/>
      <c r="X21" s="624"/>
      <c r="Y21" s="624">
        <v>0</v>
      </c>
      <c r="Z21" s="624">
        <f t="shared" si="27"/>
        <v>0</v>
      </c>
    </row>
    <row r="22" spans="1:26" ht="14.95" hidden="1" x14ac:dyDescent="0.25">
      <c r="A22" s="618"/>
      <c r="B22" s="626" t="s">
        <v>485</v>
      </c>
      <c r="C22" s="624">
        <v>7393</v>
      </c>
      <c r="D22" s="624">
        <v>0</v>
      </c>
      <c r="E22" s="624">
        <v>0</v>
      </c>
      <c r="F22" s="624">
        <f t="shared" si="9"/>
        <v>7393</v>
      </c>
      <c r="G22" s="624">
        <v>7393</v>
      </c>
      <c r="H22" s="624">
        <v>0</v>
      </c>
      <c r="I22" s="624">
        <v>0</v>
      </c>
      <c r="J22" s="624">
        <f t="shared" si="11"/>
        <v>7393</v>
      </c>
      <c r="K22" s="624">
        <v>7393</v>
      </c>
      <c r="L22" s="624">
        <v>0</v>
      </c>
      <c r="M22" s="624">
        <v>0</v>
      </c>
      <c r="N22" s="624">
        <f t="shared" si="13"/>
        <v>7393</v>
      </c>
      <c r="O22" s="624"/>
      <c r="P22" s="624">
        <v>0</v>
      </c>
      <c r="Q22" s="624">
        <v>0</v>
      </c>
      <c r="R22" s="624">
        <f t="shared" si="15"/>
        <v>0</v>
      </c>
      <c r="S22" s="624"/>
      <c r="T22" s="624">
        <v>0</v>
      </c>
      <c r="U22" s="624">
        <v>0</v>
      </c>
      <c r="V22" s="624">
        <f t="shared" si="17"/>
        <v>0</v>
      </c>
      <c r="W22" s="624"/>
      <c r="X22" s="624">
        <v>0</v>
      </c>
      <c r="Y22" s="624">
        <v>0</v>
      </c>
      <c r="Z22" s="624">
        <f t="shared" si="27"/>
        <v>0</v>
      </c>
    </row>
    <row r="23" spans="1:26" ht="14.95" hidden="1" x14ac:dyDescent="0.25">
      <c r="A23" s="618"/>
      <c r="B23" s="622" t="s">
        <v>486</v>
      </c>
      <c r="C23" s="624">
        <v>0</v>
      </c>
      <c r="D23" s="624">
        <v>0</v>
      </c>
      <c r="E23" s="624">
        <v>0</v>
      </c>
      <c r="F23" s="624">
        <f t="shared" si="9"/>
        <v>0</v>
      </c>
      <c r="G23" s="624">
        <v>823</v>
      </c>
      <c r="H23" s="624">
        <v>0</v>
      </c>
      <c r="I23" s="624">
        <v>0</v>
      </c>
      <c r="J23" s="624">
        <f t="shared" si="11"/>
        <v>823</v>
      </c>
      <c r="K23" s="624">
        <v>0</v>
      </c>
      <c r="L23" s="624">
        <v>0</v>
      </c>
      <c r="M23" s="624">
        <v>0</v>
      </c>
      <c r="N23" s="624">
        <f t="shared" si="13"/>
        <v>0</v>
      </c>
      <c r="O23" s="624">
        <v>0</v>
      </c>
      <c r="P23" s="624">
        <v>0</v>
      </c>
      <c r="Q23" s="624">
        <v>0</v>
      </c>
      <c r="R23" s="624">
        <f t="shared" si="15"/>
        <v>0</v>
      </c>
      <c r="S23" s="624">
        <v>0</v>
      </c>
      <c r="T23" s="624">
        <v>0</v>
      </c>
      <c r="U23" s="624">
        <v>0</v>
      </c>
      <c r="V23" s="624">
        <f t="shared" si="17"/>
        <v>0</v>
      </c>
      <c r="W23" s="624">
        <v>0</v>
      </c>
      <c r="X23" s="624">
        <v>0</v>
      </c>
      <c r="Y23" s="624">
        <v>0</v>
      </c>
      <c r="Z23" s="624">
        <f t="shared" si="27"/>
        <v>0</v>
      </c>
    </row>
    <row r="24" spans="1:26" ht="14.95" hidden="1" x14ac:dyDescent="0.25">
      <c r="A24" s="618"/>
      <c r="B24" s="622" t="s">
        <v>487</v>
      </c>
      <c r="C24" s="624">
        <v>0</v>
      </c>
      <c r="D24" s="624">
        <v>0</v>
      </c>
      <c r="E24" s="624">
        <v>0</v>
      </c>
      <c r="F24" s="624">
        <f t="shared" si="9"/>
        <v>0</v>
      </c>
      <c r="G24" s="624">
        <v>0</v>
      </c>
      <c r="H24" s="624">
        <v>0</v>
      </c>
      <c r="I24" s="624">
        <v>0</v>
      </c>
      <c r="J24" s="624">
        <f t="shared" si="11"/>
        <v>0</v>
      </c>
      <c r="K24" s="624">
        <v>0</v>
      </c>
      <c r="L24" s="624">
        <v>0</v>
      </c>
      <c r="M24" s="624">
        <v>0</v>
      </c>
      <c r="N24" s="624">
        <f t="shared" si="13"/>
        <v>0</v>
      </c>
      <c r="O24" s="624">
        <v>0</v>
      </c>
      <c r="P24" s="624">
        <v>0</v>
      </c>
      <c r="Q24" s="624">
        <v>0</v>
      </c>
      <c r="R24" s="624">
        <f t="shared" si="15"/>
        <v>0</v>
      </c>
      <c r="S24" s="624">
        <v>0</v>
      </c>
      <c r="T24" s="624">
        <v>0</v>
      </c>
      <c r="U24" s="624">
        <v>0</v>
      </c>
      <c r="V24" s="624">
        <f t="shared" si="17"/>
        <v>0</v>
      </c>
      <c r="W24" s="624">
        <v>0</v>
      </c>
      <c r="X24" s="624">
        <v>0</v>
      </c>
      <c r="Y24" s="624">
        <v>0</v>
      </c>
      <c r="Z24" s="624">
        <f t="shared" si="27"/>
        <v>0</v>
      </c>
    </row>
    <row r="25" spans="1:26" x14ac:dyDescent="0.25">
      <c r="A25" s="615" t="s">
        <v>322</v>
      </c>
      <c r="B25" s="616" t="s">
        <v>488</v>
      </c>
      <c r="C25" s="617">
        <f t="shared" ref="C25:D25" si="40">C26+C29+C32+C36</f>
        <v>3106500</v>
      </c>
      <c r="D25" s="617">
        <f t="shared" si="40"/>
        <v>0</v>
      </c>
      <c r="E25" s="617">
        <f t="shared" ref="E25" si="41">E26+E29+E32+E36</f>
        <v>0</v>
      </c>
      <c r="F25" s="617">
        <f t="shared" si="9"/>
        <v>3106500</v>
      </c>
      <c r="G25" s="617">
        <f t="shared" ref="G25:I25" si="42">G26+G29+G32+G36</f>
        <v>3106500</v>
      </c>
      <c r="H25" s="617">
        <f t="shared" si="42"/>
        <v>0</v>
      </c>
      <c r="I25" s="617">
        <f t="shared" si="42"/>
        <v>0</v>
      </c>
      <c r="J25" s="617">
        <f t="shared" si="11"/>
        <v>3106500</v>
      </c>
      <c r="K25" s="617">
        <f t="shared" ref="K25:M25" si="43">K26+K29+K32+K36</f>
        <v>3124500</v>
      </c>
      <c r="L25" s="617">
        <f t="shared" si="43"/>
        <v>0</v>
      </c>
      <c r="M25" s="617">
        <f t="shared" si="43"/>
        <v>0</v>
      </c>
      <c r="N25" s="617">
        <f t="shared" si="13"/>
        <v>3124500</v>
      </c>
      <c r="O25" s="617">
        <f t="shared" ref="O25:Q25" si="44">O26+O29+O32+O36</f>
        <v>3294754</v>
      </c>
      <c r="P25" s="617">
        <f t="shared" si="44"/>
        <v>0</v>
      </c>
      <c r="Q25" s="617">
        <f t="shared" si="44"/>
        <v>0</v>
      </c>
      <c r="R25" s="617">
        <f t="shared" si="15"/>
        <v>3294754</v>
      </c>
      <c r="S25" s="617">
        <f t="shared" ref="S25:U25" si="45">S26+S29+S32+S36</f>
        <v>3316500</v>
      </c>
      <c r="T25" s="617">
        <f t="shared" si="45"/>
        <v>0</v>
      </c>
      <c r="U25" s="617">
        <f t="shared" si="45"/>
        <v>0</v>
      </c>
      <c r="V25" s="617">
        <f t="shared" si="17"/>
        <v>3316500</v>
      </c>
      <c r="W25" s="617">
        <f t="shared" ref="W25:Y25" si="46">W26+W29+W32+W36</f>
        <v>3316500</v>
      </c>
      <c r="X25" s="617">
        <f t="shared" si="46"/>
        <v>0</v>
      </c>
      <c r="Y25" s="617">
        <f t="shared" si="46"/>
        <v>0</v>
      </c>
      <c r="Z25" s="617">
        <f t="shared" si="27"/>
        <v>3316500</v>
      </c>
    </row>
    <row r="26" spans="1:26" x14ac:dyDescent="0.25">
      <c r="A26" s="627"/>
      <c r="B26" s="619" t="s">
        <v>489</v>
      </c>
      <c r="C26" s="625">
        <f t="shared" ref="C26:D26" si="47">SUM(C27:C28)</f>
        <v>1220000</v>
      </c>
      <c r="D26" s="625">
        <f t="shared" si="47"/>
        <v>0</v>
      </c>
      <c r="E26" s="625">
        <f t="shared" ref="E26" si="48">SUM(E27:E28)</f>
        <v>0</v>
      </c>
      <c r="F26" s="625">
        <f t="shared" si="9"/>
        <v>1220000</v>
      </c>
      <c r="G26" s="625">
        <f t="shared" ref="G26:I26" si="49">SUM(G27:G28)</f>
        <v>1070000</v>
      </c>
      <c r="H26" s="625">
        <f t="shared" si="49"/>
        <v>0</v>
      </c>
      <c r="I26" s="625">
        <f t="shared" si="49"/>
        <v>0</v>
      </c>
      <c r="J26" s="625">
        <f t="shared" si="11"/>
        <v>1070000</v>
      </c>
      <c r="K26" s="625">
        <f t="shared" ref="K26:M26" si="50">SUM(K27:K28)</f>
        <v>1010000</v>
      </c>
      <c r="L26" s="625">
        <f t="shared" si="50"/>
        <v>0</v>
      </c>
      <c r="M26" s="625">
        <f t="shared" si="50"/>
        <v>0</v>
      </c>
      <c r="N26" s="625">
        <f t="shared" si="13"/>
        <v>1010000</v>
      </c>
      <c r="O26" s="625">
        <f t="shared" ref="O26:Q26" si="51">SUM(O27:O28)</f>
        <v>1060379</v>
      </c>
      <c r="P26" s="625">
        <f t="shared" si="51"/>
        <v>0</v>
      </c>
      <c r="Q26" s="625">
        <f t="shared" si="51"/>
        <v>0</v>
      </c>
      <c r="R26" s="625">
        <f t="shared" si="15"/>
        <v>1060379</v>
      </c>
      <c r="S26" s="625">
        <f t="shared" ref="S26:U26" si="52">SUM(S27:S28)</f>
        <v>1040000</v>
      </c>
      <c r="T26" s="625">
        <f t="shared" si="52"/>
        <v>0</v>
      </c>
      <c r="U26" s="625">
        <f t="shared" si="52"/>
        <v>0</v>
      </c>
      <c r="V26" s="625">
        <f t="shared" si="17"/>
        <v>1040000</v>
      </c>
      <c r="W26" s="625">
        <f t="shared" ref="W26:Y26" si="53">SUM(W27:W28)</f>
        <v>1040000</v>
      </c>
      <c r="X26" s="625">
        <f t="shared" si="53"/>
        <v>0</v>
      </c>
      <c r="Y26" s="625">
        <f t="shared" si="53"/>
        <v>0</v>
      </c>
      <c r="Z26" s="625">
        <f t="shared" si="27"/>
        <v>1040000</v>
      </c>
    </row>
    <row r="27" spans="1:26" x14ac:dyDescent="0.25">
      <c r="A27" s="618"/>
      <c r="B27" s="622" t="s">
        <v>490</v>
      </c>
      <c r="C27" s="624">
        <v>820000</v>
      </c>
      <c r="D27" s="624">
        <v>0</v>
      </c>
      <c r="E27" s="624">
        <v>0</v>
      </c>
      <c r="F27" s="624">
        <f t="shared" si="9"/>
        <v>820000</v>
      </c>
      <c r="G27" s="624">
        <v>670000</v>
      </c>
      <c r="H27" s="624">
        <v>0</v>
      </c>
      <c r="I27" s="624">
        <v>0</v>
      </c>
      <c r="J27" s="624">
        <f t="shared" si="11"/>
        <v>670000</v>
      </c>
      <c r="K27" s="624">
        <v>730000</v>
      </c>
      <c r="L27" s="624">
        <v>0</v>
      </c>
      <c r="M27" s="624">
        <v>0</v>
      </c>
      <c r="N27" s="624">
        <f t="shared" si="13"/>
        <v>730000</v>
      </c>
      <c r="O27" s="624">
        <v>685773</v>
      </c>
      <c r="P27" s="624">
        <v>0</v>
      </c>
      <c r="Q27" s="624">
        <v>0</v>
      </c>
      <c r="R27" s="624">
        <f t="shared" si="15"/>
        <v>685773</v>
      </c>
      <c r="S27" s="624">
        <f>670000+10000</f>
        <v>680000</v>
      </c>
      <c r="T27" s="624">
        <v>0</v>
      </c>
      <c r="U27" s="624">
        <v>0</v>
      </c>
      <c r="V27" s="624">
        <f t="shared" si="17"/>
        <v>680000</v>
      </c>
      <c r="W27" s="624">
        <f>670000+10000</f>
        <v>680000</v>
      </c>
      <c r="X27" s="624">
        <v>0</v>
      </c>
      <c r="Y27" s="624">
        <v>0</v>
      </c>
      <c r="Z27" s="624">
        <f t="shared" si="27"/>
        <v>680000</v>
      </c>
    </row>
    <row r="28" spans="1:26" x14ac:dyDescent="0.25">
      <c r="A28" s="618"/>
      <c r="B28" s="622" t="s">
        <v>491</v>
      </c>
      <c r="C28" s="624">
        <v>400000</v>
      </c>
      <c r="D28" s="624">
        <v>0</v>
      </c>
      <c r="E28" s="624">
        <v>0</v>
      </c>
      <c r="F28" s="624">
        <f t="shared" si="9"/>
        <v>400000</v>
      </c>
      <c r="G28" s="624">
        <v>400000</v>
      </c>
      <c r="H28" s="624">
        <v>0</v>
      </c>
      <c r="I28" s="624">
        <v>0</v>
      </c>
      <c r="J28" s="624">
        <f t="shared" si="11"/>
        <v>400000</v>
      </c>
      <c r="K28" s="624">
        <v>280000</v>
      </c>
      <c r="L28" s="624">
        <v>0</v>
      </c>
      <c r="M28" s="624">
        <v>0</v>
      </c>
      <c r="N28" s="624">
        <f t="shared" si="13"/>
        <v>280000</v>
      </c>
      <c r="O28" s="624">
        <v>374606</v>
      </c>
      <c r="P28" s="624">
        <v>0</v>
      </c>
      <c r="Q28" s="624">
        <v>0</v>
      </c>
      <c r="R28" s="624">
        <f t="shared" si="15"/>
        <v>374606</v>
      </c>
      <c r="S28" s="624">
        <f>350000+10000</f>
        <v>360000</v>
      </c>
      <c r="T28" s="624">
        <v>0</v>
      </c>
      <c r="U28" s="624">
        <v>0</v>
      </c>
      <c r="V28" s="624">
        <f t="shared" si="17"/>
        <v>360000</v>
      </c>
      <c r="W28" s="624">
        <f>350000+10000</f>
        <v>360000</v>
      </c>
      <c r="X28" s="624">
        <v>0</v>
      </c>
      <c r="Y28" s="624">
        <v>0</v>
      </c>
      <c r="Z28" s="624">
        <f t="shared" si="27"/>
        <v>360000</v>
      </c>
    </row>
    <row r="29" spans="1:26" x14ac:dyDescent="0.25">
      <c r="A29" s="618"/>
      <c r="B29" s="619" t="s">
        <v>492</v>
      </c>
      <c r="C29" s="625">
        <f t="shared" ref="C29" si="54">SUM(C30:C31)</f>
        <v>1864000</v>
      </c>
      <c r="D29" s="625">
        <f>SUM(D30:D31)</f>
        <v>0</v>
      </c>
      <c r="E29" s="625">
        <f>SUM(E30:E31)</f>
        <v>0</v>
      </c>
      <c r="F29" s="625">
        <f t="shared" si="9"/>
        <v>1864000</v>
      </c>
      <c r="G29" s="625">
        <f t="shared" ref="G29" si="55">SUM(G30:G31)</f>
        <v>2014000</v>
      </c>
      <c r="H29" s="625">
        <f>SUM(H30:H31)</f>
        <v>0</v>
      </c>
      <c r="I29" s="625">
        <f>SUM(I30:I31)</f>
        <v>0</v>
      </c>
      <c r="J29" s="625">
        <f t="shared" si="11"/>
        <v>2014000</v>
      </c>
      <c r="K29" s="625">
        <f t="shared" ref="K29" si="56">SUM(K30:K31)</f>
        <v>2097000</v>
      </c>
      <c r="L29" s="625">
        <f>SUM(L30:L31)</f>
        <v>0</v>
      </c>
      <c r="M29" s="625">
        <f>SUM(M30:M31)</f>
        <v>0</v>
      </c>
      <c r="N29" s="625">
        <f t="shared" si="13"/>
        <v>2097000</v>
      </c>
      <c r="O29" s="625">
        <f t="shared" ref="O29" si="57">SUM(O30:O31)</f>
        <v>2208831</v>
      </c>
      <c r="P29" s="625">
        <f>SUM(P30:P31)</f>
        <v>0</v>
      </c>
      <c r="Q29" s="625">
        <f>SUM(Q30:Q31)</f>
        <v>0</v>
      </c>
      <c r="R29" s="625">
        <f t="shared" si="15"/>
        <v>2208831</v>
      </c>
      <c r="S29" s="625">
        <f t="shared" ref="S29" si="58">SUM(S30:S31)</f>
        <v>2250000</v>
      </c>
      <c r="T29" s="625">
        <f>SUM(T30:T31)</f>
        <v>0</v>
      </c>
      <c r="U29" s="625">
        <f>SUM(U30:U31)</f>
        <v>0</v>
      </c>
      <c r="V29" s="625">
        <f t="shared" si="17"/>
        <v>2250000</v>
      </c>
      <c r="W29" s="625">
        <f t="shared" ref="W29" si="59">SUM(W30:W31)</f>
        <v>2250000</v>
      </c>
      <c r="X29" s="625">
        <f>SUM(X30:X31)</f>
        <v>0</v>
      </c>
      <c r="Y29" s="625">
        <f>SUM(Y30:Y31)</f>
        <v>0</v>
      </c>
      <c r="Z29" s="625">
        <f t="shared" si="27"/>
        <v>2250000</v>
      </c>
    </row>
    <row r="30" spans="1:26" x14ac:dyDescent="0.25">
      <c r="A30" s="618"/>
      <c r="B30" s="622" t="s">
        <v>493</v>
      </c>
      <c r="C30" s="624">
        <v>1800000</v>
      </c>
      <c r="D30" s="624">
        <v>0</v>
      </c>
      <c r="E30" s="624">
        <v>0</v>
      </c>
      <c r="F30" s="624">
        <f t="shared" si="9"/>
        <v>1800000</v>
      </c>
      <c r="G30" s="624">
        <v>1950000</v>
      </c>
      <c r="H30" s="624">
        <v>0</v>
      </c>
      <c r="I30" s="624">
        <v>0</v>
      </c>
      <c r="J30" s="624">
        <f t="shared" si="11"/>
        <v>1950000</v>
      </c>
      <c r="K30" s="624">
        <v>2035000</v>
      </c>
      <c r="L30" s="624">
        <v>0</v>
      </c>
      <c r="M30" s="624">
        <v>0</v>
      </c>
      <c r="N30" s="624">
        <f t="shared" si="13"/>
        <v>2035000</v>
      </c>
      <c r="O30" s="624">
        <v>2138481</v>
      </c>
      <c r="P30" s="624">
        <v>0</v>
      </c>
      <c r="Q30" s="624">
        <v>0</v>
      </c>
      <c r="R30" s="624">
        <f t="shared" si="15"/>
        <v>2138481</v>
      </c>
      <c r="S30" s="624">
        <f>2150000+30000</f>
        <v>2180000</v>
      </c>
      <c r="T30" s="624">
        <v>0</v>
      </c>
      <c r="U30" s="624">
        <v>0</v>
      </c>
      <c r="V30" s="624">
        <f t="shared" si="17"/>
        <v>2180000</v>
      </c>
      <c r="W30" s="624">
        <f>2150000+30000</f>
        <v>2180000</v>
      </c>
      <c r="X30" s="624">
        <v>0</v>
      </c>
      <c r="Y30" s="624">
        <v>0</v>
      </c>
      <c r="Z30" s="624">
        <f t="shared" si="27"/>
        <v>2180000</v>
      </c>
    </row>
    <row r="31" spans="1:26" x14ac:dyDescent="0.25">
      <c r="A31" s="618"/>
      <c r="B31" s="622" t="s">
        <v>494</v>
      </c>
      <c r="C31" s="624">
        <v>64000</v>
      </c>
      <c r="D31" s="624">
        <v>0</v>
      </c>
      <c r="E31" s="624">
        <v>0</v>
      </c>
      <c r="F31" s="624">
        <f t="shared" si="9"/>
        <v>64000</v>
      </c>
      <c r="G31" s="624">
        <v>64000</v>
      </c>
      <c r="H31" s="624">
        <v>0</v>
      </c>
      <c r="I31" s="624">
        <v>0</v>
      </c>
      <c r="J31" s="624">
        <f t="shared" si="11"/>
        <v>64000</v>
      </c>
      <c r="K31" s="624">
        <v>62000</v>
      </c>
      <c r="L31" s="624">
        <v>0</v>
      </c>
      <c r="M31" s="624">
        <v>0</v>
      </c>
      <c r="N31" s="624">
        <f t="shared" si="13"/>
        <v>62000</v>
      </c>
      <c r="O31" s="624">
        <v>70350</v>
      </c>
      <c r="P31" s="624">
        <v>0</v>
      </c>
      <c r="Q31" s="624">
        <v>0</v>
      </c>
      <c r="R31" s="624">
        <f t="shared" si="15"/>
        <v>70350</v>
      </c>
      <c r="S31" s="624">
        <v>70000</v>
      </c>
      <c r="T31" s="624">
        <v>0</v>
      </c>
      <c r="U31" s="624">
        <v>0</v>
      </c>
      <c r="V31" s="624">
        <f t="shared" si="17"/>
        <v>70000</v>
      </c>
      <c r="W31" s="624">
        <v>70000</v>
      </c>
      <c r="X31" s="624">
        <v>0</v>
      </c>
      <c r="Y31" s="624">
        <v>0</v>
      </c>
      <c r="Z31" s="624">
        <f t="shared" si="27"/>
        <v>70000</v>
      </c>
    </row>
    <row r="32" spans="1:26" x14ac:dyDescent="0.25">
      <c r="A32" s="618"/>
      <c r="B32" s="619" t="s">
        <v>495</v>
      </c>
      <c r="C32" s="625">
        <f t="shared" ref="C32:D32" si="60">SUM(C33:C35)</f>
        <v>10500</v>
      </c>
      <c r="D32" s="625">
        <f t="shared" si="60"/>
        <v>0</v>
      </c>
      <c r="E32" s="625">
        <f t="shared" ref="E32" si="61">SUM(E33:E35)</f>
        <v>0</v>
      </c>
      <c r="F32" s="625">
        <f t="shared" si="9"/>
        <v>10500</v>
      </c>
      <c r="G32" s="625">
        <f t="shared" ref="G32:I32" si="62">SUM(G33:G35)</f>
        <v>10500</v>
      </c>
      <c r="H32" s="625">
        <f t="shared" si="62"/>
        <v>0</v>
      </c>
      <c r="I32" s="625">
        <f t="shared" si="62"/>
        <v>0</v>
      </c>
      <c r="J32" s="625">
        <f t="shared" si="11"/>
        <v>10500</v>
      </c>
      <c r="K32" s="625">
        <f t="shared" ref="K32:M32" si="63">SUM(K33:K35)</f>
        <v>5500</v>
      </c>
      <c r="L32" s="625">
        <f t="shared" si="63"/>
        <v>0</v>
      </c>
      <c r="M32" s="625">
        <f t="shared" si="63"/>
        <v>0</v>
      </c>
      <c r="N32" s="625">
        <f t="shared" si="13"/>
        <v>5500</v>
      </c>
      <c r="O32" s="625">
        <f t="shared" ref="O32:Q32" si="64">SUM(O33:O35)</f>
        <v>7963</v>
      </c>
      <c r="P32" s="625">
        <f t="shared" si="64"/>
        <v>0</v>
      </c>
      <c r="Q32" s="625">
        <f t="shared" si="64"/>
        <v>0</v>
      </c>
      <c r="R32" s="625">
        <f t="shared" si="15"/>
        <v>7963</v>
      </c>
      <c r="S32" s="625">
        <f t="shared" ref="S32:U32" si="65">SUM(S33:S35)</f>
        <v>10500</v>
      </c>
      <c r="T32" s="625">
        <f t="shared" si="65"/>
        <v>0</v>
      </c>
      <c r="U32" s="625">
        <f t="shared" si="65"/>
        <v>0</v>
      </c>
      <c r="V32" s="625">
        <f t="shared" si="17"/>
        <v>10500</v>
      </c>
      <c r="W32" s="625">
        <f t="shared" ref="W32:Y32" si="66">SUM(W33:W35)</f>
        <v>10500</v>
      </c>
      <c r="X32" s="625">
        <f t="shared" si="66"/>
        <v>0</v>
      </c>
      <c r="Y32" s="625">
        <f t="shared" si="66"/>
        <v>0</v>
      </c>
      <c r="Z32" s="625">
        <f t="shared" si="27"/>
        <v>10500</v>
      </c>
    </row>
    <row r="33" spans="1:26" x14ac:dyDescent="0.25">
      <c r="A33" s="618"/>
      <c r="B33" s="622" t="s">
        <v>496</v>
      </c>
      <c r="C33" s="624">
        <v>1500</v>
      </c>
      <c r="D33" s="624">
        <v>0</v>
      </c>
      <c r="E33" s="624">
        <v>0</v>
      </c>
      <c r="F33" s="624">
        <f t="shared" si="9"/>
        <v>1500</v>
      </c>
      <c r="G33" s="624">
        <v>1500</v>
      </c>
      <c r="H33" s="624">
        <v>0</v>
      </c>
      <c r="I33" s="624">
        <v>0</v>
      </c>
      <c r="J33" s="624">
        <f t="shared" si="11"/>
        <v>1500</v>
      </c>
      <c r="K33" s="624">
        <v>1000</v>
      </c>
      <c r="L33" s="624">
        <v>0</v>
      </c>
      <c r="M33" s="624">
        <v>0</v>
      </c>
      <c r="N33" s="624">
        <f t="shared" si="13"/>
        <v>1000</v>
      </c>
      <c r="O33" s="624">
        <v>0</v>
      </c>
      <c r="P33" s="624">
        <v>0</v>
      </c>
      <c r="Q33" s="624">
        <v>0</v>
      </c>
      <c r="R33" s="624">
        <f t="shared" si="15"/>
        <v>0</v>
      </c>
      <c r="S33" s="624">
        <v>1500</v>
      </c>
      <c r="T33" s="624">
        <v>0</v>
      </c>
      <c r="U33" s="624">
        <v>0</v>
      </c>
      <c r="V33" s="624">
        <f t="shared" si="17"/>
        <v>1500</v>
      </c>
      <c r="W33" s="624">
        <v>1500</v>
      </c>
      <c r="X33" s="624">
        <v>0</v>
      </c>
      <c r="Y33" s="624">
        <v>0</v>
      </c>
      <c r="Z33" s="624">
        <f t="shared" si="27"/>
        <v>1500</v>
      </c>
    </row>
    <row r="34" spans="1:26" x14ac:dyDescent="0.25">
      <c r="A34" s="618"/>
      <c r="B34" s="622" t="s">
        <v>497</v>
      </c>
      <c r="C34" s="624">
        <v>9000</v>
      </c>
      <c r="D34" s="624">
        <v>0</v>
      </c>
      <c r="E34" s="624">
        <v>0</v>
      </c>
      <c r="F34" s="624">
        <f t="shared" si="9"/>
        <v>9000</v>
      </c>
      <c r="G34" s="624">
        <v>9000</v>
      </c>
      <c r="H34" s="624">
        <v>0</v>
      </c>
      <c r="I34" s="624">
        <v>0</v>
      </c>
      <c r="J34" s="624">
        <f t="shared" si="11"/>
        <v>9000</v>
      </c>
      <c r="K34" s="624">
        <v>4500</v>
      </c>
      <c r="L34" s="624">
        <v>0</v>
      </c>
      <c r="M34" s="624">
        <v>0</v>
      </c>
      <c r="N34" s="624">
        <f t="shared" si="13"/>
        <v>4500</v>
      </c>
      <c r="O34" s="624">
        <v>7963</v>
      </c>
      <c r="P34" s="624">
        <v>0</v>
      </c>
      <c r="Q34" s="624">
        <v>0</v>
      </c>
      <c r="R34" s="624">
        <f t="shared" si="15"/>
        <v>7963</v>
      </c>
      <c r="S34" s="624">
        <v>9000</v>
      </c>
      <c r="T34" s="624">
        <v>0</v>
      </c>
      <c r="U34" s="624">
        <v>0</v>
      </c>
      <c r="V34" s="624">
        <f t="shared" si="17"/>
        <v>9000</v>
      </c>
      <c r="W34" s="624">
        <v>9000</v>
      </c>
      <c r="X34" s="624">
        <v>0</v>
      </c>
      <c r="Y34" s="624">
        <v>0</v>
      </c>
      <c r="Z34" s="624">
        <f t="shared" si="27"/>
        <v>9000</v>
      </c>
    </row>
    <row r="35" spans="1:26" x14ac:dyDescent="0.25">
      <c r="A35" s="618"/>
      <c r="B35" s="622" t="s">
        <v>498</v>
      </c>
      <c r="C35" s="624">
        <v>0</v>
      </c>
      <c r="D35" s="624">
        <v>0</v>
      </c>
      <c r="E35" s="624">
        <v>0</v>
      </c>
      <c r="F35" s="624">
        <f t="shared" si="9"/>
        <v>0</v>
      </c>
      <c r="G35" s="624">
        <v>0</v>
      </c>
      <c r="H35" s="624">
        <v>0</v>
      </c>
      <c r="I35" s="624">
        <v>0</v>
      </c>
      <c r="J35" s="624">
        <f t="shared" si="11"/>
        <v>0</v>
      </c>
      <c r="K35" s="624">
        <v>0</v>
      </c>
      <c r="L35" s="624">
        <v>0</v>
      </c>
      <c r="M35" s="624">
        <v>0</v>
      </c>
      <c r="N35" s="624">
        <f t="shared" si="13"/>
        <v>0</v>
      </c>
      <c r="O35" s="624"/>
      <c r="P35" s="624">
        <v>0</v>
      </c>
      <c r="Q35" s="624">
        <v>0</v>
      </c>
      <c r="R35" s="624">
        <f t="shared" si="15"/>
        <v>0</v>
      </c>
      <c r="S35" s="624">
        <v>0</v>
      </c>
      <c r="T35" s="624">
        <v>0</v>
      </c>
      <c r="U35" s="624">
        <v>0</v>
      </c>
      <c r="V35" s="624">
        <f t="shared" si="17"/>
        <v>0</v>
      </c>
      <c r="W35" s="624">
        <v>0</v>
      </c>
      <c r="X35" s="624">
        <v>0</v>
      </c>
      <c r="Y35" s="624">
        <v>0</v>
      </c>
      <c r="Z35" s="624">
        <f t="shared" si="27"/>
        <v>0</v>
      </c>
    </row>
    <row r="36" spans="1:26" x14ac:dyDescent="0.25">
      <c r="A36" s="618"/>
      <c r="B36" s="619" t="s">
        <v>499</v>
      </c>
      <c r="C36" s="625">
        <f t="shared" ref="C36:D36" si="67">SUM(C37:C40)</f>
        <v>12000</v>
      </c>
      <c r="D36" s="625">
        <f t="shared" si="67"/>
        <v>0</v>
      </c>
      <c r="E36" s="625">
        <f t="shared" ref="E36" si="68">SUM(E37:E40)</f>
        <v>0</v>
      </c>
      <c r="F36" s="625">
        <f t="shared" si="9"/>
        <v>12000</v>
      </c>
      <c r="G36" s="625">
        <f t="shared" ref="G36:I36" si="69">SUM(G37:G40)</f>
        <v>12000</v>
      </c>
      <c r="H36" s="625">
        <f t="shared" si="69"/>
        <v>0</v>
      </c>
      <c r="I36" s="625">
        <f t="shared" si="69"/>
        <v>0</v>
      </c>
      <c r="J36" s="625">
        <f t="shared" si="11"/>
        <v>12000</v>
      </c>
      <c r="K36" s="625">
        <f t="shared" ref="K36:M36" si="70">SUM(K37:K40)</f>
        <v>12000</v>
      </c>
      <c r="L36" s="625">
        <f t="shared" si="70"/>
        <v>0</v>
      </c>
      <c r="M36" s="625">
        <f t="shared" si="70"/>
        <v>0</v>
      </c>
      <c r="N36" s="625">
        <f t="shared" si="13"/>
        <v>12000</v>
      </c>
      <c r="O36" s="625">
        <f t="shared" ref="O36:Q36" si="71">SUM(O37:O40)</f>
        <v>17581</v>
      </c>
      <c r="P36" s="625">
        <f t="shared" si="71"/>
        <v>0</v>
      </c>
      <c r="Q36" s="625">
        <f t="shared" si="71"/>
        <v>0</v>
      </c>
      <c r="R36" s="625">
        <f t="shared" si="15"/>
        <v>17581</v>
      </c>
      <c r="S36" s="625">
        <f t="shared" ref="S36:U36" si="72">SUM(S37:S40)</f>
        <v>16000</v>
      </c>
      <c r="T36" s="625">
        <f t="shared" si="72"/>
        <v>0</v>
      </c>
      <c r="U36" s="625">
        <f t="shared" si="72"/>
        <v>0</v>
      </c>
      <c r="V36" s="625">
        <f t="shared" si="17"/>
        <v>16000</v>
      </c>
      <c r="W36" s="625">
        <f t="shared" ref="W36:Y36" si="73">SUM(W37:W40)</f>
        <v>16000</v>
      </c>
      <c r="X36" s="625">
        <f t="shared" si="73"/>
        <v>0</v>
      </c>
      <c r="Y36" s="625">
        <f t="shared" si="73"/>
        <v>0</v>
      </c>
      <c r="Z36" s="625">
        <f t="shared" si="27"/>
        <v>16000</v>
      </c>
    </row>
    <row r="37" spans="1:26" x14ac:dyDescent="0.25">
      <c r="A37" s="618"/>
      <c r="B37" s="622" t="s">
        <v>500</v>
      </c>
      <c r="C37" s="624">
        <v>2000</v>
      </c>
      <c r="D37" s="624">
        <v>0</v>
      </c>
      <c r="E37" s="624">
        <v>0</v>
      </c>
      <c r="F37" s="624">
        <f t="shared" si="9"/>
        <v>2000</v>
      </c>
      <c r="G37" s="624">
        <v>2000</v>
      </c>
      <c r="H37" s="624">
        <v>0</v>
      </c>
      <c r="I37" s="624">
        <v>0</v>
      </c>
      <c r="J37" s="624">
        <f t="shared" si="11"/>
        <v>2000</v>
      </c>
      <c r="K37" s="624">
        <v>2000</v>
      </c>
      <c r="L37" s="624">
        <v>0</v>
      </c>
      <c r="M37" s="624">
        <v>0</v>
      </c>
      <c r="N37" s="624">
        <f t="shared" si="13"/>
        <v>2000</v>
      </c>
      <c r="O37" s="624">
        <v>6198</v>
      </c>
      <c r="P37" s="624">
        <v>0</v>
      </c>
      <c r="Q37" s="624">
        <v>0</v>
      </c>
      <c r="R37" s="624">
        <f t="shared" si="15"/>
        <v>6198</v>
      </c>
      <c r="S37" s="624">
        <f>2000+4000</f>
        <v>6000</v>
      </c>
      <c r="T37" s="624">
        <v>0</v>
      </c>
      <c r="U37" s="624">
        <v>0</v>
      </c>
      <c r="V37" s="624">
        <f t="shared" si="17"/>
        <v>6000</v>
      </c>
      <c r="W37" s="624">
        <f>2000+4000</f>
        <v>6000</v>
      </c>
      <c r="X37" s="624">
        <v>0</v>
      </c>
      <c r="Y37" s="624">
        <v>0</v>
      </c>
      <c r="Z37" s="624">
        <f t="shared" si="27"/>
        <v>6000</v>
      </c>
    </row>
    <row r="38" spans="1:26" x14ac:dyDescent="0.25">
      <c r="A38" s="618"/>
      <c r="B38" s="622" t="s">
        <v>501</v>
      </c>
      <c r="C38" s="624">
        <v>0</v>
      </c>
      <c r="D38" s="624">
        <v>0</v>
      </c>
      <c r="E38" s="624">
        <v>0</v>
      </c>
      <c r="F38" s="624">
        <f t="shared" si="9"/>
        <v>0</v>
      </c>
      <c r="G38" s="624">
        <v>0</v>
      </c>
      <c r="H38" s="624">
        <v>0</v>
      </c>
      <c r="I38" s="624">
        <v>0</v>
      </c>
      <c r="J38" s="624">
        <f t="shared" si="11"/>
        <v>0</v>
      </c>
      <c r="K38" s="624">
        <v>0</v>
      </c>
      <c r="L38" s="624">
        <v>0</v>
      </c>
      <c r="M38" s="624">
        <v>0</v>
      </c>
      <c r="N38" s="624">
        <f t="shared" si="13"/>
        <v>0</v>
      </c>
      <c r="O38" s="624">
        <v>0</v>
      </c>
      <c r="P38" s="624">
        <v>0</v>
      </c>
      <c r="Q38" s="624">
        <v>0</v>
      </c>
      <c r="R38" s="624">
        <f t="shared" si="15"/>
        <v>0</v>
      </c>
      <c r="S38" s="624">
        <v>0</v>
      </c>
      <c r="T38" s="624">
        <v>0</v>
      </c>
      <c r="U38" s="624">
        <v>0</v>
      </c>
      <c r="V38" s="624">
        <f t="shared" si="17"/>
        <v>0</v>
      </c>
      <c r="W38" s="624">
        <v>0</v>
      </c>
      <c r="X38" s="624">
        <v>0</v>
      </c>
      <c r="Y38" s="624">
        <v>0</v>
      </c>
      <c r="Z38" s="624">
        <f t="shared" si="27"/>
        <v>0</v>
      </c>
    </row>
    <row r="39" spans="1:26" x14ac:dyDescent="0.25">
      <c r="A39" s="618"/>
      <c r="B39" s="622" t="s">
        <v>502</v>
      </c>
      <c r="C39" s="624">
        <v>0</v>
      </c>
      <c r="D39" s="624">
        <v>0</v>
      </c>
      <c r="E39" s="624">
        <v>0</v>
      </c>
      <c r="F39" s="624">
        <f t="shared" si="9"/>
        <v>0</v>
      </c>
      <c r="G39" s="624">
        <v>0</v>
      </c>
      <c r="H39" s="624">
        <v>0</v>
      </c>
      <c r="I39" s="624">
        <v>0</v>
      </c>
      <c r="J39" s="624">
        <f t="shared" si="11"/>
        <v>0</v>
      </c>
      <c r="K39" s="624">
        <v>0</v>
      </c>
      <c r="L39" s="624">
        <v>0</v>
      </c>
      <c r="M39" s="624">
        <v>0</v>
      </c>
      <c r="N39" s="624">
        <f t="shared" si="13"/>
        <v>0</v>
      </c>
      <c r="O39" s="624">
        <v>0</v>
      </c>
      <c r="P39" s="624">
        <v>0</v>
      </c>
      <c r="Q39" s="624">
        <v>0</v>
      </c>
      <c r="R39" s="624">
        <f t="shared" si="15"/>
        <v>0</v>
      </c>
      <c r="S39" s="624">
        <v>0</v>
      </c>
      <c r="T39" s="624">
        <v>0</v>
      </c>
      <c r="U39" s="624">
        <v>0</v>
      </c>
      <c r="V39" s="624">
        <f t="shared" si="17"/>
        <v>0</v>
      </c>
      <c r="W39" s="624">
        <v>0</v>
      </c>
      <c r="X39" s="624">
        <v>0</v>
      </c>
      <c r="Y39" s="624">
        <v>0</v>
      </c>
      <c r="Z39" s="624">
        <f t="shared" si="27"/>
        <v>0</v>
      </c>
    </row>
    <row r="40" spans="1:26" x14ac:dyDescent="0.25">
      <c r="A40" s="618"/>
      <c r="B40" s="622" t="s">
        <v>503</v>
      </c>
      <c r="C40" s="624">
        <v>10000</v>
      </c>
      <c r="D40" s="624">
        <v>0</v>
      </c>
      <c r="E40" s="624">
        <v>0</v>
      </c>
      <c r="F40" s="624">
        <f t="shared" si="9"/>
        <v>10000</v>
      </c>
      <c r="G40" s="624">
        <v>10000</v>
      </c>
      <c r="H40" s="624">
        <v>0</v>
      </c>
      <c r="I40" s="624">
        <v>0</v>
      </c>
      <c r="J40" s="624">
        <f t="shared" si="11"/>
        <v>10000</v>
      </c>
      <c r="K40" s="624">
        <v>10000</v>
      </c>
      <c r="L40" s="624">
        <v>0</v>
      </c>
      <c r="M40" s="624">
        <v>0</v>
      </c>
      <c r="N40" s="624">
        <f t="shared" si="13"/>
        <v>10000</v>
      </c>
      <c r="O40" s="624">
        <v>11383</v>
      </c>
      <c r="P40" s="624">
        <v>0</v>
      </c>
      <c r="Q40" s="624">
        <v>0</v>
      </c>
      <c r="R40" s="624">
        <f t="shared" si="15"/>
        <v>11383</v>
      </c>
      <c r="S40" s="624">
        <v>10000</v>
      </c>
      <c r="T40" s="624">
        <v>0</v>
      </c>
      <c r="U40" s="624">
        <v>0</v>
      </c>
      <c r="V40" s="624">
        <f t="shared" si="17"/>
        <v>10000</v>
      </c>
      <c r="W40" s="624">
        <v>10000</v>
      </c>
      <c r="X40" s="624">
        <v>0</v>
      </c>
      <c r="Y40" s="624">
        <v>0</v>
      </c>
      <c r="Z40" s="624">
        <f t="shared" si="27"/>
        <v>10000</v>
      </c>
    </row>
    <row r="41" spans="1:26" x14ac:dyDescent="0.25">
      <c r="A41" s="615" t="s">
        <v>315</v>
      </c>
      <c r="B41" s="616" t="s">
        <v>314</v>
      </c>
      <c r="C41" s="617">
        <f t="shared" ref="C41:D41" si="74">C42+C43+C46+C50+C51+C52+C53+C54</f>
        <v>26597</v>
      </c>
      <c r="D41" s="617">
        <f t="shared" si="74"/>
        <v>62090</v>
      </c>
      <c r="E41" s="617">
        <f t="shared" ref="E41" si="75">E42+E43+E46+E50+E51+E52+E53+E54</f>
        <v>0</v>
      </c>
      <c r="F41" s="617">
        <f t="shared" si="9"/>
        <v>88687</v>
      </c>
      <c r="G41" s="617">
        <f t="shared" ref="G41:I41" si="76">G42+G43+G46+G50+G51+G52+G53+G54</f>
        <v>85307</v>
      </c>
      <c r="H41" s="617">
        <f t="shared" si="76"/>
        <v>189649</v>
      </c>
      <c r="I41" s="617">
        <f t="shared" si="76"/>
        <v>0</v>
      </c>
      <c r="J41" s="617">
        <f t="shared" si="11"/>
        <v>274956</v>
      </c>
      <c r="K41" s="617">
        <f t="shared" ref="K41:M41" si="77">K42+K43+K46+K50+K51+K52+K53+K54</f>
        <v>26688</v>
      </c>
      <c r="L41" s="617">
        <f t="shared" si="77"/>
        <v>59543</v>
      </c>
      <c r="M41" s="617">
        <f t="shared" si="77"/>
        <v>0</v>
      </c>
      <c r="N41" s="617">
        <f t="shared" si="13"/>
        <v>86231</v>
      </c>
      <c r="O41" s="617">
        <f t="shared" ref="O41:Q41" si="78">O42+O43+O46+O50+O51+O52+O53+O54</f>
        <v>212365</v>
      </c>
      <c r="P41" s="617">
        <f t="shared" si="78"/>
        <v>0</v>
      </c>
      <c r="Q41" s="617">
        <f t="shared" si="78"/>
        <v>0</v>
      </c>
      <c r="R41" s="617">
        <f t="shared" si="15"/>
        <v>212365</v>
      </c>
      <c r="S41" s="617">
        <f t="shared" ref="S41:U41" si="79">S42+S43+S46+S50+S51+S52+S53+S54</f>
        <v>46490</v>
      </c>
      <c r="T41" s="617">
        <f t="shared" si="79"/>
        <v>36637</v>
      </c>
      <c r="U41" s="617">
        <f t="shared" si="79"/>
        <v>0</v>
      </c>
      <c r="V41" s="617">
        <f t="shared" si="17"/>
        <v>83127</v>
      </c>
      <c r="W41" s="617">
        <f t="shared" ref="W41:Y41" si="80">W42+W43+W46+W50+W51+W52+W53+W54</f>
        <v>46490</v>
      </c>
      <c r="X41" s="617">
        <f t="shared" si="80"/>
        <v>36637</v>
      </c>
      <c r="Y41" s="617">
        <f t="shared" si="80"/>
        <v>0</v>
      </c>
      <c r="Z41" s="617">
        <f t="shared" si="27"/>
        <v>83127</v>
      </c>
    </row>
    <row r="42" spans="1:26" x14ac:dyDescent="0.25">
      <c r="A42" s="618"/>
      <c r="B42" s="619" t="s">
        <v>504</v>
      </c>
      <c r="C42" s="625">
        <v>0</v>
      </c>
      <c r="D42" s="625">
        <v>0</v>
      </c>
      <c r="E42" s="625">
        <v>0</v>
      </c>
      <c r="F42" s="625">
        <f t="shared" si="9"/>
        <v>0</v>
      </c>
      <c r="G42" s="625">
        <v>0</v>
      </c>
      <c r="H42" s="625">
        <v>0</v>
      </c>
      <c r="I42" s="625">
        <v>0</v>
      </c>
      <c r="J42" s="625">
        <f t="shared" si="11"/>
        <v>0</v>
      </c>
      <c r="K42" s="625">
        <v>0</v>
      </c>
      <c r="L42" s="625">
        <v>0</v>
      </c>
      <c r="M42" s="625">
        <v>0</v>
      </c>
      <c r="N42" s="625">
        <f t="shared" si="13"/>
        <v>0</v>
      </c>
      <c r="O42" s="625">
        <v>0</v>
      </c>
      <c r="P42" s="625"/>
      <c r="Q42" s="625">
        <v>0</v>
      </c>
      <c r="R42" s="625">
        <f t="shared" si="15"/>
        <v>0</v>
      </c>
      <c r="S42" s="625">
        <v>0</v>
      </c>
      <c r="T42" s="625">
        <v>0</v>
      </c>
      <c r="U42" s="625">
        <v>0</v>
      </c>
      <c r="V42" s="625">
        <f t="shared" si="17"/>
        <v>0</v>
      </c>
      <c r="W42" s="625">
        <v>0</v>
      </c>
      <c r="X42" s="625">
        <v>0</v>
      </c>
      <c r="Y42" s="625">
        <v>0</v>
      </c>
      <c r="Z42" s="625">
        <f t="shared" si="27"/>
        <v>0</v>
      </c>
    </row>
    <row r="43" spans="1:26" x14ac:dyDescent="0.25">
      <c r="A43" s="618"/>
      <c r="B43" s="619" t="s">
        <v>505</v>
      </c>
      <c r="C43" s="625">
        <f t="shared" ref="C43:D43" si="81">SUM(C44:C45)</f>
        <v>4490</v>
      </c>
      <c r="D43" s="625">
        <f t="shared" si="81"/>
        <v>0</v>
      </c>
      <c r="E43" s="625">
        <f t="shared" ref="E43" si="82">SUM(E44:E45)</f>
        <v>0</v>
      </c>
      <c r="F43" s="625">
        <f t="shared" si="9"/>
        <v>4490</v>
      </c>
      <c r="G43" s="625">
        <f t="shared" ref="G43:I43" si="83">SUM(G44:G45)</f>
        <v>50718</v>
      </c>
      <c r="H43" s="625">
        <f t="shared" si="83"/>
        <v>0</v>
      </c>
      <c r="I43" s="625">
        <f t="shared" si="83"/>
        <v>0</v>
      </c>
      <c r="J43" s="625">
        <f t="shared" si="11"/>
        <v>50718</v>
      </c>
      <c r="K43" s="625">
        <f t="shared" ref="K43:M43" si="84">SUM(K44:K45)</f>
        <v>4582</v>
      </c>
      <c r="L43" s="625">
        <f t="shared" si="84"/>
        <v>0</v>
      </c>
      <c r="M43" s="625">
        <f t="shared" si="84"/>
        <v>0</v>
      </c>
      <c r="N43" s="625">
        <f t="shared" si="13"/>
        <v>4582</v>
      </c>
      <c r="O43" s="625">
        <f t="shared" ref="O43:Q43" si="85">SUM(O44:O45)</f>
        <v>29461</v>
      </c>
      <c r="P43" s="625">
        <f t="shared" si="85"/>
        <v>0</v>
      </c>
      <c r="Q43" s="625">
        <f t="shared" si="85"/>
        <v>0</v>
      </c>
      <c r="R43" s="625">
        <f t="shared" si="15"/>
        <v>29461</v>
      </c>
      <c r="S43" s="625">
        <f t="shared" ref="S43:U43" si="86">SUM(S44:S45)</f>
        <v>24490</v>
      </c>
      <c r="T43" s="625">
        <f t="shared" si="86"/>
        <v>0</v>
      </c>
      <c r="U43" s="625">
        <f t="shared" si="86"/>
        <v>0</v>
      </c>
      <c r="V43" s="625">
        <f t="shared" si="17"/>
        <v>24490</v>
      </c>
      <c r="W43" s="625">
        <f t="shared" ref="W43:Y43" si="87">SUM(W44:W45)</f>
        <v>24490</v>
      </c>
      <c r="X43" s="625">
        <f t="shared" si="87"/>
        <v>0</v>
      </c>
      <c r="Y43" s="625">
        <f t="shared" si="87"/>
        <v>0</v>
      </c>
      <c r="Z43" s="625">
        <f t="shared" si="27"/>
        <v>24490</v>
      </c>
    </row>
    <row r="44" spans="1:26" x14ac:dyDescent="0.25">
      <c r="A44" s="618"/>
      <c r="B44" s="622" t="s">
        <v>506</v>
      </c>
      <c r="C44" s="624">
        <v>4490</v>
      </c>
      <c r="D44" s="624">
        <v>0</v>
      </c>
      <c r="E44" s="624">
        <v>0</v>
      </c>
      <c r="F44" s="624">
        <f t="shared" si="9"/>
        <v>4490</v>
      </c>
      <c r="G44" s="624">
        <v>4490</v>
      </c>
      <c r="H44" s="624">
        <v>0</v>
      </c>
      <c r="I44" s="624">
        <v>0</v>
      </c>
      <c r="J44" s="624">
        <f t="shared" si="11"/>
        <v>4490</v>
      </c>
      <c r="K44" s="624">
        <f>54490+1288-51196</f>
        <v>4582</v>
      </c>
      <c r="L44" s="624">
        <v>0</v>
      </c>
      <c r="M44" s="624">
        <v>0</v>
      </c>
      <c r="N44" s="624">
        <f t="shared" si="13"/>
        <v>4582</v>
      </c>
      <c r="O44" s="624">
        <v>4446</v>
      </c>
      <c r="P44" s="624">
        <v>0</v>
      </c>
      <c r="Q44" s="624">
        <v>0</v>
      </c>
      <c r="R44" s="624">
        <f t="shared" si="15"/>
        <v>4446</v>
      </c>
      <c r="S44" s="624">
        <v>4490</v>
      </c>
      <c r="T44" s="624">
        <v>0</v>
      </c>
      <c r="U44" s="624">
        <v>0</v>
      </c>
      <c r="V44" s="624">
        <f t="shared" si="17"/>
        <v>4490</v>
      </c>
      <c r="W44" s="624">
        <v>4490</v>
      </c>
      <c r="X44" s="624">
        <v>0</v>
      </c>
      <c r="Y44" s="624">
        <v>0</v>
      </c>
      <c r="Z44" s="624">
        <f t="shared" si="27"/>
        <v>4490</v>
      </c>
    </row>
    <row r="45" spans="1:26" x14ac:dyDescent="0.25">
      <c r="A45" s="618"/>
      <c r="B45" s="622" t="s">
        <v>507</v>
      </c>
      <c r="C45" s="624">
        <v>0</v>
      </c>
      <c r="D45" s="624">
        <v>0</v>
      </c>
      <c r="E45" s="624">
        <v>0</v>
      </c>
      <c r="F45" s="624">
        <f t="shared" si="9"/>
        <v>0</v>
      </c>
      <c r="G45" s="624">
        <v>46228</v>
      </c>
      <c r="H45" s="624">
        <v>0</v>
      </c>
      <c r="I45" s="624">
        <v>0</v>
      </c>
      <c r="J45" s="624">
        <f t="shared" si="11"/>
        <v>46228</v>
      </c>
      <c r="K45" s="624">
        <v>0</v>
      </c>
      <c r="L45" s="624">
        <v>0</v>
      </c>
      <c r="M45" s="624">
        <v>0</v>
      </c>
      <c r="N45" s="624">
        <f t="shared" si="13"/>
        <v>0</v>
      </c>
      <c r="O45" s="624">
        <f>22705+2310</f>
        <v>25015</v>
      </c>
      <c r="P45" s="624">
        <v>0</v>
      </c>
      <c r="Q45" s="624">
        <v>0</v>
      </c>
      <c r="R45" s="624">
        <f t="shared" si="15"/>
        <v>25015</v>
      </c>
      <c r="S45" s="624">
        <v>20000</v>
      </c>
      <c r="T45" s="624">
        <v>0</v>
      </c>
      <c r="U45" s="624">
        <v>0</v>
      </c>
      <c r="V45" s="624">
        <f t="shared" si="17"/>
        <v>20000</v>
      </c>
      <c r="W45" s="624">
        <v>20000</v>
      </c>
      <c r="X45" s="624">
        <v>0</v>
      </c>
      <c r="Y45" s="624">
        <v>0</v>
      </c>
      <c r="Z45" s="624">
        <f t="shared" si="27"/>
        <v>20000</v>
      </c>
    </row>
    <row r="46" spans="1:26" x14ac:dyDescent="0.25">
      <c r="A46" s="618"/>
      <c r="B46" s="619" t="s">
        <v>508</v>
      </c>
      <c r="C46" s="625">
        <f t="shared" ref="C46:D46" si="88">SUM(C47:C49)</f>
        <v>8674</v>
      </c>
      <c r="D46" s="625">
        <f t="shared" si="88"/>
        <v>48890</v>
      </c>
      <c r="E46" s="625">
        <f t="shared" ref="E46" si="89">SUM(E47:E49)</f>
        <v>0</v>
      </c>
      <c r="F46" s="625">
        <f t="shared" si="9"/>
        <v>57564</v>
      </c>
      <c r="G46" s="625">
        <f t="shared" ref="G46:I46" si="90">SUM(G47:G49)</f>
        <v>8674</v>
      </c>
      <c r="H46" s="625">
        <f t="shared" si="90"/>
        <v>48890</v>
      </c>
      <c r="I46" s="625">
        <f t="shared" si="90"/>
        <v>0</v>
      </c>
      <c r="J46" s="625">
        <f t="shared" si="11"/>
        <v>57564</v>
      </c>
      <c r="K46" s="625">
        <f t="shared" ref="K46:M46" si="91">SUM(K47:K49)</f>
        <v>8673</v>
      </c>
      <c r="L46" s="625">
        <f t="shared" si="91"/>
        <v>46884</v>
      </c>
      <c r="M46" s="625">
        <f t="shared" si="91"/>
        <v>0</v>
      </c>
      <c r="N46" s="625">
        <f t="shared" si="13"/>
        <v>55557</v>
      </c>
      <c r="O46" s="625">
        <f t="shared" ref="O46:Q46" si="92">SUM(O47:O49)</f>
        <v>14797</v>
      </c>
      <c r="P46" s="625">
        <f t="shared" si="92"/>
        <v>0</v>
      </c>
      <c r="Q46" s="625">
        <f t="shared" si="92"/>
        <v>0</v>
      </c>
      <c r="R46" s="625">
        <f t="shared" si="15"/>
        <v>14797</v>
      </c>
      <c r="S46" s="625">
        <f t="shared" ref="S46:U46" si="93">SUM(S47:S49)</f>
        <v>8000</v>
      </c>
      <c r="T46" s="625">
        <f t="shared" si="93"/>
        <v>28848</v>
      </c>
      <c r="U46" s="625">
        <f t="shared" si="93"/>
        <v>0</v>
      </c>
      <c r="V46" s="625">
        <f t="shared" si="17"/>
        <v>36848</v>
      </c>
      <c r="W46" s="625">
        <f t="shared" ref="W46:Y46" si="94">SUM(W47:W49)</f>
        <v>8000</v>
      </c>
      <c r="X46" s="625">
        <f t="shared" si="94"/>
        <v>28848</v>
      </c>
      <c r="Y46" s="625">
        <f t="shared" si="94"/>
        <v>0</v>
      </c>
      <c r="Z46" s="625">
        <f t="shared" si="27"/>
        <v>36848</v>
      </c>
    </row>
    <row r="47" spans="1:26" x14ac:dyDescent="0.25">
      <c r="A47" s="618"/>
      <c r="B47" s="622" t="s">
        <v>509</v>
      </c>
      <c r="C47" s="624">
        <v>1500</v>
      </c>
      <c r="D47" s="624">
        <v>0</v>
      </c>
      <c r="E47" s="624">
        <v>0</v>
      </c>
      <c r="F47" s="624">
        <f t="shared" si="9"/>
        <v>1500</v>
      </c>
      <c r="G47" s="624">
        <v>1500</v>
      </c>
      <c r="H47" s="624">
        <v>0</v>
      </c>
      <c r="I47" s="624">
        <v>0</v>
      </c>
      <c r="J47" s="624">
        <f t="shared" si="11"/>
        <v>1500</v>
      </c>
      <c r="K47" s="624">
        <v>1500</v>
      </c>
      <c r="L47" s="624">
        <v>0</v>
      </c>
      <c r="M47" s="624">
        <v>0</v>
      </c>
      <c r="N47" s="624">
        <f t="shared" si="13"/>
        <v>1500</v>
      </c>
      <c r="O47" s="624"/>
      <c r="P47" s="624">
        <v>0</v>
      </c>
      <c r="Q47" s="624">
        <v>0</v>
      </c>
      <c r="R47" s="624">
        <f t="shared" si="15"/>
        <v>0</v>
      </c>
      <c r="S47" s="624">
        <v>1000</v>
      </c>
      <c r="T47" s="624">
        <v>0</v>
      </c>
      <c r="U47" s="624">
        <v>0</v>
      </c>
      <c r="V47" s="624">
        <f t="shared" si="17"/>
        <v>1000</v>
      </c>
      <c r="W47" s="624">
        <v>1000</v>
      </c>
      <c r="X47" s="624">
        <v>0</v>
      </c>
      <c r="Y47" s="624">
        <v>0</v>
      </c>
      <c r="Z47" s="624">
        <f t="shared" si="27"/>
        <v>1000</v>
      </c>
    </row>
    <row r="48" spans="1:26" x14ac:dyDescent="0.25">
      <c r="A48" s="618"/>
      <c r="B48" s="622" t="s">
        <v>510</v>
      </c>
      <c r="C48" s="624">
        <v>0</v>
      </c>
      <c r="D48" s="624">
        <v>48890</v>
      </c>
      <c r="E48" s="624">
        <v>0</v>
      </c>
      <c r="F48" s="624">
        <f t="shared" si="9"/>
        <v>48890</v>
      </c>
      <c r="G48" s="624">
        <v>0</v>
      </c>
      <c r="H48" s="624">
        <v>48890</v>
      </c>
      <c r="I48" s="624">
        <v>0</v>
      </c>
      <c r="J48" s="624">
        <f t="shared" si="11"/>
        <v>48890</v>
      </c>
      <c r="K48" s="624">
        <v>0</v>
      </c>
      <c r="L48" s="624">
        <v>46884</v>
      </c>
      <c r="M48" s="624">
        <v>0</v>
      </c>
      <c r="N48" s="624">
        <f t="shared" si="13"/>
        <v>46884</v>
      </c>
      <c r="O48" s="624">
        <v>14797</v>
      </c>
      <c r="P48" s="624"/>
      <c r="Q48" s="624">
        <v>0</v>
      </c>
      <c r="R48" s="624">
        <f t="shared" si="15"/>
        <v>14797</v>
      </c>
      <c r="S48" s="624">
        <v>0</v>
      </c>
      <c r="T48" s="624">
        <v>28848</v>
      </c>
      <c r="U48" s="624">
        <v>0</v>
      </c>
      <c r="V48" s="624">
        <f t="shared" si="17"/>
        <v>28848</v>
      </c>
      <c r="W48" s="624">
        <v>0</v>
      </c>
      <c r="X48" s="624">
        <v>28848</v>
      </c>
      <c r="Y48" s="624">
        <v>0</v>
      </c>
      <c r="Z48" s="624">
        <f t="shared" si="27"/>
        <v>28848</v>
      </c>
    </row>
    <row r="49" spans="1:26" x14ac:dyDescent="0.25">
      <c r="A49" s="618"/>
      <c r="B49" s="622" t="s">
        <v>409</v>
      </c>
      <c r="C49" s="624">
        <f>6973+200+1</f>
        <v>7174</v>
      </c>
      <c r="D49" s="624">
        <v>0</v>
      </c>
      <c r="E49" s="624">
        <v>0</v>
      </c>
      <c r="F49" s="624">
        <f t="shared" si="9"/>
        <v>7174</v>
      </c>
      <c r="G49" s="624">
        <f>6973+200+1</f>
        <v>7174</v>
      </c>
      <c r="H49" s="624">
        <v>0</v>
      </c>
      <c r="I49" s="624">
        <v>0</v>
      </c>
      <c r="J49" s="624">
        <f t="shared" si="11"/>
        <v>7174</v>
      </c>
      <c r="K49" s="624">
        <v>7173</v>
      </c>
      <c r="L49" s="624">
        <v>0</v>
      </c>
      <c r="M49" s="624">
        <v>0</v>
      </c>
      <c r="N49" s="624">
        <f t="shared" si="13"/>
        <v>7173</v>
      </c>
      <c r="O49" s="624"/>
      <c r="P49" s="624">
        <v>0</v>
      </c>
      <c r="Q49" s="624">
        <v>0</v>
      </c>
      <c r="R49" s="624">
        <f t="shared" si="15"/>
        <v>0</v>
      </c>
      <c r="S49" s="624">
        <v>7000</v>
      </c>
      <c r="T49" s="624">
        <v>0</v>
      </c>
      <c r="U49" s="624">
        <v>0</v>
      </c>
      <c r="V49" s="624">
        <f t="shared" si="17"/>
        <v>7000</v>
      </c>
      <c r="W49" s="624">
        <v>7000</v>
      </c>
      <c r="X49" s="624">
        <v>0</v>
      </c>
      <c r="Y49" s="624">
        <v>0</v>
      </c>
      <c r="Z49" s="624">
        <f t="shared" si="27"/>
        <v>7000</v>
      </c>
    </row>
    <row r="50" spans="1:26" x14ac:dyDescent="0.25">
      <c r="A50" s="618"/>
      <c r="B50" s="619" t="s">
        <v>511</v>
      </c>
      <c r="C50" s="625">
        <v>0</v>
      </c>
      <c r="D50" s="625">
        <v>0</v>
      </c>
      <c r="E50" s="625">
        <v>0</v>
      </c>
      <c r="F50" s="625">
        <f t="shared" si="9"/>
        <v>0</v>
      </c>
      <c r="G50" s="625">
        <v>0</v>
      </c>
      <c r="H50" s="625">
        <v>0</v>
      </c>
      <c r="I50" s="625">
        <v>0</v>
      </c>
      <c r="J50" s="625">
        <f t="shared" si="11"/>
        <v>0</v>
      </c>
      <c r="K50" s="625">
        <v>0</v>
      </c>
      <c r="L50" s="625">
        <v>0</v>
      </c>
      <c r="M50" s="625">
        <v>0</v>
      </c>
      <c r="N50" s="625">
        <f t="shared" si="13"/>
        <v>0</v>
      </c>
      <c r="O50" s="625">
        <v>412</v>
      </c>
      <c r="P50" s="625"/>
      <c r="Q50" s="625">
        <v>0</v>
      </c>
      <c r="R50" s="625">
        <f t="shared" si="15"/>
        <v>412</v>
      </c>
      <c r="S50" s="625">
        <v>0</v>
      </c>
      <c r="T50" s="625">
        <v>0</v>
      </c>
      <c r="U50" s="625">
        <v>0</v>
      </c>
      <c r="V50" s="625">
        <f t="shared" si="17"/>
        <v>0</v>
      </c>
      <c r="W50" s="625">
        <v>0</v>
      </c>
      <c r="X50" s="625">
        <v>0</v>
      </c>
      <c r="Y50" s="625">
        <v>0</v>
      </c>
      <c r="Z50" s="625">
        <f t="shared" si="27"/>
        <v>0</v>
      </c>
    </row>
    <row r="51" spans="1:26" x14ac:dyDescent="0.25">
      <c r="A51" s="618"/>
      <c r="B51" s="619" t="s">
        <v>512</v>
      </c>
      <c r="C51" s="625">
        <f t="shared" ref="C51:D51" si="95">ROUND(C48*0.27,0)</f>
        <v>0</v>
      </c>
      <c r="D51" s="625">
        <f t="shared" si="95"/>
        <v>13200</v>
      </c>
      <c r="E51" s="625">
        <f t="shared" ref="E51" si="96">ROUND(E48*0.27,0)</f>
        <v>0</v>
      </c>
      <c r="F51" s="625">
        <f t="shared" si="9"/>
        <v>13200</v>
      </c>
      <c r="G51" s="625">
        <v>12482</v>
      </c>
      <c r="H51" s="625">
        <v>140759</v>
      </c>
      <c r="I51" s="625">
        <f t="shared" ref="I51" si="97">ROUND(I48*0.27,0)</f>
        <v>0</v>
      </c>
      <c r="J51" s="625">
        <f t="shared" si="11"/>
        <v>153241</v>
      </c>
      <c r="K51" s="625">
        <f t="shared" ref="K51:M51" si="98">ROUND(K48*0.27,0)</f>
        <v>0</v>
      </c>
      <c r="L51" s="625">
        <f t="shared" si="98"/>
        <v>12659</v>
      </c>
      <c r="M51" s="625">
        <f t="shared" si="98"/>
        <v>0</v>
      </c>
      <c r="N51" s="625">
        <f t="shared" si="13"/>
        <v>12659</v>
      </c>
      <c r="O51" s="625">
        <v>153334</v>
      </c>
      <c r="P51" s="625">
        <f t="shared" ref="P51:Q51" si="99">ROUND(P48*0.27,0)</f>
        <v>0</v>
      </c>
      <c r="Q51" s="625">
        <f t="shared" si="99"/>
        <v>0</v>
      </c>
      <c r="R51" s="625">
        <f t="shared" si="15"/>
        <v>153334</v>
      </c>
      <c r="S51" s="625">
        <f t="shared" ref="S51:U51" si="100">ROUND(S48*0.27,0)</f>
        <v>0</v>
      </c>
      <c r="T51" s="625">
        <f t="shared" si="100"/>
        <v>7789</v>
      </c>
      <c r="U51" s="625">
        <f t="shared" si="100"/>
        <v>0</v>
      </c>
      <c r="V51" s="625">
        <f t="shared" si="17"/>
        <v>7789</v>
      </c>
      <c r="W51" s="625">
        <f t="shared" ref="W51:Y51" si="101">ROUND(W48*0.27,0)</f>
        <v>0</v>
      </c>
      <c r="X51" s="625">
        <f t="shared" si="101"/>
        <v>7789</v>
      </c>
      <c r="Y51" s="625">
        <f t="shared" si="101"/>
        <v>0</v>
      </c>
      <c r="Z51" s="625">
        <f t="shared" si="27"/>
        <v>7789</v>
      </c>
    </row>
    <row r="52" spans="1:26" x14ac:dyDescent="0.25">
      <c r="A52" s="618"/>
      <c r="B52" s="619" t="s">
        <v>513</v>
      </c>
      <c r="C52" s="625">
        <v>0</v>
      </c>
      <c r="D52" s="625">
        <v>0</v>
      </c>
      <c r="E52" s="625">
        <v>0</v>
      </c>
      <c r="F52" s="625">
        <f t="shared" si="9"/>
        <v>0</v>
      </c>
      <c r="G52" s="625">
        <v>0</v>
      </c>
      <c r="H52" s="625">
        <v>0</v>
      </c>
      <c r="I52" s="625">
        <v>0</v>
      </c>
      <c r="J52" s="625">
        <f t="shared" si="11"/>
        <v>0</v>
      </c>
      <c r="K52" s="625">
        <v>0</v>
      </c>
      <c r="L52" s="625">
        <v>0</v>
      </c>
      <c r="M52" s="625">
        <v>0</v>
      </c>
      <c r="N52" s="625">
        <f t="shared" si="13"/>
        <v>0</v>
      </c>
      <c r="O52" s="625">
        <v>0</v>
      </c>
      <c r="P52" s="625">
        <v>0</v>
      </c>
      <c r="Q52" s="625">
        <v>0</v>
      </c>
      <c r="R52" s="625">
        <f t="shared" si="15"/>
        <v>0</v>
      </c>
      <c r="S52" s="625">
        <v>0</v>
      </c>
      <c r="T52" s="625">
        <v>0</v>
      </c>
      <c r="U52" s="625">
        <v>0</v>
      </c>
      <c r="V52" s="625">
        <f t="shared" si="17"/>
        <v>0</v>
      </c>
      <c r="W52" s="625">
        <v>0</v>
      </c>
      <c r="X52" s="625">
        <v>0</v>
      </c>
      <c r="Y52" s="625">
        <v>0</v>
      </c>
      <c r="Z52" s="625">
        <f t="shared" si="27"/>
        <v>0</v>
      </c>
    </row>
    <row r="53" spans="1:26" x14ac:dyDescent="0.25">
      <c r="A53" s="618"/>
      <c r="B53" s="619" t="s">
        <v>514</v>
      </c>
      <c r="C53" s="625">
        <v>6000</v>
      </c>
      <c r="D53" s="625">
        <v>0</v>
      </c>
      <c r="E53" s="625">
        <v>0</v>
      </c>
      <c r="F53" s="625">
        <f t="shared" si="9"/>
        <v>6000</v>
      </c>
      <c r="G53" s="625">
        <v>6000</v>
      </c>
      <c r="H53" s="625">
        <v>0</v>
      </c>
      <c r="I53" s="625">
        <v>0</v>
      </c>
      <c r="J53" s="625">
        <f t="shared" si="11"/>
        <v>6000</v>
      </c>
      <c r="K53" s="625">
        <v>6000</v>
      </c>
      <c r="L53" s="625">
        <v>0</v>
      </c>
      <c r="M53" s="625">
        <v>0</v>
      </c>
      <c r="N53" s="625">
        <f t="shared" si="13"/>
        <v>6000</v>
      </c>
      <c r="O53" s="625">
        <v>369</v>
      </c>
      <c r="P53" s="625">
        <v>0</v>
      </c>
      <c r="Q53" s="625">
        <v>0</v>
      </c>
      <c r="R53" s="625">
        <f t="shared" si="15"/>
        <v>369</v>
      </c>
      <c r="S53" s="625"/>
      <c r="T53" s="625">
        <v>0</v>
      </c>
      <c r="U53" s="625">
        <v>0</v>
      </c>
      <c r="V53" s="625">
        <f t="shared" si="17"/>
        <v>0</v>
      </c>
      <c r="W53" s="625"/>
      <c r="X53" s="625">
        <v>0</v>
      </c>
      <c r="Y53" s="625">
        <v>0</v>
      </c>
      <c r="Z53" s="625">
        <f t="shared" si="27"/>
        <v>0</v>
      </c>
    </row>
    <row r="54" spans="1:26" x14ac:dyDescent="0.25">
      <c r="A54" s="618"/>
      <c r="B54" s="619" t="s">
        <v>515</v>
      </c>
      <c r="C54" s="625">
        <v>7433</v>
      </c>
      <c r="D54" s="625">
        <v>0</v>
      </c>
      <c r="E54" s="625">
        <v>0</v>
      </c>
      <c r="F54" s="625">
        <f t="shared" si="9"/>
        <v>7433</v>
      </c>
      <c r="G54" s="625">
        <v>7433</v>
      </c>
      <c r="H54" s="625">
        <v>0</v>
      </c>
      <c r="I54" s="625">
        <v>0</v>
      </c>
      <c r="J54" s="625">
        <f t="shared" si="11"/>
        <v>7433</v>
      </c>
      <c r="K54" s="625">
        <v>7433</v>
      </c>
      <c r="L54" s="625">
        <v>0</v>
      </c>
      <c r="M54" s="625">
        <v>0</v>
      </c>
      <c r="N54" s="625">
        <f t="shared" si="13"/>
        <v>7433</v>
      </c>
      <c r="O54" s="625">
        <v>13992</v>
      </c>
      <c r="P54" s="625">
        <v>0</v>
      </c>
      <c r="Q54" s="625">
        <v>0</v>
      </c>
      <c r="R54" s="625">
        <f t="shared" si="15"/>
        <v>13992</v>
      </c>
      <c r="S54" s="625">
        <v>14000</v>
      </c>
      <c r="T54" s="625">
        <v>0</v>
      </c>
      <c r="U54" s="625">
        <v>0</v>
      </c>
      <c r="V54" s="625">
        <f t="shared" si="17"/>
        <v>14000</v>
      </c>
      <c r="W54" s="625">
        <v>14000</v>
      </c>
      <c r="X54" s="625">
        <v>0</v>
      </c>
      <c r="Y54" s="625">
        <v>0</v>
      </c>
      <c r="Z54" s="625">
        <f t="shared" si="27"/>
        <v>14000</v>
      </c>
    </row>
    <row r="55" spans="1:26" x14ac:dyDescent="0.25">
      <c r="A55" s="615" t="s">
        <v>336</v>
      </c>
      <c r="B55" s="616" t="s">
        <v>316</v>
      </c>
      <c r="C55" s="617">
        <f t="shared" ref="C55:D55" si="102">C56+C57</f>
        <v>0</v>
      </c>
      <c r="D55" s="617">
        <f t="shared" si="102"/>
        <v>260</v>
      </c>
      <c r="E55" s="617">
        <f t="shared" ref="E55" si="103">E56+E57</f>
        <v>0</v>
      </c>
      <c r="F55" s="617">
        <f t="shared" si="9"/>
        <v>260</v>
      </c>
      <c r="G55" s="617">
        <f t="shared" ref="G55:I55" si="104">G56+G57</f>
        <v>0</v>
      </c>
      <c r="H55" s="617">
        <f t="shared" si="104"/>
        <v>8408</v>
      </c>
      <c r="I55" s="617">
        <f t="shared" si="104"/>
        <v>0</v>
      </c>
      <c r="J55" s="617">
        <f t="shared" si="11"/>
        <v>8408</v>
      </c>
      <c r="K55" s="617">
        <f t="shared" ref="K55:M55" si="105">K56+K57</f>
        <v>0</v>
      </c>
      <c r="L55" s="617">
        <f t="shared" si="105"/>
        <v>108432</v>
      </c>
      <c r="M55" s="617">
        <f t="shared" si="105"/>
        <v>0</v>
      </c>
      <c r="N55" s="617">
        <f t="shared" si="13"/>
        <v>108432</v>
      </c>
      <c r="O55" s="617">
        <f t="shared" ref="O55:Q55" si="106">O56+O57</f>
        <v>260</v>
      </c>
      <c r="P55" s="617">
        <f t="shared" si="106"/>
        <v>0</v>
      </c>
      <c r="Q55" s="617">
        <f t="shared" si="106"/>
        <v>0</v>
      </c>
      <c r="R55" s="617">
        <f t="shared" si="15"/>
        <v>260</v>
      </c>
      <c r="S55" s="617">
        <f t="shared" ref="S55:U55" si="107">S56+S57</f>
        <v>0</v>
      </c>
      <c r="T55" s="617">
        <f t="shared" si="107"/>
        <v>0</v>
      </c>
      <c r="U55" s="617">
        <f t="shared" si="107"/>
        <v>0</v>
      </c>
      <c r="V55" s="617">
        <f t="shared" si="17"/>
        <v>0</v>
      </c>
      <c r="W55" s="617">
        <f t="shared" ref="W55:Y55" si="108">W56+W57</f>
        <v>0</v>
      </c>
      <c r="X55" s="617">
        <f t="shared" si="108"/>
        <v>0</v>
      </c>
      <c r="Y55" s="617">
        <f t="shared" si="108"/>
        <v>0</v>
      </c>
      <c r="Z55" s="617">
        <f t="shared" si="27"/>
        <v>0</v>
      </c>
    </row>
    <row r="56" spans="1:26" ht="28.55" x14ac:dyDescent="0.25">
      <c r="A56" s="618"/>
      <c r="B56" s="619" t="s">
        <v>516</v>
      </c>
      <c r="C56" s="625">
        <v>0</v>
      </c>
      <c r="D56" s="625">
        <v>0</v>
      </c>
      <c r="E56" s="625">
        <v>0</v>
      </c>
      <c r="F56" s="625">
        <f t="shared" si="9"/>
        <v>0</v>
      </c>
      <c r="G56" s="625">
        <v>0</v>
      </c>
      <c r="H56" s="625">
        <v>0</v>
      </c>
      <c r="I56" s="625">
        <v>0</v>
      </c>
      <c r="J56" s="625">
        <f t="shared" si="11"/>
        <v>0</v>
      </c>
      <c r="K56" s="625">
        <v>0</v>
      </c>
      <c r="L56" s="625">
        <v>0</v>
      </c>
      <c r="M56" s="625">
        <v>0</v>
      </c>
      <c r="N56" s="625">
        <f t="shared" si="13"/>
        <v>0</v>
      </c>
      <c r="O56" s="625">
        <v>0</v>
      </c>
      <c r="P56" s="625">
        <v>0</v>
      </c>
      <c r="Q56" s="625">
        <v>0</v>
      </c>
      <c r="R56" s="625">
        <f t="shared" si="15"/>
        <v>0</v>
      </c>
      <c r="S56" s="625">
        <v>0</v>
      </c>
      <c r="T56" s="625">
        <v>0</v>
      </c>
      <c r="U56" s="625">
        <v>0</v>
      </c>
      <c r="V56" s="625">
        <f t="shared" si="17"/>
        <v>0</v>
      </c>
      <c r="W56" s="625">
        <v>0</v>
      </c>
      <c r="X56" s="625">
        <v>0</v>
      </c>
      <c r="Y56" s="625">
        <v>0</v>
      </c>
      <c r="Z56" s="625">
        <f t="shared" si="27"/>
        <v>0</v>
      </c>
    </row>
    <row r="57" spans="1:26" x14ac:dyDescent="0.25">
      <c r="A57" s="618"/>
      <c r="B57" s="619" t="s">
        <v>517</v>
      </c>
      <c r="C57" s="625"/>
      <c r="D57" s="625">
        <f>SUM(D58:D59)</f>
        <v>260</v>
      </c>
      <c r="E57" s="625">
        <v>0</v>
      </c>
      <c r="F57" s="625">
        <f>SUM(F58:F59)</f>
        <v>260</v>
      </c>
      <c r="G57" s="625">
        <f>SUM(G58:G61)</f>
        <v>0</v>
      </c>
      <c r="H57" s="625">
        <f>SUM(H58:H61)</f>
        <v>8408</v>
      </c>
      <c r="I57" s="625">
        <f>SUM(I58:I61)</f>
        <v>0</v>
      </c>
      <c r="J57" s="625">
        <f>SUM(J58:J61)</f>
        <v>8408</v>
      </c>
      <c r="K57" s="625"/>
      <c r="L57" s="625">
        <f>SUM(L58:L60)</f>
        <v>108432</v>
      </c>
      <c r="M57" s="625">
        <v>0</v>
      </c>
      <c r="N57" s="625">
        <f>SUM(N58:N60)</f>
        <v>108432</v>
      </c>
      <c r="O57" s="625">
        <f>SUM(O58:O60)</f>
        <v>260</v>
      </c>
      <c r="P57" s="625">
        <f>SUM(P58:P60)</f>
        <v>0</v>
      </c>
      <c r="Q57" s="625">
        <v>0</v>
      </c>
      <c r="R57" s="625">
        <f>SUM(R58:R60)</f>
        <v>260</v>
      </c>
      <c r="S57" s="625"/>
      <c r="T57" s="625">
        <f>SUM(T58:T60)</f>
        <v>0</v>
      </c>
      <c r="U57" s="625">
        <v>0</v>
      </c>
      <c r="V57" s="625">
        <f>SUM(V58:V60)</f>
        <v>0</v>
      </c>
      <c r="W57" s="625"/>
      <c r="X57" s="625">
        <f>SUM(X58:X60)</f>
        <v>0</v>
      </c>
      <c r="Y57" s="625">
        <v>0</v>
      </c>
      <c r="Z57" s="625">
        <f>SUM(Z58:Z60)</f>
        <v>0</v>
      </c>
    </row>
    <row r="58" spans="1:26" x14ac:dyDescent="0.25">
      <c r="A58" s="618"/>
      <c r="B58" s="622" t="s">
        <v>1337</v>
      </c>
      <c r="C58" s="624"/>
      <c r="D58" s="624">
        <v>260</v>
      </c>
      <c r="E58" s="624"/>
      <c r="F58" s="624">
        <v>260</v>
      </c>
      <c r="G58" s="624"/>
      <c r="H58" s="624">
        <v>260</v>
      </c>
      <c r="I58" s="624"/>
      <c r="J58" s="624">
        <f>SUM(G58:I58)</f>
        <v>260</v>
      </c>
      <c r="K58" s="624"/>
      <c r="L58" s="624">
        <v>260</v>
      </c>
      <c r="M58" s="624"/>
      <c r="N58" s="624">
        <v>260</v>
      </c>
      <c r="O58" s="624">
        <v>260</v>
      </c>
      <c r="P58" s="624">
        <v>0</v>
      </c>
      <c r="Q58" s="624"/>
      <c r="R58" s="624">
        <f>SUM(O58:Q58)</f>
        <v>260</v>
      </c>
      <c r="S58" s="624"/>
      <c r="T58" s="624"/>
      <c r="U58" s="624"/>
      <c r="V58" s="624">
        <f t="shared" ref="V58:V59" si="109">SUM(S58:U58)</f>
        <v>0</v>
      </c>
      <c r="W58" s="624"/>
      <c r="X58" s="624"/>
      <c r="Y58" s="624"/>
      <c r="Z58" s="624">
        <f t="shared" ref="Z58:Z59" si="110">SUM(W58:Y58)</f>
        <v>0</v>
      </c>
    </row>
    <row r="59" spans="1:26" ht="14.95" hidden="1" x14ac:dyDescent="0.25">
      <c r="A59" s="618"/>
      <c r="B59" s="622" t="s">
        <v>1307</v>
      </c>
      <c r="C59" s="624"/>
      <c r="D59" s="624">
        <v>0</v>
      </c>
      <c r="E59" s="624"/>
      <c r="F59" s="624">
        <v>0</v>
      </c>
      <c r="G59" s="624"/>
      <c r="H59" s="624">
        <v>0</v>
      </c>
      <c r="I59" s="624"/>
      <c r="J59" s="624">
        <f t="shared" ref="J59:J61" si="111">SUM(G59:I59)</f>
        <v>0</v>
      </c>
      <c r="K59" s="624"/>
      <c r="L59" s="624">
        <v>106705</v>
      </c>
      <c r="M59" s="624"/>
      <c r="N59" s="624">
        <v>106705</v>
      </c>
      <c r="O59" s="624"/>
      <c r="P59" s="624"/>
      <c r="Q59" s="624"/>
      <c r="R59" s="624">
        <f>SUM(O59:Q59)</f>
        <v>0</v>
      </c>
      <c r="S59" s="624"/>
      <c r="T59" s="624">
        <v>0</v>
      </c>
      <c r="U59" s="624"/>
      <c r="V59" s="624">
        <f t="shared" si="109"/>
        <v>0</v>
      </c>
      <c r="W59" s="624"/>
      <c r="X59" s="624">
        <v>0</v>
      </c>
      <c r="Y59" s="624"/>
      <c r="Z59" s="624">
        <f t="shared" si="110"/>
        <v>0</v>
      </c>
    </row>
    <row r="60" spans="1:26" ht="14.95" hidden="1" x14ac:dyDescent="0.25">
      <c r="A60" s="618"/>
      <c r="B60" s="622" t="s">
        <v>1383</v>
      </c>
      <c r="C60" s="624"/>
      <c r="D60" s="624"/>
      <c r="E60" s="624"/>
      <c r="F60" s="624"/>
      <c r="G60" s="624"/>
      <c r="H60" s="624"/>
      <c r="I60" s="624"/>
      <c r="J60" s="624">
        <f t="shared" si="111"/>
        <v>0</v>
      </c>
      <c r="K60" s="624"/>
      <c r="L60" s="624">
        <v>1467</v>
      </c>
      <c r="M60" s="624"/>
      <c r="N60" s="624">
        <f>SUM(K60:M60)</f>
        <v>1467</v>
      </c>
      <c r="O60" s="624"/>
      <c r="P60" s="624"/>
      <c r="Q60" s="624"/>
      <c r="R60" s="624">
        <f>SUM(O60:Q60)</f>
        <v>0</v>
      </c>
      <c r="S60" s="624"/>
      <c r="T60" s="624">
        <v>0</v>
      </c>
      <c r="U60" s="624"/>
      <c r="V60" s="624">
        <f>SUM(S60:U60)</f>
        <v>0</v>
      </c>
      <c r="W60" s="624"/>
      <c r="X60" s="624">
        <v>0</v>
      </c>
      <c r="Y60" s="624"/>
      <c r="Z60" s="624">
        <f>SUM(W60:Y60)</f>
        <v>0</v>
      </c>
    </row>
    <row r="61" spans="1:26" ht="14.95" x14ac:dyDescent="0.25">
      <c r="A61" s="618"/>
      <c r="B61" s="651" t="s">
        <v>1479</v>
      </c>
      <c r="C61" s="624"/>
      <c r="D61" s="624"/>
      <c r="E61" s="624"/>
      <c r="F61" s="624"/>
      <c r="G61" s="624"/>
      <c r="H61" s="624">
        <v>8148</v>
      </c>
      <c r="I61" s="624"/>
      <c r="J61" s="624">
        <f t="shared" si="111"/>
        <v>8148</v>
      </c>
      <c r="K61" s="624"/>
      <c r="L61" s="624"/>
      <c r="M61" s="624"/>
      <c r="N61" s="624"/>
      <c r="O61" s="624"/>
      <c r="P61" s="624"/>
      <c r="Q61" s="624"/>
      <c r="R61" s="624"/>
      <c r="S61" s="624"/>
      <c r="T61" s="624"/>
      <c r="U61" s="624"/>
      <c r="V61" s="624"/>
      <c r="W61" s="624"/>
      <c r="X61" s="624"/>
      <c r="Y61" s="624"/>
      <c r="Z61" s="624"/>
    </row>
    <row r="62" spans="1:26" x14ac:dyDescent="0.25">
      <c r="A62" s="612" t="s">
        <v>318</v>
      </c>
      <c r="B62" s="613" t="s">
        <v>319</v>
      </c>
      <c r="C62" s="614">
        <f t="shared" ref="C62:D62" si="112">C63+C67+C75</f>
        <v>4186</v>
      </c>
      <c r="D62" s="614">
        <f t="shared" si="112"/>
        <v>386983</v>
      </c>
      <c r="E62" s="614">
        <f t="shared" ref="E62" si="113">E63+E67+E75</f>
        <v>0</v>
      </c>
      <c r="F62" s="614">
        <f t="shared" si="9"/>
        <v>391169</v>
      </c>
      <c r="G62" s="614">
        <f t="shared" ref="G62:I62" si="114">G63+G67+G75</f>
        <v>70588</v>
      </c>
      <c r="H62" s="614">
        <f t="shared" si="114"/>
        <v>521270</v>
      </c>
      <c r="I62" s="614">
        <f t="shared" si="114"/>
        <v>0</v>
      </c>
      <c r="J62" s="614">
        <f t="shared" ref="J62:J74" si="115">SUM(G62:I62)</f>
        <v>591858</v>
      </c>
      <c r="K62" s="614">
        <f t="shared" ref="K62:M62" si="116">K63+K67+K75</f>
        <v>4186</v>
      </c>
      <c r="L62" s="614">
        <f t="shared" si="116"/>
        <v>446528</v>
      </c>
      <c r="M62" s="614">
        <f t="shared" si="116"/>
        <v>0</v>
      </c>
      <c r="N62" s="614">
        <f t="shared" ref="N62:N74" si="117">SUM(K62:M62)</f>
        <v>450714</v>
      </c>
      <c r="O62" s="614">
        <f t="shared" ref="O62:Q62" si="118">O63+O67+O75</f>
        <v>588460</v>
      </c>
      <c r="P62" s="614">
        <f t="shared" si="118"/>
        <v>0</v>
      </c>
      <c r="Q62" s="614">
        <f t="shared" si="118"/>
        <v>0</v>
      </c>
      <c r="R62" s="614">
        <f t="shared" ref="R62:R74" si="119">SUM(O62:Q62)</f>
        <v>588460</v>
      </c>
      <c r="S62" s="614">
        <f t="shared" ref="S62:U62" si="120">S63+S67+S75</f>
        <v>492377</v>
      </c>
      <c r="T62" s="614">
        <f t="shared" si="120"/>
        <v>1650</v>
      </c>
      <c r="U62" s="614">
        <f t="shared" si="120"/>
        <v>0</v>
      </c>
      <c r="V62" s="614">
        <f t="shared" ref="V62:V74" si="121">SUM(S62:U62)</f>
        <v>494027</v>
      </c>
      <c r="W62" s="614">
        <f t="shared" ref="W62:Y62" si="122">W63+W67+W75</f>
        <v>492377</v>
      </c>
      <c r="X62" s="614">
        <f t="shared" si="122"/>
        <v>1650</v>
      </c>
      <c r="Y62" s="614">
        <f t="shared" si="122"/>
        <v>0</v>
      </c>
      <c r="Z62" s="614">
        <f t="shared" ref="Z62:Z74" si="123">SUM(W62:Y62)</f>
        <v>494027</v>
      </c>
    </row>
    <row r="63" spans="1:26" x14ac:dyDescent="0.25">
      <c r="A63" s="615" t="s">
        <v>311</v>
      </c>
      <c r="B63" s="616" t="s">
        <v>320</v>
      </c>
      <c r="C63" s="617">
        <f t="shared" ref="C63:D63" si="124">C64+C65+C66</f>
        <v>0</v>
      </c>
      <c r="D63" s="617">
        <f t="shared" si="124"/>
        <v>0</v>
      </c>
      <c r="E63" s="617">
        <f t="shared" ref="E63" si="125">E64+E65+E66</f>
        <v>0</v>
      </c>
      <c r="F63" s="617">
        <f t="shared" si="9"/>
        <v>0</v>
      </c>
      <c r="G63" s="617">
        <f t="shared" ref="G63:I63" si="126">G64+G65+G66</f>
        <v>0</v>
      </c>
      <c r="H63" s="628">
        <f t="shared" si="126"/>
        <v>14100</v>
      </c>
      <c r="I63" s="617">
        <f t="shared" si="126"/>
        <v>0</v>
      </c>
      <c r="J63" s="628">
        <f t="shared" si="115"/>
        <v>14100</v>
      </c>
      <c r="K63" s="617">
        <f t="shared" ref="K63:M63" si="127">K64+K65+K66</f>
        <v>0</v>
      </c>
      <c r="L63" s="628">
        <f t="shared" si="127"/>
        <v>153384</v>
      </c>
      <c r="M63" s="617">
        <f t="shared" si="127"/>
        <v>0</v>
      </c>
      <c r="N63" s="628">
        <f t="shared" si="117"/>
        <v>153384</v>
      </c>
      <c r="O63" s="617">
        <f t="shared" ref="O63:Q63" si="128">O64+O65+O66</f>
        <v>21100</v>
      </c>
      <c r="P63" s="628">
        <f t="shared" si="128"/>
        <v>0</v>
      </c>
      <c r="Q63" s="617">
        <f t="shared" si="128"/>
        <v>0</v>
      </c>
      <c r="R63" s="628">
        <f t="shared" si="119"/>
        <v>21100</v>
      </c>
      <c r="S63" s="617">
        <f t="shared" ref="S63:U63" si="129">S64+S65+S66</f>
        <v>200000</v>
      </c>
      <c r="T63" s="628">
        <f t="shared" si="129"/>
        <v>0</v>
      </c>
      <c r="U63" s="617">
        <f t="shared" si="129"/>
        <v>0</v>
      </c>
      <c r="V63" s="628">
        <f t="shared" si="121"/>
        <v>200000</v>
      </c>
      <c r="W63" s="617">
        <f t="shared" ref="W63:Y63" si="130">W64+W65+W66</f>
        <v>200000</v>
      </c>
      <c r="X63" s="628">
        <f t="shared" si="130"/>
        <v>0</v>
      </c>
      <c r="Y63" s="617">
        <f t="shared" si="130"/>
        <v>0</v>
      </c>
      <c r="Z63" s="628">
        <f t="shared" si="123"/>
        <v>200000</v>
      </c>
    </row>
    <row r="64" spans="1:26" x14ac:dyDescent="0.25">
      <c r="A64" s="618"/>
      <c r="B64" s="629" t="s">
        <v>518</v>
      </c>
      <c r="C64" s="625">
        <v>0</v>
      </c>
      <c r="D64" s="625">
        <v>0</v>
      </c>
      <c r="E64" s="625">
        <v>0</v>
      </c>
      <c r="F64" s="625">
        <f t="shared" si="9"/>
        <v>0</v>
      </c>
      <c r="G64" s="625">
        <v>0</v>
      </c>
      <c r="H64" s="630">
        <v>14100</v>
      </c>
      <c r="I64" s="625">
        <v>0</v>
      </c>
      <c r="J64" s="630">
        <f t="shared" si="115"/>
        <v>14100</v>
      </c>
      <c r="K64" s="625">
        <v>0</v>
      </c>
      <c r="L64" s="630">
        <v>0</v>
      </c>
      <c r="M64" s="625">
        <v>0</v>
      </c>
      <c r="N64" s="630">
        <f t="shared" si="117"/>
        <v>0</v>
      </c>
      <c r="O64" s="625">
        <v>14100</v>
      </c>
      <c r="P64" s="630">
        <v>0</v>
      </c>
      <c r="Q64" s="625">
        <v>0</v>
      </c>
      <c r="R64" s="630">
        <f t="shared" si="119"/>
        <v>14100</v>
      </c>
      <c r="S64" s="625">
        <v>200000</v>
      </c>
      <c r="T64" s="630">
        <v>0</v>
      </c>
      <c r="U64" s="625">
        <v>0</v>
      </c>
      <c r="V64" s="630">
        <f t="shared" si="121"/>
        <v>200000</v>
      </c>
      <c r="W64" s="625">
        <v>200000</v>
      </c>
      <c r="X64" s="630">
        <v>0</v>
      </c>
      <c r="Y64" s="625">
        <v>0</v>
      </c>
      <c r="Z64" s="630">
        <f t="shared" si="123"/>
        <v>200000</v>
      </c>
    </row>
    <row r="65" spans="1:26" x14ac:dyDescent="0.25">
      <c r="A65" s="618"/>
      <c r="B65" s="629" t="s">
        <v>519</v>
      </c>
      <c r="C65" s="625">
        <v>0</v>
      </c>
      <c r="D65" s="625">
        <v>0</v>
      </c>
      <c r="E65" s="625">
        <v>0</v>
      </c>
      <c r="F65" s="625">
        <f t="shared" si="9"/>
        <v>0</v>
      </c>
      <c r="G65" s="625">
        <v>0</v>
      </c>
      <c r="H65" s="630">
        <v>0</v>
      </c>
      <c r="I65" s="625">
        <v>0</v>
      </c>
      <c r="J65" s="630">
        <f t="shared" si="115"/>
        <v>0</v>
      </c>
      <c r="K65" s="625">
        <v>0</v>
      </c>
      <c r="L65" s="630">
        <v>0</v>
      </c>
      <c r="M65" s="625">
        <v>0</v>
      </c>
      <c r="N65" s="630">
        <f t="shared" si="117"/>
        <v>0</v>
      </c>
      <c r="O65" s="625">
        <v>0</v>
      </c>
      <c r="P65" s="630">
        <v>0</v>
      </c>
      <c r="Q65" s="625">
        <v>0</v>
      </c>
      <c r="R65" s="630">
        <f t="shared" si="119"/>
        <v>0</v>
      </c>
      <c r="S65" s="625">
        <v>0</v>
      </c>
      <c r="T65" s="630">
        <v>0</v>
      </c>
      <c r="U65" s="625">
        <v>0</v>
      </c>
      <c r="V65" s="630">
        <f t="shared" si="121"/>
        <v>0</v>
      </c>
      <c r="W65" s="625">
        <v>0</v>
      </c>
      <c r="X65" s="630">
        <v>0</v>
      </c>
      <c r="Y65" s="625">
        <v>0</v>
      </c>
      <c r="Z65" s="630">
        <f t="shared" si="123"/>
        <v>0</v>
      </c>
    </row>
    <row r="66" spans="1:26" x14ac:dyDescent="0.25">
      <c r="A66" s="618"/>
      <c r="B66" s="629" t="s">
        <v>520</v>
      </c>
      <c r="C66" s="625">
        <v>0</v>
      </c>
      <c r="D66" s="625">
        <v>0</v>
      </c>
      <c r="E66" s="625">
        <v>0</v>
      </c>
      <c r="F66" s="625">
        <f t="shared" si="9"/>
        <v>0</v>
      </c>
      <c r="G66" s="625">
        <v>0</v>
      </c>
      <c r="H66" s="630">
        <v>0</v>
      </c>
      <c r="I66" s="625">
        <v>0</v>
      </c>
      <c r="J66" s="630">
        <f t="shared" si="115"/>
        <v>0</v>
      </c>
      <c r="K66" s="625">
        <v>0</v>
      </c>
      <c r="L66" s="630">
        <v>153384</v>
      </c>
      <c r="M66" s="625">
        <v>0</v>
      </c>
      <c r="N66" s="630">
        <f t="shared" si="117"/>
        <v>153384</v>
      </c>
      <c r="O66" s="625">
        <v>7000</v>
      </c>
      <c r="P66" s="630"/>
      <c r="Q66" s="625">
        <v>0</v>
      </c>
      <c r="R66" s="630">
        <f t="shared" si="119"/>
        <v>7000</v>
      </c>
      <c r="S66" s="625">
        <v>0</v>
      </c>
      <c r="T66" s="630">
        <v>0</v>
      </c>
      <c r="U66" s="625">
        <v>0</v>
      </c>
      <c r="V66" s="630">
        <f t="shared" si="121"/>
        <v>0</v>
      </c>
      <c r="W66" s="625">
        <v>0</v>
      </c>
      <c r="X66" s="630">
        <v>0</v>
      </c>
      <c r="Y66" s="625">
        <v>0</v>
      </c>
      <c r="Z66" s="630">
        <f t="shared" si="123"/>
        <v>0</v>
      </c>
    </row>
    <row r="67" spans="1:26" x14ac:dyDescent="0.25">
      <c r="A67" s="615" t="s">
        <v>322</v>
      </c>
      <c r="B67" s="616" t="s">
        <v>257</v>
      </c>
      <c r="C67" s="617">
        <f t="shared" ref="C67:D67" si="131">C68+C69+C73+C74</f>
        <v>0</v>
      </c>
      <c r="D67" s="617">
        <f t="shared" si="131"/>
        <v>385369</v>
      </c>
      <c r="E67" s="617">
        <f t="shared" ref="E67" si="132">E68+E69+E73+E74</f>
        <v>0</v>
      </c>
      <c r="F67" s="617">
        <f t="shared" si="9"/>
        <v>385369</v>
      </c>
      <c r="G67" s="617">
        <f t="shared" ref="G67:I67" si="133">G68+G69+G73+G74</f>
        <v>0</v>
      </c>
      <c r="H67" s="617">
        <f t="shared" si="133"/>
        <v>495556</v>
      </c>
      <c r="I67" s="617">
        <f t="shared" si="133"/>
        <v>0</v>
      </c>
      <c r="J67" s="617">
        <f t="shared" si="115"/>
        <v>495556</v>
      </c>
      <c r="K67" s="617">
        <f t="shared" ref="K67:M67" si="134">K68+K69+K73+K74</f>
        <v>0</v>
      </c>
      <c r="L67" s="617">
        <f t="shared" si="134"/>
        <v>153404</v>
      </c>
      <c r="M67" s="617">
        <f t="shared" si="134"/>
        <v>0</v>
      </c>
      <c r="N67" s="617">
        <f t="shared" si="117"/>
        <v>153404</v>
      </c>
      <c r="O67" s="617">
        <f t="shared" ref="O67:Q67" si="135">O68+O69+O73+O74</f>
        <v>498415</v>
      </c>
      <c r="P67" s="617">
        <f t="shared" si="135"/>
        <v>0</v>
      </c>
      <c r="Q67" s="617">
        <f t="shared" si="135"/>
        <v>0</v>
      </c>
      <c r="R67" s="617">
        <f t="shared" si="119"/>
        <v>498415</v>
      </c>
      <c r="S67" s="617">
        <f t="shared" ref="S67:U67" si="136">S68+S69+S73+S74</f>
        <v>243000</v>
      </c>
      <c r="T67" s="617">
        <f t="shared" si="136"/>
        <v>0</v>
      </c>
      <c r="U67" s="617">
        <f t="shared" si="136"/>
        <v>0</v>
      </c>
      <c r="V67" s="617">
        <f t="shared" si="121"/>
        <v>243000</v>
      </c>
      <c r="W67" s="617">
        <f t="shared" ref="W67:Y67" si="137">W68+W69+W73+W74</f>
        <v>243000</v>
      </c>
      <c r="X67" s="617">
        <f t="shared" si="137"/>
        <v>0</v>
      </c>
      <c r="Y67" s="617">
        <f t="shared" si="137"/>
        <v>0</v>
      </c>
      <c r="Z67" s="617">
        <f t="shared" si="123"/>
        <v>243000</v>
      </c>
    </row>
    <row r="68" spans="1:26" x14ac:dyDescent="0.25">
      <c r="A68" s="618"/>
      <c r="B68" s="629" t="s">
        <v>323</v>
      </c>
      <c r="C68" s="625">
        <v>0</v>
      </c>
      <c r="D68" s="625">
        <v>0</v>
      </c>
      <c r="E68" s="625">
        <v>0</v>
      </c>
      <c r="F68" s="625">
        <f t="shared" si="9"/>
        <v>0</v>
      </c>
      <c r="G68" s="625">
        <v>0</v>
      </c>
      <c r="H68" s="625">
        <v>0</v>
      </c>
      <c r="I68" s="625">
        <v>0</v>
      </c>
      <c r="J68" s="625">
        <f t="shared" si="115"/>
        <v>0</v>
      </c>
      <c r="K68" s="625">
        <v>0</v>
      </c>
      <c r="L68" s="625">
        <v>0</v>
      </c>
      <c r="M68" s="625">
        <v>0</v>
      </c>
      <c r="N68" s="625">
        <f t="shared" si="117"/>
        <v>0</v>
      </c>
      <c r="O68" s="625">
        <v>0</v>
      </c>
      <c r="P68" s="625">
        <v>0</v>
      </c>
      <c r="Q68" s="625">
        <v>0</v>
      </c>
      <c r="R68" s="625">
        <f t="shared" si="119"/>
        <v>0</v>
      </c>
      <c r="S68" s="625">
        <v>0</v>
      </c>
      <c r="T68" s="625">
        <v>0</v>
      </c>
      <c r="U68" s="625">
        <v>0</v>
      </c>
      <c r="V68" s="625">
        <f t="shared" si="121"/>
        <v>0</v>
      </c>
      <c r="W68" s="625">
        <v>0</v>
      </c>
      <c r="X68" s="625">
        <v>0</v>
      </c>
      <c r="Y68" s="625">
        <v>0</v>
      </c>
      <c r="Z68" s="625">
        <f t="shared" si="123"/>
        <v>0</v>
      </c>
    </row>
    <row r="69" spans="1:26" x14ac:dyDescent="0.25">
      <c r="A69" s="618"/>
      <c r="B69" s="629" t="s">
        <v>521</v>
      </c>
      <c r="C69" s="625">
        <f t="shared" ref="C69:E69" si="138">SUM(C70:C72)</f>
        <v>0</v>
      </c>
      <c r="D69" s="625">
        <f t="shared" si="138"/>
        <v>385369</v>
      </c>
      <c r="E69" s="625">
        <f t="shared" si="138"/>
        <v>0</v>
      </c>
      <c r="F69" s="625">
        <f t="shared" si="9"/>
        <v>385369</v>
      </c>
      <c r="G69" s="625">
        <f t="shared" ref="G69:I69" si="139">SUM(G70:G72)</f>
        <v>0</v>
      </c>
      <c r="H69" s="625">
        <f t="shared" si="139"/>
        <v>495556</v>
      </c>
      <c r="I69" s="625">
        <f t="shared" si="139"/>
        <v>0</v>
      </c>
      <c r="J69" s="625">
        <f t="shared" si="115"/>
        <v>495556</v>
      </c>
      <c r="K69" s="625">
        <f t="shared" ref="K69:M69" si="140">SUM(K70:K72)</f>
        <v>0</v>
      </c>
      <c r="L69" s="625">
        <f t="shared" si="140"/>
        <v>153404</v>
      </c>
      <c r="M69" s="625">
        <f t="shared" si="140"/>
        <v>0</v>
      </c>
      <c r="N69" s="625">
        <f t="shared" si="117"/>
        <v>153404</v>
      </c>
      <c r="O69" s="625">
        <f t="shared" ref="O69:Q69" si="141">SUM(O70:O72)</f>
        <v>498415</v>
      </c>
      <c r="P69" s="625">
        <f t="shared" si="141"/>
        <v>0</v>
      </c>
      <c r="Q69" s="625">
        <f t="shared" si="141"/>
        <v>0</v>
      </c>
      <c r="R69" s="625">
        <f t="shared" si="119"/>
        <v>498415</v>
      </c>
      <c r="S69" s="625">
        <f t="shared" ref="S69:U69" si="142">SUM(S70:S72)</f>
        <v>243000</v>
      </c>
      <c r="T69" s="625">
        <f t="shared" si="142"/>
        <v>0</v>
      </c>
      <c r="U69" s="625">
        <f t="shared" si="142"/>
        <v>0</v>
      </c>
      <c r="V69" s="625">
        <f t="shared" si="121"/>
        <v>243000</v>
      </c>
      <c r="W69" s="625">
        <f t="shared" ref="W69:Y69" si="143">SUM(W70:W72)</f>
        <v>243000</v>
      </c>
      <c r="X69" s="625">
        <f t="shared" si="143"/>
        <v>0</v>
      </c>
      <c r="Y69" s="625">
        <f t="shared" si="143"/>
        <v>0</v>
      </c>
      <c r="Z69" s="625">
        <f t="shared" si="123"/>
        <v>243000</v>
      </c>
    </row>
    <row r="70" spans="1:26" x14ac:dyDescent="0.25">
      <c r="A70" s="618"/>
      <c r="B70" s="622" t="s">
        <v>522</v>
      </c>
      <c r="C70" s="624">
        <v>0</v>
      </c>
      <c r="D70" s="624">
        <v>2049</v>
      </c>
      <c r="E70" s="624">
        <v>0</v>
      </c>
      <c r="F70" s="624">
        <f t="shared" si="9"/>
        <v>2049</v>
      </c>
      <c r="G70" s="624">
        <v>0</v>
      </c>
      <c r="H70" s="624">
        <v>2049</v>
      </c>
      <c r="I70" s="624">
        <v>0</v>
      </c>
      <c r="J70" s="624">
        <f t="shared" si="115"/>
        <v>2049</v>
      </c>
      <c r="K70" s="624">
        <v>0</v>
      </c>
      <c r="L70" s="624">
        <v>3404</v>
      </c>
      <c r="M70" s="624">
        <v>0</v>
      </c>
      <c r="N70" s="624">
        <f t="shared" si="117"/>
        <v>3404</v>
      </c>
      <c r="O70" s="624">
        <v>0</v>
      </c>
      <c r="P70" s="624"/>
      <c r="Q70" s="624">
        <v>0</v>
      </c>
      <c r="R70" s="624">
        <f t="shared" si="119"/>
        <v>0</v>
      </c>
      <c r="S70" s="624">
        <v>0</v>
      </c>
      <c r="T70" s="624"/>
      <c r="U70" s="624">
        <v>0</v>
      </c>
      <c r="V70" s="624">
        <f t="shared" si="121"/>
        <v>0</v>
      </c>
      <c r="W70" s="624">
        <v>0</v>
      </c>
      <c r="X70" s="624"/>
      <c r="Y70" s="624">
        <v>0</v>
      </c>
      <c r="Z70" s="624">
        <f t="shared" si="123"/>
        <v>0</v>
      </c>
    </row>
    <row r="71" spans="1:26" x14ac:dyDescent="0.25">
      <c r="A71" s="618"/>
      <c r="B71" s="622" t="s">
        <v>523</v>
      </c>
      <c r="C71" s="624">
        <v>0</v>
      </c>
      <c r="D71" s="624">
        <v>0</v>
      </c>
      <c r="E71" s="624">
        <v>0</v>
      </c>
      <c r="F71" s="624">
        <f t="shared" si="9"/>
        <v>0</v>
      </c>
      <c r="G71" s="624">
        <v>0</v>
      </c>
      <c r="H71" s="624">
        <v>0</v>
      </c>
      <c r="I71" s="624">
        <v>0</v>
      </c>
      <c r="J71" s="624">
        <f t="shared" si="115"/>
        <v>0</v>
      </c>
      <c r="K71" s="624">
        <v>0</v>
      </c>
      <c r="L71" s="624">
        <v>0</v>
      </c>
      <c r="M71" s="624">
        <v>0</v>
      </c>
      <c r="N71" s="624">
        <f t="shared" si="117"/>
        <v>0</v>
      </c>
      <c r="O71" s="624">
        <v>0</v>
      </c>
      <c r="P71" s="624">
        <v>0</v>
      </c>
      <c r="Q71" s="624">
        <v>0</v>
      </c>
      <c r="R71" s="624">
        <f t="shared" si="119"/>
        <v>0</v>
      </c>
      <c r="S71" s="624">
        <v>0</v>
      </c>
      <c r="T71" s="624">
        <v>0</v>
      </c>
      <c r="U71" s="624">
        <v>0</v>
      </c>
      <c r="V71" s="624">
        <f t="shared" si="121"/>
        <v>0</v>
      </c>
      <c r="W71" s="624">
        <v>0</v>
      </c>
      <c r="X71" s="624">
        <v>0</v>
      </c>
      <c r="Y71" s="624">
        <v>0</v>
      </c>
      <c r="Z71" s="624">
        <f t="shared" si="123"/>
        <v>0</v>
      </c>
    </row>
    <row r="72" spans="1:26" x14ac:dyDescent="0.25">
      <c r="A72" s="683"/>
      <c r="B72" s="684" t="s">
        <v>524</v>
      </c>
      <c r="C72" s="685">
        <v>0</v>
      </c>
      <c r="D72" s="685">
        <v>383320</v>
      </c>
      <c r="E72" s="685">
        <v>0</v>
      </c>
      <c r="F72" s="685">
        <f t="shared" si="9"/>
        <v>383320</v>
      </c>
      <c r="G72" s="685">
        <v>0</v>
      </c>
      <c r="H72" s="685">
        <f>383320+110187</f>
        <v>493507</v>
      </c>
      <c r="I72" s="685">
        <v>0</v>
      </c>
      <c r="J72" s="685">
        <f t="shared" si="115"/>
        <v>493507</v>
      </c>
      <c r="K72" s="685">
        <v>0</v>
      </c>
      <c r="L72" s="685">
        <v>150000</v>
      </c>
      <c r="M72" s="685">
        <v>0</v>
      </c>
      <c r="N72" s="685">
        <f t="shared" si="117"/>
        <v>150000</v>
      </c>
      <c r="O72" s="685">
        <v>498415</v>
      </c>
      <c r="P72" s="685"/>
      <c r="Q72" s="685">
        <v>0</v>
      </c>
      <c r="R72" s="685">
        <f t="shared" si="119"/>
        <v>498415</v>
      </c>
      <c r="S72" s="685">
        <f>10000+230000+3000</f>
        <v>243000</v>
      </c>
      <c r="T72" s="685"/>
      <c r="U72" s="685">
        <v>0</v>
      </c>
      <c r="V72" s="685">
        <f t="shared" si="121"/>
        <v>243000</v>
      </c>
      <c r="W72" s="685">
        <f>10000+230000+3000</f>
        <v>243000</v>
      </c>
      <c r="X72" s="685"/>
      <c r="Y72" s="685">
        <v>0</v>
      </c>
      <c r="Z72" s="685">
        <f t="shared" si="123"/>
        <v>243000</v>
      </c>
    </row>
    <row r="73" spans="1:26" x14ac:dyDescent="0.25">
      <c r="A73" s="618"/>
      <c r="B73" s="629" t="s">
        <v>525</v>
      </c>
      <c r="C73" s="625">
        <v>0</v>
      </c>
      <c r="D73" s="625">
        <v>0</v>
      </c>
      <c r="E73" s="625">
        <v>0</v>
      </c>
      <c r="F73" s="625">
        <f t="shared" si="9"/>
        <v>0</v>
      </c>
      <c r="G73" s="625">
        <v>0</v>
      </c>
      <c r="H73" s="625">
        <v>0</v>
      </c>
      <c r="I73" s="625">
        <v>0</v>
      </c>
      <c r="J73" s="625">
        <f t="shared" si="115"/>
        <v>0</v>
      </c>
      <c r="K73" s="625">
        <v>0</v>
      </c>
      <c r="L73" s="625">
        <v>0</v>
      </c>
      <c r="M73" s="625">
        <v>0</v>
      </c>
      <c r="N73" s="625">
        <f t="shared" si="117"/>
        <v>0</v>
      </c>
      <c r="O73" s="625">
        <v>0</v>
      </c>
      <c r="P73" s="625">
        <v>0</v>
      </c>
      <c r="Q73" s="625">
        <v>0</v>
      </c>
      <c r="R73" s="625">
        <f t="shared" si="119"/>
        <v>0</v>
      </c>
      <c r="S73" s="625">
        <v>0</v>
      </c>
      <c r="T73" s="625">
        <v>0</v>
      </c>
      <c r="U73" s="625">
        <v>0</v>
      </c>
      <c r="V73" s="625">
        <f t="shared" si="121"/>
        <v>0</v>
      </c>
      <c r="W73" s="625">
        <v>0</v>
      </c>
      <c r="X73" s="625">
        <v>0</v>
      </c>
      <c r="Y73" s="625">
        <v>0</v>
      </c>
      <c r="Z73" s="625">
        <f t="shared" si="123"/>
        <v>0</v>
      </c>
    </row>
    <row r="74" spans="1:26" x14ac:dyDescent="0.25">
      <c r="A74" s="618"/>
      <c r="B74" s="629" t="s">
        <v>526</v>
      </c>
      <c r="C74" s="625">
        <v>0</v>
      </c>
      <c r="D74" s="625">
        <v>0</v>
      </c>
      <c r="E74" s="625">
        <v>0</v>
      </c>
      <c r="F74" s="625">
        <f t="shared" si="9"/>
        <v>0</v>
      </c>
      <c r="G74" s="625">
        <v>0</v>
      </c>
      <c r="H74" s="625">
        <v>0</v>
      </c>
      <c r="I74" s="625">
        <v>0</v>
      </c>
      <c r="J74" s="625">
        <f t="shared" si="115"/>
        <v>0</v>
      </c>
      <c r="K74" s="625">
        <v>0</v>
      </c>
      <c r="L74" s="625">
        <v>0</v>
      </c>
      <c r="M74" s="625">
        <v>0</v>
      </c>
      <c r="N74" s="625">
        <f t="shared" si="117"/>
        <v>0</v>
      </c>
      <c r="O74" s="625">
        <v>0</v>
      </c>
      <c r="P74" s="625">
        <v>0</v>
      </c>
      <c r="Q74" s="625">
        <v>0</v>
      </c>
      <c r="R74" s="625">
        <f t="shared" si="119"/>
        <v>0</v>
      </c>
      <c r="S74" s="625">
        <v>0</v>
      </c>
      <c r="T74" s="625">
        <v>0</v>
      </c>
      <c r="U74" s="625">
        <v>0</v>
      </c>
      <c r="V74" s="625">
        <f t="shared" si="121"/>
        <v>0</v>
      </c>
      <c r="W74" s="625">
        <v>0</v>
      </c>
      <c r="X74" s="625">
        <v>0</v>
      </c>
      <c r="Y74" s="625">
        <v>0</v>
      </c>
      <c r="Z74" s="625">
        <f t="shared" si="123"/>
        <v>0</v>
      </c>
    </row>
    <row r="75" spans="1:26" x14ac:dyDescent="0.25">
      <c r="A75" s="615" t="s">
        <v>315</v>
      </c>
      <c r="B75" s="616" t="s">
        <v>325</v>
      </c>
      <c r="C75" s="617">
        <f t="shared" ref="C75:D75" si="144">C78+C82+C76+C77</f>
        <v>4186</v>
      </c>
      <c r="D75" s="617">
        <f t="shared" si="144"/>
        <v>1614</v>
      </c>
      <c r="E75" s="617">
        <f t="shared" ref="E75" si="145">E78+E82+E76+E77</f>
        <v>0</v>
      </c>
      <c r="F75" s="617">
        <f t="shared" ref="F75:F108" si="146">SUM(C75:E75)</f>
        <v>5800</v>
      </c>
      <c r="G75" s="617">
        <f>G78+G82+G76+G77+G89</f>
        <v>70588</v>
      </c>
      <c r="H75" s="617">
        <f>H78+H82+H76+H77+H89</f>
        <v>11614</v>
      </c>
      <c r="I75" s="617">
        <f>I78+I82+I76+I77+I89</f>
        <v>0</v>
      </c>
      <c r="J75" s="617">
        <f t="shared" ref="J75:J93" si="147">SUM(G75:I75)</f>
        <v>82202</v>
      </c>
      <c r="K75" s="617">
        <f t="shared" ref="K75:M75" si="148">K78+K82+K76+K77</f>
        <v>4186</v>
      </c>
      <c r="L75" s="617">
        <f t="shared" si="148"/>
        <v>139740</v>
      </c>
      <c r="M75" s="617">
        <f t="shared" si="148"/>
        <v>0</v>
      </c>
      <c r="N75" s="617">
        <f t="shared" ref="N75:N93" si="149">SUM(K75:M75)</f>
        <v>143926</v>
      </c>
      <c r="O75" s="617">
        <f>O78+O82+O76+O77+O89</f>
        <v>68945</v>
      </c>
      <c r="P75" s="617">
        <f t="shared" ref="P75:Q75" si="150">P78+P82+P76+P77</f>
        <v>0</v>
      </c>
      <c r="Q75" s="617">
        <f t="shared" si="150"/>
        <v>0</v>
      </c>
      <c r="R75" s="617">
        <f t="shared" ref="R75:R93" si="151">SUM(O75:Q75)</f>
        <v>68945</v>
      </c>
      <c r="S75" s="617">
        <f>S78+S82+S76+S77+S89</f>
        <v>49377</v>
      </c>
      <c r="T75" s="617">
        <f t="shared" ref="T75:U75" si="152">T78+T82+T76+T77</f>
        <v>1650</v>
      </c>
      <c r="U75" s="617">
        <f t="shared" si="152"/>
        <v>0</v>
      </c>
      <c r="V75" s="617">
        <f t="shared" ref="V75:V93" si="153">SUM(S75:U75)</f>
        <v>51027</v>
      </c>
      <c r="W75" s="617">
        <f>W78+W82+W76+W77+W89</f>
        <v>49377</v>
      </c>
      <c r="X75" s="617">
        <f t="shared" ref="X75:Y75" si="154">X78+X82+X76+X77</f>
        <v>1650</v>
      </c>
      <c r="Y75" s="617">
        <f t="shared" si="154"/>
        <v>0</v>
      </c>
      <c r="Z75" s="617">
        <f t="shared" ref="Z75:Z88" si="155">SUM(W75:Y75)</f>
        <v>51027</v>
      </c>
    </row>
    <row r="76" spans="1:26" x14ac:dyDescent="0.25">
      <c r="A76" s="618"/>
      <c r="B76" s="629" t="s">
        <v>527</v>
      </c>
      <c r="C76" s="625">
        <v>0</v>
      </c>
      <c r="D76" s="625">
        <v>0</v>
      </c>
      <c r="E76" s="625">
        <v>0</v>
      </c>
      <c r="F76" s="625">
        <f t="shared" si="146"/>
        <v>0</v>
      </c>
      <c r="G76" s="625">
        <v>0</v>
      </c>
      <c r="H76" s="625">
        <v>0</v>
      </c>
      <c r="I76" s="625">
        <v>0</v>
      </c>
      <c r="J76" s="625">
        <f t="shared" si="147"/>
        <v>0</v>
      </c>
      <c r="K76" s="625">
        <v>0</v>
      </c>
      <c r="L76" s="625">
        <v>0</v>
      </c>
      <c r="M76" s="625">
        <v>0</v>
      </c>
      <c r="N76" s="625">
        <f t="shared" si="149"/>
        <v>0</v>
      </c>
      <c r="O76" s="625">
        <v>0</v>
      </c>
      <c r="P76" s="625"/>
      <c r="Q76" s="625">
        <v>0</v>
      </c>
      <c r="R76" s="625">
        <f t="shared" si="151"/>
        <v>0</v>
      </c>
      <c r="S76" s="625">
        <v>0</v>
      </c>
      <c r="T76" s="625">
        <v>0</v>
      </c>
      <c r="U76" s="625">
        <v>0</v>
      </c>
      <c r="V76" s="625">
        <f t="shared" si="153"/>
        <v>0</v>
      </c>
      <c r="W76" s="625">
        <v>0</v>
      </c>
      <c r="X76" s="625">
        <v>0</v>
      </c>
      <c r="Y76" s="625">
        <v>0</v>
      </c>
      <c r="Z76" s="625">
        <f t="shared" si="155"/>
        <v>0</v>
      </c>
    </row>
    <row r="77" spans="1:26" s="621" customFormat="1" ht="28.55" x14ac:dyDescent="0.25">
      <c r="A77" s="618"/>
      <c r="B77" s="631" t="s">
        <v>528</v>
      </c>
      <c r="C77" s="620">
        <v>0</v>
      </c>
      <c r="D77" s="620">
        <v>0</v>
      </c>
      <c r="E77" s="620">
        <v>0</v>
      </c>
      <c r="F77" s="620">
        <f t="shared" si="146"/>
        <v>0</v>
      </c>
      <c r="G77" s="620">
        <v>0</v>
      </c>
      <c r="H77" s="620">
        <v>0</v>
      </c>
      <c r="I77" s="620">
        <v>0</v>
      </c>
      <c r="J77" s="620">
        <f t="shared" si="147"/>
        <v>0</v>
      </c>
      <c r="K77" s="620">
        <v>0</v>
      </c>
      <c r="L77" s="620">
        <v>0</v>
      </c>
      <c r="M77" s="620">
        <v>0</v>
      </c>
      <c r="N77" s="620">
        <f t="shared" si="149"/>
        <v>0</v>
      </c>
      <c r="O77" s="620">
        <v>0</v>
      </c>
      <c r="P77" s="620">
        <v>0</v>
      </c>
      <c r="Q77" s="620">
        <v>0</v>
      </c>
      <c r="R77" s="620">
        <f t="shared" si="151"/>
        <v>0</v>
      </c>
      <c r="S77" s="620">
        <v>0</v>
      </c>
      <c r="T77" s="620">
        <v>0</v>
      </c>
      <c r="U77" s="620">
        <v>0</v>
      </c>
      <c r="V77" s="620">
        <f t="shared" si="153"/>
        <v>0</v>
      </c>
      <c r="W77" s="620">
        <v>0</v>
      </c>
      <c r="X77" s="620">
        <v>0</v>
      </c>
      <c r="Y77" s="620">
        <v>0</v>
      </c>
      <c r="Z77" s="620">
        <f t="shared" si="155"/>
        <v>0</v>
      </c>
    </row>
    <row r="78" spans="1:26" x14ac:dyDescent="0.25">
      <c r="A78" s="618"/>
      <c r="B78" s="629" t="s">
        <v>529</v>
      </c>
      <c r="C78" s="625">
        <f t="shared" ref="C78:D78" si="156">SUM(C79:C81)</f>
        <v>0</v>
      </c>
      <c r="D78" s="625">
        <f t="shared" si="156"/>
        <v>1614</v>
      </c>
      <c r="E78" s="625">
        <f t="shared" ref="E78" si="157">SUM(E79:E81)</f>
        <v>0</v>
      </c>
      <c r="F78" s="625">
        <f t="shared" si="146"/>
        <v>1614</v>
      </c>
      <c r="G78" s="625">
        <f t="shared" ref="G78:I78" si="158">SUM(G79:G81)</f>
        <v>0</v>
      </c>
      <c r="H78" s="625">
        <f t="shared" si="158"/>
        <v>1614</v>
      </c>
      <c r="I78" s="625">
        <f t="shared" si="158"/>
        <v>0</v>
      </c>
      <c r="J78" s="625">
        <f t="shared" si="147"/>
        <v>1614</v>
      </c>
      <c r="K78" s="625">
        <f t="shared" ref="K78:M78" si="159">SUM(K79:K81)</f>
        <v>0</v>
      </c>
      <c r="L78" s="625">
        <f t="shared" si="159"/>
        <v>2815</v>
      </c>
      <c r="M78" s="625">
        <f t="shared" si="159"/>
        <v>0</v>
      </c>
      <c r="N78" s="625">
        <f t="shared" si="149"/>
        <v>2815</v>
      </c>
      <c r="O78" s="625">
        <v>1652</v>
      </c>
      <c r="P78" s="625">
        <f t="shared" ref="P78:Q78" si="160">SUM(P79:P81)</f>
        <v>0</v>
      </c>
      <c r="Q78" s="625">
        <f t="shared" si="160"/>
        <v>0</v>
      </c>
      <c r="R78" s="625">
        <f t="shared" si="151"/>
        <v>1652</v>
      </c>
      <c r="S78" s="625">
        <f t="shared" ref="S78:U78" si="161">SUM(S79:S81)</f>
        <v>0</v>
      </c>
      <c r="T78" s="625">
        <v>1650</v>
      </c>
      <c r="U78" s="625">
        <f t="shared" si="161"/>
        <v>0</v>
      </c>
      <c r="V78" s="625">
        <f t="shared" si="153"/>
        <v>1650</v>
      </c>
      <c r="W78" s="625">
        <f t="shared" ref="W78" si="162">SUM(W79:W81)</f>
        <v>0</v>
      </c>
      <c r="X78" s="625">
        <v>1650</v>
      </c>
      <c r="Y78" s="625">
        <f t="shared" ref="Y78" si="163">SUM(Y79:Y81)</f>
        <v>0</v>
      </c>
      <c r="Z78" s="625">
        <f t="shared" si="155"/>
        <v>1650</v>
      </c>
    </row>
    <row r="79" spans="1:26" ht="14.95" hidden="1" x14ac:dyDescent="0.25">
      <c r="A79" s="618"/>
      <c r="B79" s="622" t="s">
        <v>530</v>
      </c>
      <c r="C79" s="624">
        <v>0</v>
      </c>
      <c r="D79" s="624">
        <v>390</v>
      </c>
      <c r="E79" s="624">
        <v>0</v>
      </c>
      <c r="F79" s="624">
        <f t="shared" si="146"/>
        <v>390</v>
      </c>
      <c r="G79" s="624">
        <v>0</v>
      </c>
      <c r="H79" s="624">
        <v>390</v>
      </c>
      <c r="I79" s="624">
        <v>0</v>
      </c>
      <c r="J79" s="624">
        <f t="shared" si="147"/>
        <v>390</v>
      </c>
      <c r="K79" s="624">
        <v>0</v>
      </c>
      <c r="L79" s="624">
        <v>1591</v>
      </c>
      <c r="M79" s="624">
        <v>0</v>
      </c>
      <c r="N79" s="624">
        <f t="shared" si="149"/>
        <v>1591</v>
      </c>
      <c r="O79" s="624">
        <v>0</v>
      </c>
      <c r="P79" s="624"/>
      <c r="Q79" s="624">
        <v>0</v>
      </c>
      <c r="R79" s="624">
        <f t="shared" si="151"/>
        <v>0</v>
      </c>
      <c r="S79" s="624">
        <v>0</v>
      </c>
      <c r="T79" s="624"/>
      <c r="U79" s="624">
        <v>0</v>
      </c>
      <c r="V79" s="624">
        <f t="shared" si="153"/>
        <v>0</v>
      </c>
      <c r="W79" s="624">
        <v>0</v>
      </c>
      <c r="X79" s="624"/>
      <c r="Y79" s="624">
        <v>0</v>
      </c>
      <c r="Z79" s="624">
        <f t="shared" si="155"/>
        <v>0</v>
      </c>
    </row>
    <row r="80" spans="1:26" ht="14.95" hidden="1" x14ac:dyDescent="0.25">
      <c r="A80" s="618"/>
      <c r="B80" s="622" t="s">
        <v>531</v>
      </c>
      <c r="C80" s="624">
        <v>0</v>
      </c>
      <c r="D80" s="624">
        <v>260</v>
      </c>
      <c r="E80" s="624">
        <v>0</v>
      </c>
      <c r="F80" s="624">
        <f t="shared" si="146"/>
        <v>260</v>
      </c>
      <c r="G80" s="624">
        <v>0</v>
      </c>
      <c r="H80" s="624">
        <v>260</v>
      </c>
      <c r="I80" s="624">
        <v>0</v>
      </c>
      <c r="J80" s="624">
        <f t="shared" si="147"/>
        <v>260</v>
      </c>
      <c r="K80" s="624">
        <v>0</v>
      </c>
      <c r="L80" s="624">
        <v>260</v>
      </c>
      <c r="M80" s="624">
        <v>0</v>
      </c>
      <c r="N80" s="624">
        <f t="shared" si="149"/>
        <v>260</v>
      </c>
      <c r="O80" s="624">
        <v>0</v>
      </c>
      <c r="P80" s="624">
        <v>0</v>
      </c>
      <c r="Q80" s="624">
        <v>0</v>
      </c>
      <c r="R80" s="624">
        <f t="shared" si="151"/>
        <v>0</v>
      </c>
      <c r="S80" s="624">
        <v>0</v>
      </c>
      <c r="T80" s="624"/>
      <c r="U80" s="624">
        <v>0</v>
      </c>
      <c r="V80" s="624">
        <f t="shared" si="153"/>
        <v>0</v>
      </c>
      <c r="W80" s="624">
        <v>0</v>
      </c>
      <c r="X80" s="624"/>
      <c r="Y80" s="624">
        <v>0</v>
      </c>
      <c r="Z80" s="624">
        <f t="shared" si="155"/>
        <v>0</v>
      </c>
    </row>
    <row r="81" spans="1:26 16365:16365" ht="30.1" hidden="1" x14ac:dyDescent="0.25">
      <c r="A81" s="618"/>
      <c r="B81" s="622" t="s">
        <v>532</v>
      </c>
      <c r="C81" s="624">
        <v>0</v>
      </c>
      <c r="D81" s="624">
        <v>964</v>
      </c>
      <c r="E81" s="624">
        <v>0</v>
      </c>
      <c r="F81" s="624">
        <f t="shared" si="146"/>
        <v>964</v>
      </c>
      <c r="G81" s="624">
        <v>0</v>
      </c>
      <c r="H81" s="624">
        <v>964</v>
      </c>
      <c r="I81" s="624">
        <v>0</v>
      </c>
      <c r="J81" s="624">
        <f t="shared" si="147"/>
        <v>964</v>
      </c>
      <c r="K81" s="624">
        <v>0</v>
      </c>
      <c r="L81" s="624">
        <v>964</v>
      </c>
      <c r="M81" s="624">
        <v>0</v>
      </c>
      <c r="N81" s="624">
        <f t="shared" si="149"/>
        <v>964</v>
      </c>
      <c r="O81" s="624">
        <v>0</v>
      </c>
      <c r="P81" s="624"/>
      <c r="Q81" s="624">
        <v>0</v>
      </c>
      <c r="R81" s="624">
        <f t="shared" si="151"/>
        <v>0</v>
      </c>
      <c r="S81" s="624">
        <v>0</v>
      </c>
      <c r="T81" s="624"/>
      <c r="U81" s="624">
        <v>0</v>
      </c>
      <c r="V81" s="624">
        <f t="shared" si="153"/>
        <v>0</v>
      </c>
      <c r="W81" s="624">
        <v>0</v>
      </c>
      <c r="X81" s="624"/>
      <c r="Y81" s="624">
        <v>0</v>
      </c>
      <c r="Z81" s="624">
        <f t="shared" si="155"/>
        <v>0</v>
      </c>
    </row>
    <row r="82" spans="1:26 16365:16365" x14ac:dyDescent="0.25">
      <c r="A82" s="618"/>
      <c r="B82" s="629" t="s">
        <v>533</v>
      </c>
      <c r="C82" s="625">
        <f t="shared" ref="C82:E82" si="164">SUM(C83:C88)</f>
        <v>4186</v>
      </c>
      <c r="D82" s="625">
        <f t="shared" si="164"/>
        <v>0</v>
      </c>
      <c r="E82" s="625">
        <f t="shared" si="164"/>
        <v>0</v>
      </c>
      <c r="F82" s="625">
        <f t="shared" si="146"/>
        <v>4186</v>
      </c>
      <c r="G82" s="625">
        <f t="shared" ref="G82:I82" si="165">SUM(G83:G88)</f>
        <v>4186</v>
      </c>
      <c r="H82" s="625">
        <f t="shared" si="165"/>
        <v>10000</v>
      </c>
      <c r="I82" s="625">
        <f t="shared" si="165"/>
        <v>0</v>
      </c>
      <c r="J82" s="625">
        <f t="shared" si="147"/>
        <v>14186</v>
      </c>
      <c r="K82" s="625">
        <f t="shared" ref="K82:M82" si="166">SUM(K83:K88)</f>
        <v>4186</v>
      </c>
      <c r="L82" s="625">
        <f t="shared" si="166"/>
        <v>136925</v>
      </c>
      <c r="M82" s="625">
        <f t="shared" si="166"/>
        <v>0</v>
      </c>
      <c r="N82" s="625">
        <f t="shared" si="149"/>
        <v>141111</v>
      </c>
      <c r="O82" s="625">
        <v>891</v>
      </c>
      <c r="P82" s="625">
        <f t="shared" ref="P82:Q82" si="167">SUM(P83:P88)</f>
        <v>0</v>
      </c>
      <c r="Q82" s="625">
        <f t="shared" si="167"/>
        <v>0</v>
      </c>
      <c r="R82" s="625">
        <f t="shared" si="151"/>
        <v>891</v>
      </c>
      <c r="S82" s="625">
        <f t="shared" ref="S82:U82" si="168">SUM(S83:S88)</f>
        <v>49377</v>
      </c>
      <c r="T82" s="625">
        <f t="shared" si="168"/>
        <v>0</v>
      </c>
      <c r="U82" s="625">
        <f t="shared" si="168"/>
        <v>0</v>
      </c>
      <c r="V82" s="625">
        <f t="shared" si="153"/>
        <v>49377</v>
      </c>
      <c r="W82" s="625">
        <f t="shared" ref="W82:Y82" si="169">SUM(W83:W88)</f>
        <v>49377</v>
      </c>
      <c r="X82" s="625">
        <f t="shared" si="169"/>
        <v>0</v>
      </c>
      <c r="Y82" s="625">
        <f t="shared" si="169"/>
        <v>0</v>
      </c>
      <c r="Z82" s="625">
        <f t="shared" si="155"/>
        <v>49377</v>
      </c>
    </row>
    <row r="83" spans="1:26 16365:16365" x14ac:dyDescent="0.25">
      <c r="A83" s="618"/>
      <c r="B83" s="622" t="s">
        <v>534</v>
      </c>
      <c r="C83" s="624">
        <v>1300</v>
      </c>
      <c r="D83" s="624">
        <v>0</v>
      </c>
      <c r="E83" s="624">
        <v>0</v>
      </c>
      <c r="F83" s="624">
        <f t="shared" si="146"/>
        <v>1300</v>
      </c>
      <c r="G83" s="624">
        <v>1300</v>
      </c>
      <c r="H83" s="624">
        <v>0</v>
      </c>
      <c r="I83" s="624">
        <v>0</v>
      </c>
      <c r="J83" s="624">
        <f t="shared" si="147"/>
        <v>1300</v>
      </c>
      <c r="K83" s="624">
        <v>1300</v>
      </c>
      <c r="L83" s="624">
        <v>0</v>
      </c>
      <c r="M83" s="624">
        <v>0</v>
      </c>
      <c r="N83" s="624">
        <f t="shared" si="149"/>
        <v>1300</v>
      </c>
      <c r="O83" s="624"/>
      <c r="P83" s="624"/>
      <c r="Q83" s="624">
        <v>0</v>
      </c>
      <c r="R83" s="624">
        <f t="shared" si="151"/>
        <v>0</v>
      </c>
      <c r="S83" s="624">
        <v>300</v>
      </c>
      <c r="T83" s="624">
        <v>0</v>
      </c>
      <c r="U83" s="624">
        <v>0</v>
      </c>
      <c r="V83" s="624">
        <f t="shared" si="153"/>
        <v>300</v>
      </c>
      <c r="W83" s="624">
        <v>300</v>
      </c>
      <c r="X83" s="624">
        <v>0</v>
      </c>
      <c r="Y83" s="624">
        <v>0</v>
      </c>
      <c r="Z83" s="624">
        <f t="shared" si="155"/>
        <v>300</v>
      </c>
    </row>
    <row r="84" spans="1:26 16365:16365" x14ac:dyDescent="0.25">
      <c r="A84" s="618"/>
      <c r="B84" s="622" t="s">
        <v>535</v>
      </c>
      <c r="C84" s="624">
        <v>1390</v>
      </c>
      <c r="D84" s="624">
        <v>0</v>
      </c>
      <c r="E84" s="624">
        <v>0</v>
      </c>
      <c r="F84" s="624">
        <f t="shared" si="146"/>
        <v>1390</v>
      </c>
      <c r="G84" s="624">
        <v>1390</v>
      </c>
      <c r="H84" s="624">
        <v>0</v>
      </c>
      <c r="I84" s="624">
        <v>0</v>
      </c>
      <c r="J84" s="624">
        <f t="shared" si="147"/>
        <v>1390</v>
      </c>
      <c r="K84" s="624">
        <v>1390</v>
      </c>
      <c r="L84" s="624">
        <v>0</v>
      </c>
      <c r="M84" s="624">
        <v>0</v>
      </c>
      <c r="N84" s="624">
        <f t="shared" si="149"/>
        <v>1390</v>
      </c>
      <c r="O84" s="624"/>
      <c r="P84" s="624">
        <v>0</v>
      </c>
      <c r="Q84" s="624">
        <v>0</v>
      </c>
      <c r="R84" s="624">
        <f t="shared" si="151"/>
        <v>0</v>
      </c>
      <c r="S84" s="624">
        <f>300+200</f>
        <v>500</v>
      </c>
      <c r="T84" s="624">
        <v>0</v>
      </c>
      <c r="U84" s="624">
        <v>0</v>
      </c>
      <c r="V84" s="624">
        <f t="shared" si="153"/>
        <v>500</v>
      </c>
      <c r="W84" s="624">
        <f>300+200</f>
        <v>500</v>
      </c>
      <c r="X84" s="624">
        <v>0</v>
      </c>
      <c r="Y84" s="624">
        <v>0</v>
      </c>
      <c r="Z84" s="624">
        <f t="shared" si="155"/>
        <v>500</v>
      </c>
    </row>
    <row r="85" spans="1:26 16365:16365" x14ac:dyDescent="0.25">
      <c r="A85" s="618"/>
      <c r="B85" s="622" t="s">
        <v>536</v>
      </c>
      <c r="C85" s="624">
        <v>1016</v>
      </c>
      <c r="D85" s="624">
        <v>0</v>
      </c>
      <c r="E85" s="624">
        <v>0</v>
      </c>
      <c r="F85" s="624">
        <f t="shared" si="146"/>
        <v>1016</v>
      </c>
      <c r="G85" s="624">
        <v>1016</v>
      </c>
      <c r="H85" s="624">
        <v>0</v>
      </c>
      <c r="I85" s="624">
        <v>0</v>
      </c>
      <c r="J85" s="624">
        <f t="shared" si="147"/>
        <v>1016</v>
      </c>
      <c r="K85" s="624">
        <v>1016</v>
      </c>
      <c r="L85" s="624">
        <v>0</v>
      </c>
      <c r="M85" s="624">
        <v>0</v>
      </c>
      <c r="N85" s="624">
        <f t="shared" si="149"/>
        <v>1016</v>
      </c>
      <c r="O85" s="624"/>
      <c r="P85" s="624">
        <v>0</v>
      </c>
      <c r="Q85" s="624">
        <v>0</v>
      </c>
      <c r="R85" s="624">
        <f t="shared" si="151"/>
        <v>0</v>
      </c>
      <c r="S85" s="624">
        <f>413+164</f>
        <v>577</v>
      </c>
      <c r="T85" s="624">
        <v>0</v>
      </c>
      <c r="U85" s="624">
        <v>0</v>
      </c>
      <c r="V85" s="624">
        <f t="shared" si="153"/>
        <v>577</v>
      </c>
      <c r="W85" s="624">
        <f>413+164</f>
        <v>577</v>
      </c>
      <c r="X85" s="624">
        <v>0</v>
      </c>
      <c r="Y85" s="624">
        <v>0</v>
      </c>
      <c r="Z85" s="624">
        <f t="shared" si="155"/>
        <v>577</v>
      </c>
    </row>
    <row r="86" spans="1:26 16365:16365" x14ac:dyDescent="0.25">
      <c r="A86" s="618"/>
      <c r="B86" s="622" t="s">
        <v>537</v>
      </c>
      <c r="C86" s="624">
        <v>480</v>
      </c>
      <c r="D86" s="624">
        <v>0</v>
      </c>
      <c r="E86" s="624">
        <v>0</v>
      </c>
      <c r="F86" s="624">
        <f t="shared" si="146"/>
        <v>480</v>
      </c>
      <c r="G86" s="624">
        <v>480</v>
      </c>
      <c r="H86" s="624">
        <v>0</v>
      </c>
      <c r="I86" s="624">
        <v>0</v>
      </c>
      <c r="J86" s="624">
        <f t="shared" si="147"/>
        <v>480</v>
      </c>
      <c r="K86" s="624">
        <v>480</v>
      </c>
      <c r="L86" s="624">
        <v>0</v>
      </c>
      <c r="M86" s="624">
        <v>0</v>
      </c>
      <c r="N86" s="624">
        <f t="shared" si="149"/>
        <v>480</v>
      </c>
      <c r="O86" s="624">
        <v>0</v>
      </c>
      <c r="P86" s="624">
        <v>0</v>
      </c>
      <c r="Q86" s="624">
        <v>0</v>
      </c>
      <c r="R86" s="624">
        <f t="shared" si="151"/>
        <v>0</v>
      </c>
      <c r="S86" s="624"/>
      <c r="T86" s="624">
        <v>0</v>
      </c>
      <c r="U86" s="624">
        <v>0</v>
      </c>
      <c r="V86" s="624">
        <f t="shared" si="153"/>
        <v>0</v>
      </c>
      <c r="W86" s="624"/>
      <c r="X86" s="624">
        <v>0</v>
      </c>
      <c r="Y86" s="624">
        <v>0</v>
      </c>
      <c r="Z86" s="624">
        <f t="shared" si="155"/>
        <v>0</v>
      </c>
    </row>
    <row r="87" spans="1:26 16365:16365" x14ac:dyDescent="0.25">
      <c r="A87" s="618"/>
      <c r="B87" s="622" t="s">
        <v>1307</v>
      </c>
      <c r="C87" s="624">
        <v>0</v>
      </c>
      <c r="D87" s="624">
        <v>0</v>
      </c>
      <c r="E87" s="624">
        <v>0</v>
      </c>
      <c r="F87" s="624">
        <f t="shared" si="146"/>
        <v>0</v>
      </c>
      <c r="G87" s="624">
        <v>0</v>
      </c>
      <c r="H87" s="624">
        <v>10000</v>
      </c>
      <c r="I87" s="624">
        <v>0</v>
      </c>
      <c r="J87" s="624">
        <f t="shared" si="147"/>
        <v>10000</v>
      </c>
      <c r="K87" s="624">
        <v>0</v>
      </c>
      <c r="L87" s="624">
        <v>136925</v>
      </c>
      <c r="M87" s="624">
        <v>0</v>
      </c>
      <c r="N87" s="624">
        <f t="shared" si="149"/>
        <v>136925</v>
      </c>
      <c r="O87" s="624">
        <v>0</v>
      </c>
      <c r="P87" s="624">
        <v>0</v>
      </c>
      <c r="Q87" s="624">
        <v>0</v>
      </c>
      <c r="R87" s="624">
        <f t="shared" si="151"/>
        <v>0</v>
      </c>
      <c r="S87" s="624">
        <v>0</v>
      </c>
      <c r="T87" s="624">
        <v>0</v>
      </c>
      <c r="U87" s="624">
        <v>0</v>
      </c>
      <c r="V87" s="624">
        <f t="shared" si="153"/>
        <v>0</v>
      </c>
      <c r="W87" s="624">
        <v>0</v>
      </c>
      <c r="X87" s="624">
        <v>0</v>
      </c>
      <c r="Y87" s="624">
        <v>0</v>
      </c>
      <c r="Z87" s="624">
        <f t="shared" si="155"/>
        <v>0</v>
      </c>
    </row>
    <row r="88" spans="1:26 16365:16365" x14ac:dyDescent="0.25">
      <c r="A88" s="618"/>
      <c r="B88" s="622" t="s">
        <v>1694</v>
      </c>
      <c r="C88" s="624">
        <v>0</v>
      </c>
      <c r="D88" s="624">
        <v>0</v>
      </c>
      <c r="E88" s="624">
        <v>0</v>
      </c>
      <c r="F88" s="624">
        <f t="shared" si="146"/>
        <v>0</v>
      </c>
      <c r="G88" s="624">
        <v>0</v>
      </c>
      <c r="H88" s="624">
        <v>0</v>
      </c>
      <c r="I88" s="624">
        <v>0</v>
      </c>
      <c r="J88" s="624">
        <f t="shared" si="147"/>
        <v>0</v>
      </c>
      <c r="K88" s="624">
        <v>0</v>
      </c>
      <c r="L88" s="624">
        <v>0</v>
      </c>
      <c r="M88" s="624">
        <v>0</v>
      </c>
      <c r="N88" s="624">
        <f t="shared" si="149"/>
        <v>0</v>
      </c>
      <c r="O88" s="624">
        <v>0</v>
      </c>
      <c r="P88" s="624">
        <v>0</v>
      </c>
      <c r="Q88" s="624">
        <v>0</v>
      </c>
      <c r="R88" s="624">
        <f t="shared" si="151"/>
        <v>0</v>
      </c>
      <c r="S88" s="624">
        <v>48000</v>
      </c>
      <c r="T88" s="624">
        <v>0</v>
      </c>
      <c r="U88" s="624">
        <v>0</v>
      </c>
      <c r="V88" s="624">
        <f t="shared" si="153"/>
        <v>48000</v>
      </c>
      <c r="W88" s="624">
        <v>48000</v>
      </c>
      <c r="X88" s="624">
        <v>0</v>
      </c>
      <c r="Y88" s="624">
        <v>0</v>
      </c>
      <c r="Z88" s="624">
        <f t="shared" si="155"/>
        <v>48000</v>
      </c>
    </row>
    <row r="89" spans="1:26 16365:16365" s="47" customFormat="1" ht="28.55" x14ac:dyDescent="0.25">
      <c r="A89" s="733"/>
      <c r="B89" s="731" t="s">
        <v>1467</v>
      </c>
      <c r="C89" s="339"/>
      <c r="D89" s="339"/>
      <c r="E89" s="339"/>
      <c r="F89" s="339"/>
      <c r="G89" s="339">
        <f>+G90</f>
        <v>66402</v>
      </c>
      <c r="H89" s="339"/>
      <c r="I89" s="339"/>
      <c r="J89" s="625">
        <f t="shared" si="147"/>
        <v>66402</v>
      </c>
      <c r="K89" s="339"/>
      <c r="L89" s="339"/>
      <c r="M89" s="339"/>
      <c r="N89" s="339"/>
      <c r="O89" s="339">
        <f>+O90</f>
        <v>66402</v>
      </c>
      <c r="P89" s="339"/>
      <c r="Q89" s="339"/>
      <c r="R89" s="625">
        <f t="shared" ref="R89" si="170">SUM(O89:Q89)</f>
        <v>66402</v>
      </c>
      <c r="S89" s="339"/>
      <c r="T89" s="339"/>
      <c r="U89" s="339"/>
      <c r="V89" s="339"/>
      <c r="W89" s="339"/>
      <c r="X89" s="339"/>
      <c r="Y89" s="339"/>
      <c r="Z89" s="339"/>
      <c r="XEK89" s="734" t="e">
        <f>SUM(#REF!)</f>
        <v>#REF!</v>
      </c>
    </row>
    <row r="90" spans="1:26 16365:16365" x14ac:dyDescent="0.25">
      <c r="A90" s="618"/>
      <c r="B90" s="651" t="s">
        <v>1468</v>
      </c>
      <c r="C90" s="624"/>
      <c r="D90" s="624"/>
      <c r="E90" s="624"/>
      <c r="F90" s="624"/>
      <c r="G90" s="624">
        <v>66402</v>
      </c>
      <c r="H90" s="624"/>
      <c r="I90" s="624"/>
      <c r="J90" s="624">
        <f t="shared" si="147"/>
        <v>66402</v>
      </c>
      <c r="K90" s="624"/>
      <c r="L90" s="624"/>
      <c r="M90" s="624"/>
      <c r="N90" s="624"/>
      <c r="O90" s="624">
        <v>66402</v>
      </c>
      <c r="P90" s="624"/>
      <c r="Q90" s="624"/>
      <c r="R90" s="624"/>
      <c r="S90" s="624"/>
      <c r="T90" s="624"/>
      <c r="U90" s="624"/>
      <c r="V90" s="624"/>
      <c r="W90" s="624"/>
      <c r="X90" s="624"/>
      <c r="Y90" s="624"/>
      <c r="Z90" s="624"/>
    </row>
    <row r="91" spans="1:26 16365:16365" x14ac:dyDescent="0.25">
      <c r="A91" s="632"/>
      <c r="B91" s="633" t="s">
        <v>327</v>
      </c>
      <c r="C91" s="634">
        <f t="shared" ref="C91:D91" si="171">C5+C62</f>
        <v>3689632</v>
      </c>
      <c r="D91" s="634">
        <f t="shared" si="171"/>
        <v>462133</v>
      </c>
      <c r="E91" s="634">
        <f t="shared" ref="E91" si="172">E5+E62</f>
        <v>0</v>
      </c>
      <c r="F91" s="634">
        <f t="shared" si="146"/>
        <v>4151765</v>
      </c>
      <c r="G91" s="634">
        <f t="shared" ref="G91:I91" si="173">G5+G62</f>
        <v>3900327</v>
      </c>
      <c r="H91" s="634">
        <f t="shared" si="173"/>
        <v>732127</v>
      </c>
      <c r="I91" s="634">
        <f t="shared" si="173"/>
        <v>0</v>
      </c>
      <c r="J91" s="634">
        <f t="shared" si="147"/>
        <v>4632454</v>
      </c>
      <c r="K91" s="634">
        <f t="shared" ref="K91:M91" si="174">K5+K62</f>
        <v>3709847</v>
      </c>
      <c r="L91" s="634">
        <f t="shared" si="174"/>
        <v>671933</v>
      </c>
      <c r="M91" s="634">
        <f t="shared" si="174"/>
        <v>0</v>
      </c>
      <c r="N91" s="634">
        <f t="shared" si="149"/>
        <v>4381780</v>
      </c>
      <c r="O91" s="634">
        <f t="shared" ref="O91:Q91" si="175">O5+O62</f>
        <v>4753155</v>
      </c>
      <c r="P91" s="634">
        <f t="shared" si="175"/>
        <v>12200</v>
      </c>
      <c r="Q91" s="634">
        <f t="shared" si="175"/>
        <v>0</v>
      </c>
      <c r="R91" s="634">
        <f t="shared" si="151"/>
        <v>4765355</v>
      </c>
      <c r="S91" s="634">
        <f t="shared" ref="S91:U91" si="176">S5+S62</f>
        <v>4454599.0810000002</v>
      </c>
      <c r="T91" s="634">
        <f t="shared" si="176"/>
        <v>50887</v>
      </c>
      <c r="U91" s="634">
        <f t="shared" si="176"/>
        <v>0</v>
      </c>
      <c r="V91" s="634">
        <f t="shared" si="153"/>
        <v>4505486.0810000002</v>
      </c>
      <c r="W91" s="634">
        <f t="shared" ref="W91:Y91" si="177">W5+W62</f>
        <v>4460965.8339999998</v>
      </c>
      <c r="X91" s="634">
        <f t="shared" si="177"/>
        <v>50887</v>
      </c>
      <c r="Y91" s="634">
        <f t="shared" si="177"/>
        <v>0</v>
      </c>
      <c r="Z91" s="634">
        <f t="shared" ref="Z91:Z93" si="178">SUM(W91:Y91)</f>
        <v>4511852.8339999998</v>
      </c>
    </row>
    <row r="92" spans="1:26 16365:16365" x14ac:dyDescent="0.25">
      <c r="A92" s="612" t="s">
        <v>328</v>
      </c>
      <c r="B92" s="613" t="s">
        <v>329</v>
      </c>
      <c r="C92" s="614">
        <f t="shared" ref="C92:D92" si="179">C93+C105</f>
        <v>0</v>
      </c>
      <c r="D92" s="614">
        <f t="shared" si="179"/>
        <v>2068000</v>
      </c>
      <c r="E92" s="614">
        <f t="shared" ref="E92" si="180">E93+E105</f>
        <v>0</v>
      </c>
      <c r="F92" s="614">
        <f t="shared" si="146"/>
        <v>2068000</v>
      </c>
      <c r="G92" s="614">
        <f t="shared" ref="G92:I92" si="181">G93+G105</f>
        <v>301443</v>
      </c>
      <c r="H92" s="614">
        <f t="shared" si="181"/>
        <v>2354045</v>
      </c>
      <c r="I92" s="614">
        <f t="shared" si="181"/>
        <v>0</v>
      </c>
      <c r="J92" s="614">
        <f t="shared" si="147"/>
        <v>2655488</v>
      </c>
      <c r="K92" s="614">
        <f t="shared" ref="K92:M92" si="182">K93+K105</f>
        <v>0</v>
      </c>
      <c r="L92" s="614">
        <f t="shared" si="182"/>
        <v>2237194</v>
      </c>
      <c r="M92" s="614">
        <f t="shared" si="182"/>
        <v>0</v>
      </c>
      <c r="N92" s="614">
        <f t="shared" si="149"/>
        <v>2237194</v>
      </c>
      <c r="O92" s="614">
        <f t="shared" ref="O92:Q92" si="183">O93+O105</f>
        <v>2356495</v>
      </c>
      <c r="P92" s="614">
        <f t="shared" si="183"/>
        <v>0</v>
      </c>
      <c r="Q92" s="614">
        <f t="shared" si="183"/>
        <v>0</v>
      </c>
      <c r="R92" s="614">
        <f t="shared" si="151"/>
        <v>2356495</v>
      </c>
      <c r="S92" s="614">
        <f t="shared" ref="S92:U92" si="184">S93+S105</f>
        <v>1100000</v>
      </c>
      <c r="T92" s="614">
        <f t="shared" si="184"/>
        <v>0</v>
      </c>
      <c r="U92" s="614">
        <f t="shared" si="184"/>
        <v>0</v>
      </c>
      <c r="V92" s="614">
        <f t="shared" si="153"/>
        <v>1100000</v>
      </c>
      <c r="W92" s="614">
        <f t="shared" ref="W92:Y92" si="185">W93+W105</f>
        <v>1637094</v>
      </c>
      <c r="X92" s="614">
        <f t="shared" si="185"/>
        <v>0</v>
      </c>
      <c r="Y92" s="614">
        <f t="shared" si="185"/>
        <v>0</v>
      </c>
      <c r="Z92" s="614">
        <f t="shared" si="178"/>
        <v>1637094</v>
      </c>
    </row>
    <row r="93" spans="1:26 16365:16365" x14ac:dyDescent="0.25">
      <c r="A93" s="615" t="s">
        <v>311</v>
      </c>
      <c r="B93" s="616" t="s">
        <v>330</v>
      </c>
      <c r="C93" s="617">
        <f t="shared" ref="C93" si="186">C94+C99+C100+C103+C104</f>
        <v>0</v>
      </c>
      <c r="D93" s="617">
        <f t="shared" ref="D93" si="187">D94+D99+D100+D103+D104</f>
        <v>2068000</v>
      </c>
      <c r="E93" s="617">
        <f t="shared" ref="E93" si="188">E94+E99+E100+E103+E104</f>
        <v>0</v>
      </c>
      <c r="F93" s="617">
        <f t="shared" si="146"/>
        <v>2068000</v>
      </c>
      <c r="G93" s="617">
        <f t="shared" ref="G93:I93" si="189">G94+G99+G100+G103+G104</f>
        <v>301443</v>
      </c>
      <c r="H93" s="617">
        <f t="shared" si="189"/>
        <v>2354045</v>
      </c>
      <c r="I93" s="617">
        <f t="shared" si="189"/>
        <v>0</v>
      </c>
      <c r="J93" s="617">
        <f t="shared" si="147"/>
        <v>2655488</v>
      </c>
      <c r="K93" s="617">
        <f t="shared" ref="K93:M93" si="190">K94+K99+K100+K103+K104</f>
        <v>0</v>
      </c>
      <c r="L93" s="617">
        <f t="shared" si="190"/>
        <v>2237194</v>
      </c>
      <c r="M93" s="617">
        <f t="shared" si="190"/>
        <v>0</v>
      </c>
      <c r="N93" s="617">
        <f t="shared" si="149"/>
        <v>2237194</v>
      </c>
      <c r="O93" s="617">
        <f t="shared" ref="O93:Q93" si="191">O94+O99+O100+O103+O104</f>
        <v>2356495</v>
      </c>
      <c r="P93" s="617">
        <f t="shared" si="191"/>
        <v>0</v>
      </c>
      <c r="Q93" s="617">
        <f t="shared" si="191"/>
        <v>0</v>
      </c>
      <c r="R93" s="617">
        <f t="shared" si="151"/>
        <v>2356495</v>
      </c>
      <c r="S93" s="617">
        <f t="shared" ref="S93:U93" si="192">S94+S99+S100+S103+S104</f>
        <v>1100000</v>
      </c>
      <c r="T93" s="617">
        <f t="shared" si="192"/>
        <v>0</v>
      </c>
      <c r="U93" s="617">
        <f t="shared" si="192"/>
        <v>0</v>
      </c>
      <c r="V93" s="617">
        <f t="shared" si="153"/>
        <v>1100000</v>
      </c>
      <c r="W93" s="617">
        <f t="shared" ref="W93:Y93" si="193">W94+W99+W100+W103+W104</f>
        <v>1637094</v>
      </c>
      <c r="X93" s="617">
        <f t="shared" si="193"/>
        <v>0</v>
      </c>
      <c r="Y93" s="617">
        <f t="shared" si="193"/>
        <v>0</v>
      </c>
      <c r="Z93" s="617">
        <f t="shared" si="178"/>
        <v>1637094</v>
      </c>
    </row>
    <row r="94" spans="1:26 16365:16365" x14ac:dyDescent="0.25">
      <c r="A94" s="618"/>
      <c r="B94" s="629" t="s">
        <v>538</v>
      </c>
      <c r="C94" s="625">
        <f t="shared" ref="C94" si="194">SUM(C95:C98)</f>
        <v>0</v>
      </c>
      <c r="D94" s="625">
        <f>SUM(D95:D98)</f>
        <v>768000</v>
      </c>
      <c r="E94" s="625">
        <f t="shared" ref="E94:G94" si="195">SUM(E95:E98)</f>
        <v>0</v>
      </c>
      <c r="F94" s="625">
        <f t="shared" si="195"/>
        <v>400000</v>
      </c>
      <c r="G94" s="625">
        <f t="shared" si="195"/>
        <v>0</v>
      </c>
      <c r="H94" s="625">
        <f>SUM(H95:H98)</f>
        <v>1000000</v>
      </c>
      <c r="I94" s="625">
        <f t="shared" ref="I94:K94" si="196">SUM(I95:I98)</f>
        <v>0</v>
      </c>
      <c r="J94" s="625">
        <f t="shared" si="196"/>
        <v>400000</v>
      </c>
      <c r="K94" s="625">
        <f t="shared" si="196"/>
        <v>0</v>
      </c>
      <c r="L94" s="625">
        <f>SUM(L95:L98)</f>
        <v>400000</v>
      </c>
      <c r="M94" s="625">
        <f t="shared" ref="M94:O94" si="197">SUM(M95:M98)</f>
        <v>0</v>
      </c>
      <c r="N94" s="625">
        <f t="shared" si="197"/>
        <v>400000</v>
      </c>
      <c r="O94" s="625">
        <f t="shared" si="197"/>
        <v>1000000</v>
      </c>
      <c r="P94" s="625">
        <f>SUM(P95:P98)</f>
        <v>0</v>
      </c>
      <c r="Q94" s="625">
        <f t="shared" ref="Q94:S94" si="198">SUM(Q95:Q98)</f>
        <v>0</v>
      </c>
      <c r="R94" s="625">
        <f t="shared" si="198"/>
        <v>0</v>
      </c>
      <c r="S94" s="625">
        <f t="shared" si="198"/>
        <v>0</v>
      </c>
      <c r="T94" s="625">
        <f>SUM(T95:T98)</f>
        <v>0</v>
      </c>
      <c r="U94" s="625">
        <f t="shared" ref="U94:W94" si="199">SUM(U95:U98)</f>
        <v>0</v>
      </c>
      <c r="V94" s="625">
        <f t="shared" si="199"/>
        <v>0</v>
      </c>
      <c r="W94" s="625">
        <f t="shared" si="199"/>
        <v>0</v>
      </c>
      <c r="X94" s="625">
        <f>SUM(X95:X98)</f>
        <v>0</v>
      </c>
      <c r="Y94" s="625">
        <f t="shared" ref="Y94:Z94" si="200">SUM(Y95:Y98)</f>
        <v>0</v>
      </c>
      <c r="Z94" s="625">
        <f t="shared" si="200"/>
        <v>0</v>
      </c>
    </row>
    <row r="95" spans="1:26 16365:16365" x14ac:dyDescent="0.25">
      <c r="A95" s="618"/>
      <c r="B95" s="622" t="s">
        <v>539</v>
      </c>
      <c r="C95" s="624">
        <v>0</v>
      </c>
      <c r="D95" s="624">
        <v>600000</v>
      </c>
      <c r="E95" s="624">
        <v>0</v>
      </c>
      <c r="F95" s="624">
        <v>400000</v>
      </c>
      <c r="G95" s="624">
        <v>0</v>
      </c>
      <c r="H95" s="624">
        <v>600000</v>
      </c>
      <c r="I95" s="624">
        <v>0</v>
      </c>
      <c r="J95" s="624">
        <v>400000</v>
      </c>
      <c r="K95" s="624">
        <v>0</v>
      </c>
      <c r="L95" s="624">
        <v>400000</v>
      </c>
      <c r="M95" s="624">
        <v>0</v>
      </c>
      <c r="N95" s="624">
        <v>400000</v>
      </c>
      <c r="O95" s="624">
        <v>600000</v>
      </c>
      <c r="P95" s="624"/>
      <c r="Q95" s="624">
        <v>0</v>
      </c>
      <c r="R95" s="624"/>
      <c r="S95" s="624">
        <v>0</v>
      </c>
      <c r="T95" s="624"/>
      <c r="U95" s="624">
        <v>0</v>
      </c>
      <c r="V95" s="624">
        <f t="shared" ref="V95:V103" si="201">SUM(S95:U95)</f>
        <v>0</v>
      </c>
      <c r="W95" s="624">
        <v>0</v>
      </c>
      <c r="X95" s="624"/>
      <c r="Y95" s="624">
        <v>0</v>
      </c>
      <c r="Z95" s="624">
        <f t="shared" ref="Z95:Z103" si="202">SUM(W95:Y95)</f>
        <v>0</v>
      </c>
    </row>
    <row r="96" spans="1:26 16365:16365" ht="28.55" x14ac:dyDescent="0.25">
      <c r="A96" s="618"/>
      <c r="B96" s="651" t="s">
        <v>1410</v>
      </c>
      <c r="C96" s="624"/>
      <c r="D96" s="624">
        <v>168000</v>
      </c>
      <c r="E96" s="624"/>
      <c r="F96" s="624"/>
      <c r="G96" s="624"/>
      <c r="H96" s="624">
        <v>400000</v>
      </c>
      <c r="I96" s="624"/>
      <c r="J96" s="624"/>
      <c r="K96" s="624"/>
      <c r="L96" s="624"/>
      <c r="M96" s="624"/>
      <c r="N96" s="624"/>
      <c r="O96" s="624">
        <v>400000</v>
      </c>
      <c r="P96" s="624"/>
      <c r="Q96" s="624"/>
      <c r="R96" s="624"/>
      <c r="S96" s="624"/>
      <c r="T96" s="624"/>
      <c r="U96" s="624"/>
      <c r="V96" s="624">
        <f t="shared" si="201"/>
        <v>0</v>
      </c>
      <c r="W96" s="624"/>
      <c r="X96" s="624"/>
      <c r="Y96" s="624"/>
      <c r="Z96" s="624">
        <f t="shared" si="202"/>
        <v>0</v>
      </c>
    </row>
    <row r="97" spans="1:26" x14ac:dyDescent="0.25">
      <c r="A97" s="618"/>
      <c r="B97" s="622" t="s">
        <v>540</v>
      </c>
      <c r="C97" s="624">
        <v>0</v>
      </c>
      <c r="D97" s="624">
        <v>0</v>
      </c>
      <c r="E97" s="624">
        <v>0</v>
      </c>
      <c r="F97" s="624">
        <f t="shared" si="146"/>
        <v>0</v>
      </c>
      <c r="G97" s="624">
        <v>0</v>
      </c>
      <c r="H97" s="624">
        <v>0</v>
      </c>
      <c r="I97" s="624">
        <v>0</v>
      </c>
      <c r="J97" s="624">
        <f t="shared" ref="J97:J103" si="203">SUM(G97:I97)</f>
        <v>0</v>
      </c>
      <c r="K97" s="624">
        <v>0</v>
      </c>
      <c r="L97" s="624">
        <v>0</v>
      </c>
      <c r="M97" s="624">
        <v>0</v>
      </c>
      <c r="N97" s="624">
        <f t="shared" ref="N97:N103" si="204">SUM(K97:M97)</f>
        <v>0</v>
      </c>
      <c r="O97" s="624">
        <v>0</v>
      </c>
      <c r="P97" s="624">
        <v>0</v>
      </c>
      <c r="Q97" s="624">
        <v>0</v>
      </c>
      <c r="R97" s="624">
        <f t="shared" ref="R97:R104" si="205">SUM(O97:Q97)</f>
        <v>0</v>
      </c>
      <c r="S97" s="624">
        <v>0</v>
      </c>
      <c r="T97" s="624">
        <v>0</v>
      </c>
      <c r="U97" s="624">
        <v>0</v>
      </c>
      <c r="V97" s="624">
        <f t="shared" si="201"/>
        <v>0</v>
      </c>
      <c r="W97" s="624">
        <v>0</v>
      </c>
      <c r="X97" s="624">
        <v>0</v>
      </c>
      <c r="Y97" s="624">
        <v>0</v>
      </c>
      <c r="Z97" s="624">
        <f t="shared" si="202"/>
        <v>0</v>
      </c>
    </row>
    <row r="98" spans="1:26" x14ac:dyDescent="0.25">
      <c r="A98" s="618"/>
      <c r="B98" s="622" t="s">
        <v>541</v>
      </c>
      <c r="C98" s="624">
        <v>0</v>
      </c>
      <c r="D98" s="624">
        <v>0</v>
      </c>
      <c r="E98" s="624">
        <v>0</v>
      </c>
      <c r="F98" s="624">
        <f t="shared" si="146"/>
        <v>0</v>
      </c>
      <c r="G98" s="624">
        <v>0</v>
      </c>
      <c r="H98" s="624">
        <v>0</v>
      </c>
      <c r="I98" s="624">
        <v>0</v>
      </c>
      <c r="J98" s="624">
        <f t="shared" si="203"/>
        <v>0</v>
      </c>
      <c r="K98" s="624">
        <v>0</v>
      </c>
      <c r="L98" s="624">
        <v>0</v>
      </c>
      <c r="M98" s="624">
        <v>0</v>
      </c>
      <c r="N98" s="624">
        <f t="shared" si="204"/>
        <v>0</v>
      </c>
      <c r="O98" s="624">
        <v>0</v>
      </c>
      <c r="P98" s="624">
        <v>0</v>
      </c>
      <c r="Q98" s="624">
        <v>0</v>
      </c>
      <c r="R98" s="624">
        <f t="shared" si="205"/>
        <v>0</v>
      </c>
      <c r="S98" s="624">
        <v>0</v>
      </c>
      <c r="T98" s="624">
        <v>0</v>
      </c>
      <c r="U98" s="624">
        <v>0</v>
      </c>
      <c r="V98" s="624">
        <f t="shared" si="201"/>
        <v>0</v>
      </c>
      <c r="W98" s="624">
        <v>0</v>
      </c>
      <c r="X98" s="624">
        <v>0</v>
      </c>
      <c r="Y98" s="624">
        <v>0</v>
      </c>
      <c r="Z98" s="624">
        <f t="shared" si="202"/>
        <v>0</v>
      </c>
    </row>
    <row r="99" spans="1:26" x14ac:dyDescent="0.25">
      <c r="A99" s="618"/>
      <c r="B99" s="629" t="s">
        <v>542</v>
      </c>
      <c r="C99" s="625">
        <v>0</v>
      </c>
      <c r="D99" s="625">
        <v>0</v>
      </c>
      <c r="E99" s="625">
        <v>0</v>
      </c>
      <c r="F99" s="625">
        <f t="shared" si="146"/>
        <v>0</v>
      </c>
      <c r="G99" s="625">
        <v>0</v>
      </c>
      <c r="H99" s="625">
        <v>0</v>
      </c>
      <c r="I99" s="625">
        <v>0</v>
      </c>
      <c r="J99" s="625">
        <f t="shared" si="203"/>
        <v>0</v>
      </c>
      <c r="K99" s="625">
        <v>0</v>
      </c>
      <c r="L99" s="625">
        <v>0</v>
      </c>
      <c r="M99" s="625">
        <v>0</v>
      </c>
      <c r="N99" s="625">
        <f t="shared" si="204"/>
        <v>0</v>
      </c>
      <c r="O99" s="625">
        <v>0</v>
      </c>
      <c r="P99" s="625">
        <v>0</v>
      </c>
      <c r="Q99" s="625">
        <v>0</v>
      </c>
      <c r="R99" s="625">
        <f t="shared" si="205"/>
        <v>0</v>
      </c>
      <c r="S99" s="625">
        <v>0</v>
      </c>
      <c r="T99" s="625">
        <v>0</v>
      </c>
      <c r="U99" s="625">
        <v>0</v>
      </c>
      <c r="V99" s="625">
        <f t="shared" si="201"/>
        <v>0</v>
      </c>
      <c r="W99" s="625">
        <v>0</v>
      </c>
      <c r="X99" s="625">
        <v>0</v>
      </c>
      <c r="Y99" s="625">
        <v>0</v>
      </c>
      <c r="Z99" s="625">
        <f t="shared" si="202"/>
        <v>0</v>
      </c>
    </row>
    <row r="100" spans="1:26" x14ac:dyDescent="0.25">
      <c r="A100" s="618"/>
      <c r="B100" s="629" t="s">
        <v>543</v>
      </c>
      <c r="C100" s="625">
        <f t="shared" ref="C100:D100" si="206">C101+C102</f>
        <v>0</v>
      </c>
      <c r="D100" s="625">
        <f t="shared" si="206"/>
        <v>800000</v>
      </c>
      <c r="E100" s="625">
        <f t="shared" ref="E100" si="207">E101+E102</f>
        <v>0</v>
      </c>
      <c r="F100" s="625">
        <f t="shared" si="146"/>
        <v>800000</v>
      </c>
      <c r="G100" s="625">
        <f t="shared" ref="G100:I100" si="208">G101+G102</f>
        <v>0</v>
      </c>
      <c r="H100" s="630">
        <f t="shared" si="208"/>
        <v>854045</v>
      </c>
      <c r="I100" s="630">
        <f t="shared" si="208"/>
        <v>0</v>
      </c>
      <c r="J100" s="630">
        <f t="shared" si="203"/>
        <v>854045</v>
      </c>
      <c r="K100" s="630">
        <f t="shared" ref="K100:M100" si="209">K101+K102</f>
        <v>0</v>
      </c>
      <c r="L100" s="630">
        <f t="shared" si="209"/>
        <v>1337194</v>
      </c>
      <c r="M100" s="630">
        <f t="shared" si="209"/>
        <v>0</v>
      </c>
      <c r="N100" s="630">
        <f t="shared" si="204"/>
        <v>1337194</v>
      </c>
      <c r="O100" s="630">
        <f t="shared" ref="O100:Q100" si="210">O101+O102</f>
        <v>854045</v>
      </c>
      <c r="P100" s="630">
        <f t="shared" si="210"/>
        <v>0</v>
      </c>
      <c r="Q100" s="630">
        <f t="shared" si="210"/>
        <v>0</v>
      </c>
      <c r="R100" s="630">
        <f t="shared" si="205"/>
        <v>854045</v>
      </c>
      <c r="S100" s="630">
        <f t="shared" ref="S100:U100" si="211">S101+S102</f>
        <v>1100000</v>
      </c>
      <c r="T100" s="630">
        <f t="shared" si="211"/>
        <v>0</v>
      </c>
      <c r="U100" s="630">
        <f t="shared" si="211"/>
        <v>0</v>
      </c>
      <c r="V100" s="630">
        <f t="shared" si="201"/>
        <v>1100000</v>
      </c>
      <c r="W100" s="630">
        <f t="shared" ref="W100:Y100" si="212">W101+W102</f>
        <v>1504796</v>
      </c>
      <c r="X100" s="630">
        <f t="shared" si="212"/>
        <v>0</v>
      </c>
      <c r="Y100" s="630">
        <f t="shared" si="212"/>
        <v>0</v>
      </c>
      <c r="Z100" s="630">
        <f t="shared" si="202"/>
        <v>1504796</v>
      </c>
    </row>
    <row r="101" spans="1:26" x14ac:dyDescent="0.25">
      <c r="A101" s="618"/>
      <c r="B101" s="622" t="s">
        <v>544</v>
      </c>
      <c r="C101" s="624">
        <v>0</v>
      </c>
      <c r="D101" s="624">
        <v>0</v>
      </c>
      <c r="E101" s="624">
        <v>0</v>
      </c>
      <c r="F101" s="624">
        <f t="shared" si="146"/>
        <v>0</v>
      </c>
      <c r="G101" s="624">
        <v>0</v>
      </c>
      <c r="H101" s="635">
        <v>0</v>
      </c>
      <c r="I101" s="635">
        <v>0</v>
      </c>
      <c r="J101" s="635">
        <f t="shared" si="203"/>
        <v>0</v>
      </c>
      <c r="K101" s="635">
        <v>0</v>
      </c>
      <c r="L101" s="635">
        <v>52177</v>
      </c>
      <c r="M101" s="635">
        <v>0</v>
      </c>
      <c r="N101" s="635">
        <f t="shared" si="204"/>
        <v>52177</v>
      </c>
      <c r="O101" s="635">
        <v>0</v>
      </c>
      <c r="P101" s="635"/>
      <c r="Q101" s="635">
        <v>0</v>
      </c>
      <c r="R101" s="635">
        <f t="shared" si="205"/>
        <v>0</v>
      </c>
      <c r="S101" s="635">
        <v>0</v>
      </c>
      <c r="T101" s="635">
        <v>0</v>
      </c>
      <c r="U101" s="635">
        <v>0</v>
      </c>
      <c r="V101" s="635">
        <f t="shared" si="201"/>
        <v>0</v>
      </c>
      <c r="W101" s="436">
        <f>404796-259084</f>
        <v>145712</v>
      </c>
      <c r="X101" s="436">
        <v>0</v>
      </c>
      <c r="Y101" s="436">
        <v>0</v>
      </c>
      <c r="Z101" s="436">
        <f t="shared" si="202"/>
        <v>145712</v>
      </c>
    </row>
    <row r="102" spans="1:26" x14ac:dyDescent="0.25">
      <c r="A102" s="618"/>
      <c r="B102" s="622" t="s">
        <v>545</v>
      </c>
      <c r="C102" s="624"/>
      <c r="D102" s="624">
        <v>800000</v>
      </c>
      <c r="E102" s="624">
        <v>0</v>
      </c>
      <c r="F102" s="624">
        <f t="shared" si="146"/>
        <v>800000</v>
      </c>
      <c r="G102" s="624"/>
      <c r="H102" s="624">
        <v>854045</v>
      </c>
      <c r="I102" s="624">
        <v>0</v>
      </c>
      <c r="J102" s="624">
        <f t="shared" si="203"/>
        <v>854045</v>
      </c>
      <c r="K102" s="624"/>
      <c r="L102" s="624">
        <v>1285017</v>
      </c>
      <c r="M102" s="624">
        <v>0</v>
      </c>
      <c r="N102" s="624">
        <f t="shared" si="204"/>
        <v>1285017</v>
      </c>
      <c r="O102" s="624">
        <v>854045</v>
      </c>
      <c r="P102" s="624"/>
      <c r="Q102" s="624">
        <v>0</v>
      </c>
      <c r="R102" s="624">
        <f t="shared" si="205"/>
        <v>854045</v>
      </c>
      <c r="S102" s="624">
        <f>800000+200000+100000</f>
        <v>1100000</v>
      </c>
      <c r="T102" s="624"/>
      <c r="U102" s="624">
        <v>0</v>
      </c>
      <c r="V102" s="624">
        <f t="shared" si="201"/>
        <v>1100000</v>
      </c>
      <c r="W102" s="624">
        <f>800000+200000+100000+259084</f>
        <v>1359084</v>
      </c>
      <c r="X102" s="624"/>
      <c r="Y102" s="624">
        <v>0</v>
      </c>
      <c r="Z102" s="624">
        <f t="shared" si="202"/>
        <v>1359084</v>
      </c>
    </row>
    <row r="103" spans="1:26" x14ac:dyDescent="0.25">
      <c r="A103" s="618"/>
      <c r="B103" s="771" t="s">
        <v>1475</v>
      </c>
      <c r="C103" s="625">
        <v>0</v>
      </c>
      <c r="D103" s="625">
        <v>0</v>
      </c>
      <c r="E103" s="625">
        <v>0</v>
      </c>
      <c r="F103" s="625">
        <f t="shared" si="146"/>
        <v>0</v>
      </c>
      <c r="G103" s="625">
        <v>301443</v>
      </c>
      <c r="H103" s="625">
        <v>0</v>
      </c>
      <c r="I103" s="625">
        <v>0</v>
      </c>
      <c r="J103" s="625">
        <f t="shared" si="203"/>
        <v>301443</v>
      </c>
      <c r="K103" s="625">
        <v>0</v>
      </c>
      <c r="L103" s="625">
        <v>0</v>
      </c>
      <c r="M103" s="625">
        <v>0</v>
      </c>
      <c r="N103" s="625">
        <f t="shared" si="204"/>
        <v>0</v>
      </c>
      <c r="O103" s="625">
        <v>0</v>
      </c>
      <c r="P103" s="625">
        <v>0</v>
      </c>
      <c r="Q103" s="625">
        <v>0</v>
      </c>
      <c r="R103" s="625">
        <f t="shared" si="205"/>
        <v>0</v>
      </c>
      <c r="S103" s="625">
        <v>0</v>
      </c>
      <c r="T103" s="625">
        <v>0</v>
      </c>
      <c r="U103" s="625">
        <v>0</v>
      </c>
      <c r="V103" s="625">
        <f t="shared" si="201"/>
        <v>0</v>
      </c>
      <c r="W103" s="625">
        <f>105077+27221</f>
        <v>132298</v>
      </c>
      <c r="X103" s="625">
        <v>0</v>
      </c>
      <c r="Y103" s="625">
        <v>0</v>
      </c>
      <c r="Z103" s="625">
        <f t="shared" si="202"/>
        <v>132298</v>
      </c>
    </row>
    <row r="104" spans="1:26" x14ac:dyDescent="0.25">
      <c r="A104" s="618"/>
      <c r="B104" s="629" t="s">
        <v>547</v>
      </c>
      <c r="C104" s="625">
        <v>0</v>
      </c>
      <c r="D104" s="625">
        <v>500000</v>
      </c>
      <c r="E104" s="625">
        <v>0</v>
      </c>
      <c r="F104" s="625">
        <v>500000</v>
      </c>
      <c r="G104" s="625">
        <v>0</v>
      </c>
      <c r="H104" s="625">
        <v>500000</v>
      </c>
      <c r="I104" s="625">
        <v>0</v>
      </c>
      <c r="J104" s="625">
        <v>500000</v>
      </c>
      <c r="K104" s="625">
        <v>0</v>
      </c>
      <c r="L104" s="625">
        <v>500000</v>
      </c>
      <c r="M104" s="625">
        <v>0</v>
      </c>
      <c r="N104" s="625">
        <v>500000</v>
      </c>
      <c r="O104" s="625">
        <v>502450</v>
      </c>
      <c r="P104" s="625"/>
      <c r="Q104" s="625">
        <v>0</v>
      </c>
      <c r="R104" s="625">
        <f t="shared" si="205"/>
        <v>502450</v>
      </c>
      <c r="S104" s="625">
        <v>0</v>
      </c>
      <c r="T104" s="625"/>
      <c r="U104" s="625">
        <v>0</v>
      </c>
      <c r="V104" s="625"/>
      <c r="W104" s="625">
        <v>0</v>
      </c>
      <c r="X104" s="625"/>
      <c r="Y104" s="625">
        <v>0</v>
      </c>
      <c r="Z104" s="625"/>
    </row>
    <row r="105" spans="1:26" x14ac:dyDescent="0.25">
      <c r="A105" s="615" t="s">
        <v>322</v>
      </c>
      <c r="B105" s="616" t="s">
        <v>548</v>
      </c>
      <c r="C105" s="617">
        <f t="shared" ref="C105:D105" si="213">C106+C107</f>
        <v>0</v>
      </c>
      <c r="D105" s="617">
        <f t="shared" si="213"/>
        <v>0</v>
      </c>
      <c r="E105" s="617">
        <f t="shared" ref="E105" si="214">E106+E107</f>
        <v>0</v>
      </c>
      <c r="F105" s="617">
        <f t="shared" si="146"/>
        <v>0</v>
      </c>
      <c r="G105" s="617">
        <f t="shared" ref="G105:I105" si="215">G106+G107</f>
        <v>0</v>
      </c>
      <c r="H105" s="617">
        <f t="shared" si="215"/>
        <v>0</v>
      </c>
      <c r="I105" s="617">
        <f t="shared" si="215"/>
        <v>0</v>
      </c>
      <c r="J105" s="617">
        <f t="shared" ref="J105:J108" si="216">SUM(G105:I105)</f>
        <v>0</v>
      </c>
      <c r="K105" s="617">
        <f t="shared" ref="K105:M105" si="217">K106+K107</f>
        <v>0</v>
      </c>
      <c r="L105" s="617">
        <f t="shared" si="217"/>
        <v>0</v>
      </c>
      <c r="M105" s="617">
        <f t="shared" si="217"/>
        <v>0</v>
      </c>
      <c r="N105" s="617">
        <f t="shared" ref="N105:N108" si="218">SUM(K105:M105)</f>
        <v>0</v>
      </c>
      <c r="O105" s="617">
        <f t="shared" ref="O105:Q105" si="219">O106+O107</f>
        <v>0</v>
      </c>
      <c r="P105" s="617">
        <f t="shared" si="219"/>
        <v>0</v>
      </c>
      <c r="Q105" s="617">
        <f t="shared" si="219"/>
        <v>0</v>
      </c>
      <c r="R105" s="617">
        <f t="shared" ref="R105:R108" si="220">SUM(O105:Q105)</f>
        <v>0</v>
      </c>
      <c r="S105" s="617">
        <f t="shared" ref="S105:U105" si="221">S106+S107</f>
        <v>0</v>
      </c>
      <c r="T105" s="617">
        <f t="shared" si="221"/>
        <v>0</v>
      </c>
      <c r="U105" s="617">
        <f t="shared" si="221"/>
        <v>0</v>
      </c>
      <c r="V105" s="617">
        <f t="shared" ref="V105:V108" si="222">SUM(S105:U105)</f>
        <v>0</v>
      </c>
      <c r="W105" s="617">
        <f t="shared" ref="W105:Y105" si="223">W106+W107</f>
        <v>0</v>
      </c>
      <c r="X105" s="617">
        <f t="shared" si="223"/>
        <v>0</v>
      </c>
      <c r="Y105" s="617">
        <f t="shared" si="223"/>
        <v>0</v>
      </c>
      <c r="Z105" s="617">
        <f t="shared" ref="Z105:Z108" si="224">SUM(W105:Y105)</f>
        <v>0</v>
      </c>
    </row>
    <row r="106" spans="1:26" x14ac:dyDescent="0.25">
      <c r="A106" s="618"/>
      <c r="B106" s="629" t="s">
        <v>549</v>
      </c>
      <c r="C106" s="625">
        <v>0</v>
      </c>
      <c r="D106" s="625">
        <v>0</v>
      </c>
      <c r="E106" s="625">
        <v>0</v>
      </c>
      <c r="F106" s="625">
        <f t="shared" si="146"/>
        <v>0</v>
      </c>
      <c r="G106" s="625">
        <v>0</v>
      </c>
      <c r="H106" s="625">
        <v>0</v>
      </c>
      <c r="I106" s="625">
        <v>0</v>
      </c>
      <c r="J106" s="625">
        <f t="shared" si="216"/>
        <v>0</v>
      </c>
      <c r="K106" s="625">
        <v>0</v>
      </c>
      <c r="L106" s="625">
        <v>0</v>
      </c>
      <c r="M106" s="625">
        <v>0</v>
      </c>
      <c r="N106" s="625">
        <f t="shared" si="218"/>
        <v>0</v>
      </c>
      <c r="O106" s="625">
        <v>0</v>
      </c>
      <c r="P106" s="625">
        <v>0</v>
      </c>
      <c r="Q106" s="625">
        <v>0</v>
      </c>
      <c r="R106" s="625">
        <f t="shared" si="220"/>
        <v>0</v>
      </c>
      <c r="S106" s="625">
        <v>0</v>
      </c>
      <c r="T106" s="625">
        <v>0</v>
      </c>
      <c r="U106" s="625">
        <v>0</v>
      </c>
      <c r="V106" s="625">
        <f t="shared" si="222"/>
        <v>0</v>
      </c>
      <c r="W106" s="625">
        <v>0</v>
      </c>
      <c r="X106" s="625">
        <v>0</v>
      </c>
      <c r="Y106" s="625">
        <v>0</v>
      </c>
      <c r="Z106" s="625">
        <f t="shared" si="224"/>
        <v>0</v>
      </c>
    </row>
    <row r="107" spans="1:26" x14ac:dyDescent="0.25">
      <c r="A107" s="618"/>
      <c r="B107" s="629" t="s">
        <v>550</v>
      </c>
      <c r="C107" s="625">
        <v>0</v>
      </c>
      <c r="D107" s="625">
        <v>0</v>
      </c>
      <c r="E107" s="625">
        <v>0</v>
      </c>
      <c r="F107" s="625">
        <f t="shared" si="146"/>
        <v>0</v>
      </c>
      <c r="G107" s="625">
        <v>0</v>
      </c>
      <c r="H107" s="625">
        <v>0</v>
      </c>
      <c r="I107" s="625">
        <v>0</v>
      </c>
      <c r="J107" s="625">
        <f t="shared" si="216"/>
        <v>0</v>
      </c>
      <c r="K107" s="625">
        <v>0</v>
      </c>
      <c r="L107" s="625">
        <v>0</v>
      </c>
      <c r="M107" s="625">
        <v>0</v>
      </c>
      <c r="N107" s="625">
        <f t="shared" si="218"/>
        <v>0</v>
      </c>
      <c r="O107" s="625">
        <v>0</v>
      </c>
      <c r="P107" s="625">
        <v>0</v>
      </c>
      <c r="Q107" s="625">
        <v>0</v>
      </c>
      <c r="R107" s="625">
        <f t="shared" si="220"/>
        <v>0</v>
      </c>
      <c r="S107" s="625">
        <v>0</v>
      </c>
      <c r="T107" s="625">
        <v>0</v>
      </c>
      <c r="U107" s="625">
        <v>0</v>
      </c>
      <c r="V107" s="625">
        <f t="shared" si="222"/>
        <v>0</v>
      </c>
      <c r="W107" s="625">
        <v>0</v>
      </c>
      <c r="X107" s="625">
        <v>0</v>
      </c>
      <c r="Y107" s="625">
        <v>0</v>
      </c>
      <c r="Z107" s="625">
        <f t="shared" si="224"/>
        <v>0</v>
      </c>
    </row>
    <row r="108" spans="1:26" x14ac:dyDescent="0.25">
      <c r="A108" s="636"/>
      <c r="B108" s="637" t="s">
        <v>333</v>
      </c>
      <c r="C108" s="638">
        <f t="shared" ref="C108:D108" si="225">C92+C62+C5</f>
        <v>3689632</v>
      </c>
      <c r="D108" s="638">
        <f t="shared" si="225"/>
        <v>2530133</v>
      </c>
      <c r="E108" s="638">
        <f t="shared" ref="E108" si="226">E92+E62+E5</f>
        <v>0</v>
      </c>
      <c r="F108" s="638">
        <f t="shared" si="146"/>
        <v>6219765</v>
      </c>
      <c r="G108" s="638">
        <f t="shared" ref="G108:I108" si="227">G92+G62+G5</f>
        <v>4201770</v>
      </c>
      <c r="H108" s="638">
        <f t="shared" si="227"/>
        <v>3086172</v>
      </c>
      <c r="I108" s="638">
        <f t="shared" si="227"/>
        <v>0</v>
      </c>
      <c r="J108" s="638">
        <f t="shared" si="216"/>
        <v>7287942</v>
      </c>
      <c r="K108" s="638">
        <f t="shared" ref="K108:M108" si="228">K92+K62+K5</f>
        <v>3709847</v>
      </c>
      <c r="L108" s="638">
        <f t="shared" si="228"/>
        <v>2909127</v>
      </c>
      <c r="M108" s="638">
        <f t="shared" si="228"/>
        <v>0</v>
      </c>
      <c r="N108" s="638">
        <f t="shared" si="218"/>
        <v>6618974</v>
      </c>
      <c r="O108" s="638">
        <f t="shared" ref="O108:Q108" si="229">O92+O62+O5</f>
        <v>7109650</v>
      </c>
      <c r="P108" s="638">
        <f t="shared" si="229"/>
        <v>12200</v>
      </c>
      <c r="Q108" s="638">
        <f t="shared" si="229"/>
        <v>0</v>
      </c>
      <c r="R108" s="638">
        <f t="shared" si="220"/>
        <v>7121850</v>
      </c>
      <c r="S108" s="638">
        <f t="shared" ref="S108:U108" si="230">S92+S62+S5</f>
        <v>5554599.0810000002</v>
      </c>
      <c r="T108" s="638">
        <f t="shared" si="230"/>
        <v>50887</v>
      </c>
      <c r="U108" s="638">
        <f t="shared" si="230"/>
        <v>0</v>
      </c>
      <c r="V108" s="638">
        <f t="shared" si="222"/>
        <v>5605486.0810000002</v>
      </c>
      <c r="W108" s="638">
        <f t="shared" ref="W108:Y108" si="231">W92+W62+W5</f>
        <v>6098059.8339999998</v>
      </c>
      <c r="X108" s="638">
        <f t="shared" si="231"/>
        <v>50887</v>
      </c>
      <c r="Y108" s="638">
        <f t="shared" si="231"/>
        <v>0</v>
      </c>
      <c r="Z108" s="638">
        <f t="shared" si="224"/>
        <v>6148946.8339999998</v>
      </c>
    </row>
    <row r="110" spans="1:26" x14ac:dyDescent="0.25">
      <c r="J110" s="639">
        <f>+J108-F108</f>
        <v>1068177</v>
      </c>
      <c r="V110" s="607">
        <v>2514343</v>
      </c>
      <c r="Z110" s="607">
        <v>2514343</v>
      </c>
    </row>
    <row r="111" spans="1:26" x14ac:dyDescent="0.25">
      <c r="V111" s="639">
        <f>+V110+V108</f>
        <v>8119829.0810000002</v>
      </c>
      <c r="Z111" s="639">
        <f>+Z110+Z108</f>
        <v>8663289.8339999989</v>
      </c>
    </row>
    <row r="112" spans="1:26" x14ac:dyDescent="0.25">
      <c r="V112" s="607">
        <v>2325719</v>
      </c>
      <c r="Z112" s="607">
        <v>2325719</v>
      </c>
    </row>
    <row r="113" spans="22:26" x14ac:dyDescent="0.25">
      <c r="V113" s="639">
        <f>+V111-V112</f>
        <v>5794110.0810000002</v>
      </c>
      <c r="Z113" s="639">
        <f>+Z111-Z112</f>
        <v>6337570.8339999989</v>
      </c>
    </row>
  </sheetData>
  <mergeCells count="8">
    <mergeCell ref="A3:A4"/>
    <mergeCell ref="B3:B4"/>
    <mergeCell ref="C3:F3"/>
    <mergeCell ref="G3:J3"/>
    <mergeCell ref="W3:Z3"/>
    <mergeCell ref="O3:R3"/>
    <mergeCell ref="S3:V3"/>
    <mergeCell ref="K3:N3"/>
  </mergeCells>
  <printOptions horizontalCentered="1"/>
  <pageMargins left="0.19685039370078741" right="0.19685039370078741" top="0.73" bottom="0.39" header="0.18" footer="0.17"/>
  <pageSetup paperSize="9" scale="51" fitToHeight="2" orientation="portrait" r:id="rId1"/>
  <headerFooter>
    <oddHeader>&amp;L2/A.  melléklet a ...../2019. (.......) önkormányzati rendelethez&amp;C&amp;"-,Félkövér"&amp;16
Az Önkormányzat 2019. évi bevételei forrásonként és feladatonként</oddHeader>
    <oddFooter>&amp;C&amp;P</oddFooter>
  </headerFooter>
  <rowBreaks count="1" manualBreakCount="1">
    <brk id="6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8"/>
  <sheetViews>
    <sheetView view="pageBreakPreview" topLeftCell="A29" zoomScale="75" zoomScaleNormal="100" zoomScaleSheetLayoutView="75" workbookViewId="0">
      <selection activeCell="X17" sqref="X17"/>
    </sheetView>
  </sheetViews>
  <sheetFormatPr defaultColWidth="9.125" defaultRowHeight="14.3" x14ac:dyDescent="0.25"/>
  <cols>
    <col min="1" max="1" width="4.75" style="247" customWidth="1"/>
    <col min="2" max="2" width="48.75" style="96" customWidth="1"/>
    <col min="3" max="3" width="9.75" style="283" hidden="1" customWidth="1"/>
    <col min="4" max="4" width="9.875" style="283" hidden="1" customWidth="1"/>
    <col min="5" max="5" width="11.125" style="283" hidden="1" customWidth="1"/>
    <col min="6" max="6" width="10.75" style="283" hidden="1" customWidth="1"/>
    <col min="7" max="7" width="10.375" style="283" hidden="1" customWidth="1"/>
    <col min="8" max="8" width="13.75" style="283" hidden="1" customWidth="1"/>
    <col min="9" max="9" width="11.25" style="283" hidden="1" customWidth="1"/>
    <col min="10" max="10" width="10.125" style="283" hidden="1" customWidth="1"/>
    <col min="11" max="11" width="10.25" style="283" hidden="1" customWidth="1"/>
    <col min="12" max="12" width="11" style="283" hidden="1" customWidth="1"/>
    <col min="13" max="13" width="9.875" style="283" hidden="1" customWidth="1"/>
    <col min="14" max="14" width="13.25" style="283" hidden="1" customWidth="1"/>
    <col min="15" max="15" width="10.25" style="283" hidden="1" customWidth="1"/>
    <col min="16" max="16" width="10.375" style="283" hidden="1" customWidth="1"/>
    <col min="17" max="17" width="9.875" style="283" hidden="1" customWidth="1"/>
    <col min="18" max="18" width="9.75" style="283" hidden="1" customWidth="1"/>
    <col min="19" max="19" width="10.25" style="283" customWidth="1"/>
    <col min="20" max="20" width="10.875" style="283" customWidth="1"/>
    <col min="21" max="21" width="9.875" style="283" customWidth="1"/>
    <col min="22" max="22" width="9.75" style="283" customWidth="1"/>
    <col min="23" max="23" width="10.25" style="283" customWidth="1"/>
    <col min="24" max="24" width="10.875" style="283" customWidth="1"/>
    <col min="25" max="25" width="9.875" style="283" customWidth="1"/>
    <col min="26" max="26" width="9.75" style="283" customWidth="1"/>
    <col min="27" max="16384" width="9.125" style="283"/>
  </cols>
  <sheetData>
    <row r="1" spans="1:26" ht="14.95" x14ac:dyDescent="0.25">
      <c r="F1" s="566"/>
      <c r="N1" s="169"/>
      <c r="R1" s="169"/>
      <c r="V1" s="169"/>
      <c r="Z1" s="423" t="s">
        <v>302</v>
      </c>
    </row>
    <row r="2" spans="1:26" x14ac:dyDescent="0.25">
      <c r="A2" s="346" t="s">
        <v>468</v>
      </c>
      <c r="B2" s="346" t="s">
        <v>469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</row>
    <row r="3" spans="1:26" ht="48.75" customHeight="1" x14ac:dyDescent="0.25">
      <c r="A3" s="879" t="s">
        <v>305</v>
      </c>
      <c r="B3" s="879" t="s">
        <v>586</v>
      </c>
      <c r="C3" s="880" t="s">
        <v>1505</v>
      </c>
      <c r="D3" s="881"/>
      <c r="E3" s="881"/>
      <c r="F3" s="882"/>
      <c r="G3" s="880" t="s">
        <v>1506</v>
      </c>
      <c r="H3" s="881"/>
      <c r="I3" s="881"/>
      <c r="J3" s="882"/>
      <c r="K3" s="880" t="s">
        <v>1507</v>
      </c>
      <c r="L3" s="881"/>
      <c r="M3" s="881"/>
      <c r="N3" s="882"/>
      <c r="O3" s="880" t="s">
        <v>1498</v>
      </c>
      <c r="P3" s="881"/>
      <c r="Q3" s="881"/>
      <c r="R3" s="882"/>
      <c r="S3" s="880" t="s">
        <v>1501</v>
      </c>
      <c r="T3" s="881"/>
      <c r="U3" s="881"/>
      <c r="V3" s="882"/>
      <c r="W3" s="880" t="s">
        <v>1720</v>
      </c>
      <c r="X3" s="881"/>
      <c r="Y3" s="881"/>
      <c r="Z3" s="882"/>
    </row>
    <row r="4" spans="1:26" ht="42.8" x14ac:dyDescent="0.25">
      <c r="A4" s="879"/>
      <c r="B4" s="879"/>
      <c r="C4" s="520" t="s">
        <v>1313</v>
      </c>
      <c r="D4" s="520" t="s">
        <v>1314</v>
      </c>
      <c r="E4" s="520" t="s">
        <v>1315</v>
      </c>
      <c r="F4" s="520" t="s">
        <v>553</v>
      </c>
      <c r="G4" s="520" t="s">
        <v>1313</v>
      </c>
      <c r="H4" s="520" t="s">
        <v>1314</v>
      </c>
      <c r="I4" s="520" t="s">
        <v>1315</v>
      </c>
      <c r="J4" s="520" t="s">
        <v>553</v>
      </c>
      <c r="K4" s="520" t="s">
        <v>1313</v>
      </c>
      <c r="L4" s="520" t="s">
        <v>1314</v>
      </c>
      <c r="M4" s="520" t="s">
        <v>1315</v>
      </c>
      <c r="N4" s="520" t="s">
        <v>553</v>
      </c>
      <c r="O4" s="640" t="s">
        <v>1313</v>
      </c>
      <c r="P4" s="640" t="s">
        <v>1314</v>
      </c>
      <c r="Q4" s="640" t="s">
        <v>1315</v>
      </c>
      <c r="R4" s="640" t="s">
        <v>553</v>
      </c>
      <c r="S4" s="640" t="s">
        <v>1313</v>
      </c>
      <c r="T4" s="640" t="s">
        <v>1314</v>
      </c>
      <c r="U4" s="640" t="s">
        <v>1315</v>
      </c>
      <c r="V4" s="640" t="s">
        <v>553</v>
      </c>
      <c r="W4" s="858" t="s">
        <v>1313</v>
      </c>
      <c r="X4" s="858" t="s">
        <v>1314</v>
      </c>
      <c r="Y4" s="858" t="s">
        <v>1315</v>
      </c>
      <c r="Z4" s="858" t="s">
        <v>553</v>
      </c>
    </row>
    <row r="5" spans="1:26" x14ac:dyDescent="0.25">
      <c r="A5" s="347"/>
      <c r="B5" s="556" t="s">
        <v>307</v>
      </c>
      <c r="C5" s="349">
        <v>12</v>
      </c>
      <c r="D5" s="349">
        <v>0</v>
      </c>
      <c r="E5" s="349">
        <v>0</v>
      </c>
      <c r="F5" s="349">
        <f>SUM(C5:E5)</f>
        <v>12</v>
      </c>
      <c r="G5" s="349">
        <v>12</v>
      </c>
      <c r="H5" s="349">
        <v>0</v>
      </c>
      <c r="I5" s="349">
        <v>0</v>
      </c>
      <c r="J5" s="349">
        <f>SUM(G5:I5)</f>
        <v>12</v>
      </c>
      <c r="K5" s="349">
        <v>12</v>
      </c>
      <c r="L5" s="349">
        <v>0</v>
      </c>
      <c r="M5" s="349">
        <v>0</v>
      </c>
      <c r="N5" s="349">
        <f>SUM(K5:M5)</f>
        <v>12</v>
      </c>
      <c r="O5" s="349">
        <v>12</v>
      </c>
      <c r="P5" s="349">
        <v>0</v>
      </c>
      <c r="Q5" s="349">
        <v>0</v>
      </c>
      <c r="R5" s="349">
        <f>SUM(O5:Q5)</f>
        <v>12</v>
      </c>
      <c r="S5" s="349">
        <v>16</v>
      </c>
      <c r="T5" s="349">
        <v>0</v>
      </c>
      <c r="U5" s="349">
        <v>0</v>
      </c>
      <c r="V5" s="349">
        <f>SUM(S5:U5)</f>
        <v>16</v>
      </c>
      <c r="W5" s="349">
        <v>16</v>
      </c>
      <c r="X5" s="349">
        <v>0</v>
      </c>
      <c r="Y5" s="349">
        <v>0</v>
      </c>
      <c r="Z5" s="349">
        <f>SUM(W5:Y5)</f>
        <v>16</v>
      </c>
    </row>
    <row r="6" spans="1:26" x14ac:dyDescent="0.25">
      <c r="A6" s="347"/>
      <c r="B6" s="556" t="s">
        <v>308</v>
      </c>
      <c r="C6" s="349">
        <v>25</v>
      </c>
      <c r="D6" s="349">
        <v>0</v>
      </c>
      <c r="E6" s="349">
        <v>0</v>
      </c>
      <c r="F6" s="349">
        <f t="shared" ref="F6:F43" si="0">SUM(C6:E6)</f>
        <v>25</v>
      </c>
      <c r="G6" s="349">
        <v>25</v>
      </c>
      <c r="H6" s="349">
        <v>0</v>
      </c>
      <c r="I6" s="349">
        <v>0</v>
      </c>
      <c r="J6" s="349">
        <f t="shared" ref="J6:J43" si="1">SUM(G6:I6)</f>
        <v>25</v>
      </c>
      <c r="K6" s="349">
        <v>25</v>
      </c>
      <c r="L6" s="349">
        <v>0</v>
      </c>
      <c r="M6" s="349">
        <v>0</v>
      </c>
      <c r="N6" s="349">
        <f t="shared" ref="N6:N38" si="2">SUM(K6:M6)</f>
        <v>25</v>
      </c>
      <c r="O6" s="349">
        <v>25</v>
      </c>
      <c r="P6" s="349">
        <v>0</v>
      </c>
      <c r="Q6" s="349">
        <v>0</v>
      </c>
      <c r="R6" s="349">
        <f t="shared" ref="R6:R38" si="3">SUM(O6:Q6)</f>
        <v>25</v>
      </c>
      <c r="S6" s="349">
        <v>10</v>
      </c>
      <c r="T6" s="349">
        <v>0</v>
      </c>
      <c r="U6" s="349">
        <v>0</v>
      </c>
      <c r="V6" s="349">
        <f t="shared" ref="V6:V38" si="4">SUM(S6:U6)</f>
        <v>10</v>
      </c>
      <c r="W6" s="349">
        <v>10</v>
      </c>
      <c r="X6" s="349">
        <v>0</v>
      </c>
      <c r="Y6" s="349">
        <v>0</v>
      </c>
      <c r="Z6" s="349">
        <f t="shared" ref="Z6" si="5">SUM(W6:Y6)</f>
        <v>10</v>
      </c>
    </row>
    <row r="7" spans="1:26" x14ac:dyDescent="0.25">
      <c r="A7" s="557" t="s">
        <v>309</v>
      </c>
      <c r="B7" s="538" t="s">
        <v>334</v>
      </c>
      <c r="C7" s="539">
        <f t="shared" ref="C7:E7" si="6">C8+C9+C10+C11+C12</f>
        <v>1070530</v>
      </c>
      <c r="D7" s="539">
        <f t="shared" si="6"/>
        <v>531336</v>
      </c>
      <c r="E7" s="539">
        <f t="shared" si="6"/>
        <v>0</v>
      </c>
      <c r="F7" s="539">
        <f t="shared" si="0"/>
        <v>1601866</v>
      </c>
      <c r="G7" s="539">
        <f t="shared" ref="G7:I7" si="7">G8+G9+G10+G11+G12</f>
        <v>1453075</v>
      </c>
      <c r="H7" s="539" t="e">
        <f t="shared" si="7"/>
        <v>#REF!</v>
      </c>
      <c r="I7" s="539" t="e">
        <f t="shared" si="7"/>
        <v>#REF!</v>
      </c>
      <c r="J7" s="539" t="e">
        <f t="shared" si="1"/>
        <v>#REF!</v>
      </c>
      <c r="K7" s="539">
        <f t="shared" ref="K7:M7" si="8">K8+K9+K10+K11+K12</f>
        <v>1446837</v>
      </c>
      <c r="L7" s="539">
        <f t="shared" si="8"/>
        <v>1442390</v>
      </c>
      <c r="M7" s="539">
        <f t="shared" si="8"/>
        <v>0</v>
      </c>
      <c r="N7" s="539">
        <f t="shared" si="2"/>
        <v>2889227</v>
      </c>
      <c r="O7" s="539">
        <f t="shared" ref="O7:Q7" si="9">O8+O9+O10+O11+O12</f>
        <v>656889</v>
      </c>
      <c r="P7" s="539">
        <f t="shared" si="9"/>
        <v>1308349</v>
      </c>
      <c r="Q7" s="539">
        <f t="shared" si="9"/>
        <v>0</v>
      </c>
      <c r="R7" s="539">
        <f t="shared" si="3"/>
        <v>1965238</v>
      </c>
      <c r="S7" s="539">
        <f t="shared" ref="S7:U7" si="10">S8+S9+S10+S11+S12</f>
        <v>966399.31496062991</v>
      </c>
      <c r="T7" s="539">
        <f t="shared" si="10"/>
        <v>542244.41999999993</v>
      </c>
      <c r="U7" s="539">
        <f t="shared" si="10"/>
        <v>0</v>
      </c>
      <c r="V7" s="539">
        <f>SUM(S7:U7)-1</f>
        <v>1508642.7349606298</v>
      </c>
      <c r="W7" s="539">
        <f t="shared" ref="W7:Y7" si="11">W8+W9+W10+W11+W12</f>
        <v>1063962</v>
      </c>
      <c r="X7" s="539">
        <f>X8+X9+X10+X11+X12</f>
        <v>584384</v>
      </c>
      <c r="Y7" s="539">
        <f t="shared" si="11"/>
        <v>0</v>
      </c>
      <c r="Z7" s="539">
        <f>SUM(W7:Y7)</f>
        <v>1648346</v>
      </c>
    </row>
    <row r="8" spans="1:26" x14ac:dyDescent="0.25">
      <c r="A8" s="560" t="s">
        <v>311</v>
      </c>
      <c r="B8" s="567" t="s">
        <v>286</v>
      </c>
      <c r="C8" s="568">
        <f>'2C Önk bev kiad fel'!E15+'2C Önk bev kiad fel'!E20+'2C Önk bev kiad fel'!E44+'2C Önk bev kiad fel'!E63+'2C Önk bev kiad fel'!E29</f>
        <v>176460</v>
      </c>
      <c r="D8" s="568">
        <f>'2C Önk bev kiad fel'!E78+'2C Önk bev kiad fel'!E82+'2C Önk bev kiad fel'!E106+'2C Önk bev kiad fel'!E153+'2C Önk bev kiad fel'!E173+'2C Önk bev kiad fel'!E179+'2C Önk bev kiad fel'!E166</f>
        <v>60767</v>
      </c>
      <c r="E8" s="568">
        <v>0</v>
      </c>
      <c r="F8" s="568">
        <f t="shared" si="0"/>
        <v>237227</v>
      </c>
      <c r="G8" s="568">
        <f>'2C Önk bev kiad fel'!H15+'2C Önk bev kiad fel'!H20+'2C Önk bev kiad fel'!H44+'2C Önk bev kiad fel'!H63</f>
        <v>173289</v>
      </c>
      <c r="H8" s="568">
        <f>'2C Önk bev kiad fel'!H78+'2C Önk bev kiad fel'!H82+'2C Önk bev kiad fel'!H106+'2C Önk bev kiad fel'!H153+'2C Önk bev kiad fel'!H173+'2C Önk bev kiad fel'!H179+'2C Önk bev kiad fel'!H166+'2C Önk bev kiad fel'!H194</f>
        <v>68679</v>
      </c>
      <c r="I8" s="568">
        <f>'2C Önk bev kiad fel'!I204</f>
        <v>0</v>
      </c>
      <c r="J8" s="568">
        <f t="shared" si="1"/>
        <v>241968</v>
      </c>
      <c r="K8" s="568">
        <f>'2C Önk bev kiad fel'!K15+'2C Önk bev kiad fel'!K20+'2C Önk bev kiad fel'!K44+'2C Önk bev kiad fel'!K63</f>
        <v>173289</v>
      </c>
      <c r="L8" s="568">
        <f>'2C Önk bev kiad fel'!K78+'2C Önk bev kiad fel'!K82+'2C Önk bev kiad fel'!K106+'2C Önk bev kiad fel'!K153+'2C Önk bev kiad fel'!K173+'2C Önk bev kiad fel'!K179+'2C Önk bev kiad fel'!K166</f>
        <v>66463</v>
      </c>
      <c r="M8" s="568">
        <f>'2C Önk bev kiad fel'!M204</f>
        <v>0</v>
      </c>
      <c r="N8" s="568">
        <f t="shared" si="2"/>
        <v>239752</v>
      </c>
      <c r="O8" s="568">
        <f>'2C Önk bev kiad fel'!N15+'2C Önk bev kiad fel'!N20+'2C Önk bev kiad fel'!N44+'2C Önk bev kiad fel'!N63</f>
        <v>0</v>
      </c>
      <c r="P8" s="568">
        <f>'2C Önk bev kiad fel'!N78+'2C Önk bev kiad fel'!N82+'2C Önk bev kiad fel'!N106+'2C Önk bev kiad fel'!N153+'2C Önk bev kiad fel'!N173+'2C Önk bev kiad fel'!N179+'2C Önk bev kiad fel'!N166</f>
        <v>159667</v>
      </c>
      <c r="Q8" s="568"/>
      <c r="R8" s="568">
        <f t="shared" si="3"/>
        <v>159667</v>
      </c>
      <c r="S8" s="568">
        <f>'2C Önk bev kiad fel'!Q15+'2C Önk bev kiad fel'!Q20+'2C Önk bev kiad fel'!Q44+'2C Önk bev kiad fel'!Q63+'2C Önk bev kiad fel'!Q29</f>
        <v>175002</v>
      </c>
      <c r="T8" s="568">
        <f>'2C Önk bev kiad fel'!Q78+'2C Önk bev kiad fel'!Q82+'2C Önk bev kiad fel'!Q106+'2C Önk bev kiad fel'!Q153+'2C Önk bev kiad fel'!Q173+'2C Önk bev kiad fel'!Q179+'2C Önk bev kiad fel'!Q166</f>
        <v>63714</v>
      </c>
      <c r="U8" s="568">
        <v>0</v>
      </c>
      <c r="V8" s="568">
        <f t="shared" si="4"/>
        <v>238716</v>
      </c>
      <c r="W8" s="568">
        <f>'2C Önk bev kiad fel'!T15+'2C Önk bev kiad fel'!T20+'2C Önk bev kiad fel'!T44+'2C Önk bev kiad fel'!T63+'2C Önk bev kiad fel'!T29</f>
        <v>175002</v>
      </c>
      <c r="X8" s="568">
        <f>'2C Önk bev kiad fel'!T78+'2C Önk bev kiad fel'!T82+'2C Önk bev kiad fel'!T106+'2C Önk bev kiad fel'!T153+'2C Önk bev kiad fel'!T173+'2C Önk bev kiad fel'!T179+'2C Önk bev kiad fel'!T166</f>
        <v>63911</v>
      </c>
      <c r="Y8" s="568">
        <v>0</v>
      </c>
      <c r="Z8" s="568">
        <f t="shared" ref="Z8:Z20" si="12">SUM(W8:Y8)</f>
        <v>238913</v>
      </c>
    </row>
    <row r="9" spans="1:26" ht="28.55" x14ac:dyDescent="0.25">
      <c r="A9" s="560" t="s">
        <v>322</v>
      </c>
      <c r="B9" s="567" t="s">
        <v>335</v>
      </c>
      <c r="C9" s="568">
        <f>'2C Önk bev kiad fel'!E16+'2C Önk bev kiad fel'!E21+'2C Önk bev kiad fel'!E45+'2C Önk bev kiad fel'!E64+'2C Önk bev kiad fel'!E30</f>
        <v>35120</v>
      </c>
      <c r="D9" s="568">
        <f>'2C Önk bev kiad fel'!E79+'2C Önk bev kiad fel'!E83+'2C Önk bev kiad fel'!E107+'2C Önk bev kiad fel'!E154+'2C Önk bev kiad fel'!E174+'2C Önk bev kiad fel'!E180+'2C Önk bev kiad fel'!E167</f>
        <v>12273</v>
      </c>
      <c r="E9" s="568">
        <v>0</v>
      </c>
      <c r="F9" s="568">
        <f t="shared" si="0"/>
        <v>47393</v>
      </c>
      <c r="G9" s="568">
        <f>'2C Önk bev kiad fel'!H16+'2C Önk bev kiad fel'!H21+'2C Önk bev kiad fel'!H45+'2C Önk bev kiad fel'!H64</f>
        <v>33948</v>
      </c>
      <c r="H9" s="568">
        <f>'2C Önk bev kiad fel'!H79+'2C Önk bev kiad fel'!H83+'2C Önk bev kiad fel'!H107+'2C Önk bev kiad fel'!H154+'2C Önk bev kiad fel'!H167+'2C Önk bev kiad fel'!H174+'2C Önk bev kiad fel'!H180</f>
        <v>12501</v>
      </c>
      <c r="I9" s="568">
        <f>'2C Önk bev kiad fel'!I205</f>
        <v>0</v>
      </c>
      <c r="J9" s="568">
        <f t="shared" si="1"/>
        <v>46449</v>
      </c>
      <c r="K9" s="568">
        <f>'2C Önk bev kiad fel'!K16+'2C Önk bev kiad fel'!K21+'2C Önk bev kiad fel'!K45+'2C Önk bev kiad fel'!K64</f>
        <v>33948</v>
      </c>
      <c r="L9" s="568">
        <f>'2C Önk bev kiad fel'!K79+'2C Önk bev kiad fel'!K83+'2C Önk bev kiad fel'!K107+'2C Önk bev kiad fel'!K154+'2C Önk bev kiad fel'!K167+'2C Önk bev kiad fel'!K174+'2C Önk bev kiad fel'!K180</f>
        <v>13591</v>
      </c>
      <c r="M9" s="568">
        <f>'2C Önk bev kiad fel'!M205</f>
        <v>0</v>
      </c>
      <c r="N9" s="568">
        <f t="shared" si="2"/>
        <v>47539</v>
      </c>
      <c r="O9" s="568">
        <f>'2C Önk bev kiad fel'!N16+'2C Önk bev kiad fel'!N21+'2C Önk bev kiad fel'!N45+'2C Önk bev kiad fel'!N64</f>
        <v>0</v>
      </c>
      <c r="P9" s="568">
        <f>'2C Önk bev kiad fel'!N79+'2C Önk bev kiad fel'!N83+'2C Önk bev kiad fel'!N107+'2C Önk bev kiad fel'!N154+'2C Önk bev kiad fel'!N167+'2C Önk bev kiad fel'!N174+'2C Önk bev kiad fel'!N180</f>
        <v>6093</v>
      </c>
      <c r="Q9" s="568"/>
      <c r="R9" s="568">
        <f t="shared" si="3"/>
        <v>6093</v>
      </c>
      <c r="S9" s="568">
        <f>'2C Önk bev kiad fel'!Q16+'2C Önk bev kiad fel'!Q21+'2C Önk bev kiad fel'!Q45+'2C Önk bev kiad fel'!Q64+'2C Önk bev kiad fel'!Q30</f>
        <v>33251</v>
      </c>
      <c r="T9" s="568">
        <f>'2C Önk bev kiad fel'!Q79+'2C Önk bev kiad fel'!Q83+'2C Önk bev kiad fel'!Q107+'2C Önk bev kiad fel'!Q154+'2C Önk bev kiad fel'!Q167+'2C Önk bev kiad fel'!Q174+'2C Önk bev kiad fel'!Q180</f>
        <v>5418</v>
      </c>
      <c r="U9" s="568">
        <v>0</v>
      </c>
      <c r="V9" s="568">
        <f t="shared" si="4"/>
        <v>38669</v>
      </c>
      <c r="W9" s="568">
        <f>'2C Önk bev kiad fel'!T16+'2C Önk bev kiad fel'!T21+'2C Önk bev kiad fel'!T45+'2C Önk bev kiad fel'!T64+'2C Önk bev kiad fel'!T30</f>
        <v>33251</v>
      </c>
      <c r="X9" s="568">
        <f>'2C Önk bev kiad fel'!T79+'2C Önk bev kiad fel'!T83+'2C Önk bev kiad fel'!T107+'2C Önk bev kiad fel'!T154+'2C Önk bev kiad fel'!T167+'2C Önk bev kiad fel'!T174+'2C Önk bev kiad fel'!T180</f>
        <v>5541</v>
      </c>
      <c r="Y9" s="568">
        <v>0</v>
      </c>
      <c r="Z9" s="568">
        <f t="shared" si="12"/>
        <v>38792</v>
      </c>
    </row>
    <row r="10" spans="1:26" x14ac:dyDescent="0.25">
      <c r="A10" s="560" t="s">
        <v>315</v>
      </c>
      <c r="B10" s="567" t="s">
        <v>292</v>
      </c>
      <c r="C10" s="569">
        <f>'2C Önk bev kiad fel'!E8+'2C Önk bev kiad fel'!E12+'2C Önk bev kiad fel'!E17+'2C Önk bev kiad fel'!E22+'2C Önk bev kiad fel'!E25+'2C Önk bev kiad fel'!E27+'2C Önk bev kiad fel'!E31+'2C Önk bev kiad fel'!E34+'2C Önk bev kiad fel'!E37+'2C Önk bev kiad fel'!E40+'2C Önk bev kiad fel'!E46+'2C Önk bev kiad fel'!E58+'2C Önk bev kiad fel'!E67</f>
        <v>342588</v>
      </c>
      <c r="D10" s="569">
        <f>'2C Önk bev kiad fel'!E72+'2C Önk bev kiad fel'!E75+'2C Önk bev kiad fel'!E80+'2C Önk bev kiad fel'!E86+'2C Önk bev kiad fel'!E88+'2C Önk bev kiad fel'!E90+'2C Önk bev kiad fel'!E92+'2C Önk bev kiad fel'!E94+'2C Önk bev kiad fel'!E96+'2C Önk bev kiad fel'!E98+'2C Önk bev kiad fel'!E100+'2C Önk bev kiad fel'!E104+'2C Önk bev kiad fel'!E108+'2C Önk bev kiad fel'!E116+'2C Önk bev kiad fel'!E134+'2C Önk bev kiad fel'!E138+'2C Önk bev kiad fel'!E148+'2C Önk bev kiad fel'!E155+'2C Önk bev kiad fel'!E171+'2C Önk bev kiad fel'!E177+'2C Önk bev kiad fel'!E181+'2C Önk bev kiad fel'!E168</f>
        <v>136777</v>
      </c>
      <c r="E10" s="569">
        <v>0</v>
      </c>
      <c r="F10" s="569">
        <f t="shared" si="0"/>
        <v>479365</v>
      </c>
      <c r="G10" s="569">
        <f>'2C Önk bev kiad fel'!H8+'2C Önk bev kiad fel'!H12+'2C Önk bev kiad fel'!H17+'2C Önk bev kiad fel'!H22+'2C Önk bev kiad fel'!H25+'2C Önk bev kiad fel'!H27+'2C Önk bev kiad fel'!H31+'2C Önk bev kiad fel'!H34+'2C Önk bev kiad fel'!H37+'2C Önk bev kiad fel'!H40+'2C Önk bev kiad fel'!H46+'2C Önk bev kiad fel'!H58+'2C Önk bev kiad fel'!H67</f>
        <v>927428</v>
      </c>
      <c r="H10" s="569">
        <f>'2C Önk bev kiad fel'!H72+'2C Önk bev kiad fel'!H75+'2C Önk bev kiad fel'!H80+'2C Önk bev kiad fel'!H86+'2C Önk bev kiad fel'!H88+'2C Önk bev kiad fel'!H90+'2C Önk bev kiad fel'!H92+'2C Önk bev kiad fel'!H94+'2C Önk bev kiad fel'!H96+'2C Önk bev kiad fel'!H98+'2C Önk bev kiad fel'!H100+'2C Önk bev kiad fel'!H104+'2C Önk bev kiad fel'!H108+'2C Önk bev kiad fel'!H113+'2C Önk bev kiad fel'!H116+'2C Önk bev kiad fel'!H134+'2C Önk bev kiad fel'!H138+'2C Önk bev kiad fel'!H148+'2C Önk bev kiad fel'!H150+'2C Önk bev kiad fel'!H155+'2C Önk bev kiad fel'!H168+'2C Önk bev kiad fel'!H177+'2C Önk bev kiad fel'!H181+'2C Önk bev kiad fel'!H184+'2C Önk bev kiad fel'!H187+'2C Önk bev kiad fel'!H190+'2C Önk bev kiad fel'!H196</f>
        <v>213746</v>
      </c>
      <c r="I10" s="569">
        <f>'2C Önk bev kiad fel'!I206</f>
        <v>0</v>
      </c>
      <c r="J10" s="569">
        <f t="shared" si="1"/>
        <v>1141174</v>
      </c>
      <c r="K10" s="569">
        <f>'2C Önk bev kiad fel'!K8+'2C Önk bev kiad fel'!K12+'2C Önk bev kiad fel'!K17+'2C Önk bev kiad fel'!K22+'2C Önk bev kiad fel'!K25+'2C Önk bev kiad fel'!K27+'2C Önk bev kiad fel'!K31+'2C Önk bev kiad fel'!K34+'2C Önk bev kiad fel'!K37+'2C Önk bev kiad fel'!K40+'2C Önk bev kiad fel'!K46+'2C Önk bev kiad fel'!K58</f>
        <v>834819</v>
      </c>
      <c r="L10" s="569">
        <f>'2C Önk bev kiad fel'!K8+'2C Önk bev kiad fel'!K12+'2C Önk bev kiad fel'!K17+'2C Önk bev kiad fel'!K22+'2C Önk bev kiad fel'!K25+'2C Önk bev kiad fel'!K27+'2C Önk bev kiad fel'!K31+'2C Önk bev kiad fel'!K34+'2C Önk bev kiad fel'!K37+'2C Önk bev kiad fel'!K40+'2C Önk bev kiad fel'!K46+'2C Önk bev kiad fel'!K58+'2C Önk bev kiad fel'!K67</f>
        <v>927441</v>
      </c>
      <c r="M10" s="569">
        <f>'2C Önk bev kiad fel'!M206</f>
        <v>0</v>
      </c>
      <c r="N10" s="569">
        <f t="shared" si="2"/>
        <v>1762260</v>
      </c>
      <c r="O10" s="569">
        <f>'2C Önk bev kiad fel'!N8+'2C Önk bev kiad fel'!N12+'2C Önk bev kiad fel'!N17+'2C Önk bev kiad fel'!N22+'2C Önk bev kiad fel'!N25+'2C Önk bev kiad fel'!N27+'2C Önk bev kiad fel'!N31+'2C Önk bev kiad fel'!N34+'2C Önk bev kiad fel'!N37+'2C Önk bev kiad fel'!N40+'2C Önk bev kiad fel'!N46+'2C Önk bev kiad fel'!N58</f>
        <v>656889</v>
      </c>
      <c r="P10" s="569">
        <f>'2C Önk bev kiad fel'!N8+'2C Önk bev kiad fel'!N12+'2C Önk bev kiad fel'!N17+'2C Önk bev kiad fel'!N22+'2C Önk bev kiad fel'!N25+'2C Önk bev kiad fel'!N27+'2C Önk bev kiad fel'!N31+'2C Önk bev kiad fel'!N34+'2C Önk bev kiad fel'!N37+'2C Önk bev kiad fel'!N40+'2C Önk bev kiad fel'!N46+'2C Önk bev kiad fel'!N58+'2C Önk bev kiad fel'!N67</f>
        <v>742716</v>
      </c>
      <c r="Q10" s="569"/>
      <c r="R10" s="569">
        <f t="shared" si="3"/>
        <v>1399605</v>
      </c>
      <c r="S10" s="569">
        <f>'2C Önk bev kiad fel'!Q8+'2C Önk bev kiad fel'!Q12+'2C Önk bev kiad fel'!Q17+'2C Önk bev kiad fel'!Q22+'2C Önk bev kiad fel'!Q25+'2C Önk bev kiad fel'!Q27+'2C Önk bev kiad fel'!Q31+'2C Önk bev kiad fel'!Q34+'2C Önk bev kiad fel'!Q37+'2C Önk bev kiad fel'!Q40+'2C Önk bev kiad fel'!Q46+'2C Önk bev kiad fel'!Q54+'2C Önk bev kiad fel'!Q58+'2C Önk bev kiad fel'!Q67+1</f>
        <v>229641.31496062991</v>
      </c>
      <c r="T10" s="569">
        <f>+'2C Önk bev kiad fel'!Q72+'2C Önk bev kiad fel'!Q75+'2C Önk bev kiad fel'!Q80+'2C Önk bev kiad fel'!Q86+'2C Önk bev kiad fel'!Q88+'2C Önk bev kiad fel'!Q90+'2C Önk bev kiad fel'!Q92+'2C Önk bev kiad fel'!Q94+'2C Önk bev kiad fel'!Q96+'2C Önk bev kiad fel'!Q98+'2C Önk bev kiad fel'!Q100+'2C Önk bev kiad fel'!Q104+'2C Önk bev kiad fel'!Q108+'2C Önk bev kiad fel'!Q113+'2C Önk bev kiad fel'!Q116+'2C Önk bev kiad fel'!Q134+'2C Önk bev kiad fel'!Q138+'2C Önk bev kiad fel'!Q148+'2C Önk bev kiad fel'!Q150+'2C Önk bev kiad fel'!Q155+'2C Önk bev kiad fel'!Q162+'2C Önk bev kiad fel'!Q168+'2C Önk bev kiad fel'!Q175+'2C Önk bev kiad fel'!Q177+'2C Önk bev kiad fel'!Q181+'2C Önk bev kiad fel'!Q184</f>
        <v>159757.41999999998</v>
      </c>
      <c r="U10" s="569">
        <v>0</v>
      </c>
      <c r="V10" s="569">
        <f t="shared" si="4"/>
        <v>389398.7349606299</v>
      </c>
      <c r="W10" s="569">
        <f>'2C Önk bev kiad fel'!T8+'2C Önk bev kiad fel'!T12+'2C Önk bev kiad fel'!T17+'2C Önk bev kiad fel'!T22+'2C Önk bev kiad fel'!T25+'2C Önk bev kiad fel'!T27+'2C Önk bev kiad fel'!T31+'2C Önk bev kiad fel'!T34+'2C Önk bev kiad fel'!T37+'2C Önk bev kiad fel'!T40+'2C Önk bev kiad fel'!T46+'2C Önk bev kiad fel'!T54+'2C Önk bev kiad fel'!T58+'2C Önk bev kiad fel'!T67</f>
        <v>360906</v>
      </c>
      <c r="X10" s="569">
        <f>+'2C Önk bev kiad fel'!T72+'2C Önk bev kiad fel'!T75+'2C Önk bev kiad fel'!T80+'2C Önk bev kiad fel'!T86+'2C Önk bev kiad fel'!T88+'2C Önk bev kiad fel'!T90+'2C Önk bev kiad fel'!T92+'2C Önk bev kiad fel'!T94+'2C Önk bev kiad fel'!T96+'2C Önk bev kiad fel'!T98+'2C Önk bev kiad fel'!T100+'2C Önk bev kiad fel'!T104+'2C Önk bev kiad fel'!T108+'2C Önk bev kiad fel'!T113+'2C Önk bev kiad fel'!T116+'2C Önk bev kiad fel'!T134+'2C Önk bev kiad fel'!T138+'2C Önk bev kiad fel'!T148+'2C Önk bev kiad fel'!T150+'2C Önk bev kiad fel'!T155+'2C Önk bev kiad fel'!T162+'2C Önk bev kiad fel'!T168+'2C Önk bev kiad fel'!T175+'2C Önk bev kiad fel'!T177+'2C Önk bev kiad fel'!T181+'2C Önk bev kiad fel'!T184</f>
        <v>189437</v>
      </c>
      <c r="Y10" s="569">
        <v>0</v>
      </c>
      <c r="Z10" s="569">
        <f t="shared" si="12"/>
        <v>550343</v>
      </c>
    </row>
    <row r="11" spans="1:26" x14ac:dyDescent="0.25">
      <c r="A11" s="560" t="s">
        <v>336</v>
      </c>
      <c r="B11" s="567" t="s">
        <v>337</v>
      </c>
      <c r="C11" s="569"/>
      <c r="D11" s="569">
        <f>'2C Önk bev kiad fel'!E151</f>
        <v>30000</v>
      </c>
      <c r="E11" s="569">
        <v>0</v>
      </c>
      <c r="F11" s="569">
        <f t="shared" si="0"/>
        <v>30000</v>
      </c>
      <c r="G11" s="569"/>
      <c r="H11" s="569">
        <f>'2C Önk bev kiad fel'!H151</f>
        <v>30223</v>
      </c>
      <c r="I11" s="569">
        <f>'2C Önk bev kiad fel'!I207</f>
        <v>0</v>
      </c>
      <c r="J11" s="569">
        <f t="shared" si="1"/>
        <v>30223</v>
      </c>
      <c r="K11" s="569"/>
      <c r="L11" s="569">
        <f>'2C Önk bev kiad fel'!K151</f>
        <v>30223</v>
      </c>
      <c r="M11" s="569">
        <f>'2C Önk bev kiad fel'!M207</f>
        <v>0</v>
      </c>
      <c r="N11" s="569">
        <f t="shared" si="2"/>
        <v>30223</v>
      </c>
      <c r="O11" s="569"/>
      <c r="P11" s="569">
        <f>'2C Önk bev kiad fel'!N151</f>
        <v>11767</v>
      </c>
      <c r="Q11" s="569"/>
      <c r="R11" s="569">
        <f t="shared" si="3"/>
        <v>11767</v>
      </c>
      <c r="S11" s="569">
        <f>+'2C Önk bev kiad fel'!Q61</f>
        <v>18000</v>
      </c>
      <c r="T11" s="569">
        <f>'2C Önk bev kiad fel'!Q151</f>
        <v>16000</v>
      </c>
      <c r="U11" s="569">
        <v>0</v>
      </c>
      <c r="V11" s="569">
        <f t="shared" si="4"/>
        <v>34000</v>
      </c>
      <c r="W11" s="569">
        <f>+'2C Önk bev kiad fel'!T61</f>
        <v>20455</v>
      </c>
      <c r="X11" s="569">
        <f>'2C Önk bev kiad fel'!T151</f>
        <v>16000</v>
      </c>
      <c r="Y11" s="569">
        <v>0</v>
      </c>
      <c r="Z11" s="569">
        <f t="shared" si="12"/>
        <v>36455</v>
      </c>
    </row>
    <row r="12" spans="1:26" x14ac:dyDescent="0.25">
      <c r="A12" s="560" t="s">
        <v>338</v>
      </c>
      <c r="B12" s="567" t="s">
        <v>339</v>
      </c>
      <c r="C12" s="569">
        <f>SUM(C13:C17)</f>
        <v>516362</v>
      </c>
      <c r="D12" s="569">
        <f t="shared" ref="D12:E12" si="13">SUM(D13:D17)</f>
        <v>291519</v>
      </c>
      <c r="E12" s="569">
        <f t="shared" si="13"/>
        <v>0</v>
      </c>
      <c r="F12" s="569">
        <f t="shared" si="0"/>
        <v>807881</v>
      </c>
      <c r="G12" s="569">
        <f>SUM(G13:G17)</f>
        <v>318410</v>
      </c>
      <c r="H12" s="569" t="e">
        <f t="shared" ref="H12" si="14">SUM(H13:H17)</f>
        <v>#REF!</v>
      </c>
      <c r="I12" s="569" t="e">
        <f t="shared" ref="I12" si="15">SUM(I13:I17)</f>
        <v>#REF!</v>
      </c>
      <c r="J12" s="569" t="e">
        <f t="shared" si="1"/>
        <v>#REF!</v>
      </c>
      <c r="K12" s="569">
        <f>SUM(K13:K17)</f>
        <v>404781</v>
      </c>
      <c r="L12" s="569">
        <f t="shared" ref="L12:M12" si="16">SUM(L13:L17)</f>
        <v>404672</v>
      </c>
      <c r="M12" s="569">
        <f t="shared" si="16"/>
        <v>0</v>
      </c>
      <c r="N12" s="569">
        <f t="shared" si="2"/>
        <v>809453</v>
      </c>
      <c r="O12" s="569">
        <f>SUM(O13:O17)</f>
        <v>0</v>
      </c>
      <c r="P12" s="569">
        <f t="shared" ref="P12:Q12" si="17">SUM(P13:P17)</f>
        <v>388106</v>
      </c>
      <c r="Q12" s="569">
        <f t="shared" si="17"/>
        <v>0</v>
      </c>
      <c r="R12" s="569">
        <f t="shared" si="3"/>
        <v>388106</v>
      </c>
      <c r="S12" s="569">
        <f>SUM(S13:S17)</f>
        <v>510505</v>
      </c>
      <c r="T12" s="569">
        <f t="shared" ref="T12:U12" si="18">SUM(T13:T17)</f>
        <v>297355</v>
      </c>
      <c r="U12" s="569">
        <f t="shared" si="18"/>
        <v>0</v>
      </c>
      <c r="V12" s="569">
        <f t="shared" si="4"/>
        <v>807860</v>
      </c>
      <c r="W12" s="569">
        <f>SUM(W13:W17)</f>
        <v>474348</v>
      </c>
      <c r="X12" s="569">
        <f t="shared" ref="X12:Y12" si="19">SUM(X13:X17)</f>
        <v>309495</v>
      </c>
      <c r="Y12" s="569">
        <f t="shared" si="19"/>
        <v>0</v>
      </c>
      <c r="Z12" s="569">
        <f t="shared" si="12"/>
        <v>783843</v>
      </c>
    </row>
    <row r="13" spans="1:26" x14ac:dyDescent="0.25">
      <c r="A13" s="522"/>
      <c r="B13" s="379" t="s">
        <v>671</v>
      </c>
      <c r="C13" s="516">
        <f>15000+247328</f>
        <v>262328</v>
      </c>
      <c r="D13" s="516">
        <v>0</v>
      </c>
      <c r="E13" s="516">
        <v>0</v>
      </c>
      <c r="F13" s="516">
        <f t="shared" si="0"/>
        <v>262328</v>
      </c>
      <c r="G13" s="516">
        <v>262328</v>
      </c>
      <c r="H13" s="516">
        <v>0</v>
      </c>
      <c r="I13" s="516">
        <v>0</v>
      </c>
      <c r="J13" s="516">
        <f t="shared" si="1"/>
        <v>262328</v>
      </c>
      <c r="K13" s="516">
        <f>15000+339695</f>
        <v>354695</v>
      </c>
      <c r="L13" s="516">
        <v>0</v>
      </c>
      <c r="M13" s="516">
        <v>0</v>
      </c>
      <c r="N13" s="516">
        <f t="shared" si="2"/>
        <v>354695</v>
      </c>
      <c r="O13" s="516">
        <v>0</v>
      </c>
      <c r="P13" s="516">
        <v>0</v>
      </c>
      <c r="Q13" s="516">
        <v>0</v>
      </c>
      <c r="R13" s="516">
        <f t="shared" si="3"/>
        <v>0</v>
      </c>
      <c r="S13" s="516">
        <f>+'2C Önk bev kiad fel'!Q47</f>
        <v>338664</v>
      </c>
      <c r="T13" s="516">
        <v>0</v>
      </c>
      <c r="U13" s="516">
        <v>0</v>
      </c>
      <c r="V13" s="516">
        <f t="shared" si="4"/>
        <v>338664</v>
      </c>
      <c r="W13" s="516">
        <f>+'2C Önk bev kiad fel'!T47</f>
        <v>338664</v>
      </c>
      <c r="X13" s="516">
        <v>0</v>
      </c>
      <c r="Y13" s="516">
        <v>0</v>
      </c>
      <c r="Z13" s="516">
        <f t="shared" si="12"/>
        <v>338664</v>
      </c>
    </row>
    <row r="14" spans="1:26" s="96" customFormat="1" ht="28.55" x14ac:dyDescent="0.25">
      <c r="A14" s="522"/>
      <c r="B14" s="379" t="s">
        <v>672</v>
      </c>
      <c r="C14" s="516">
        <v>0</v>
      </c>
      <c r="D14" s="516">
        <v>0</v>
      </c>
      <c r="E14" s="516">
        <v>0</v>
      </c>
      <c r="F14" s="516">
        <f t="shared" si="0"/>
        <v>0</v>
      </c>
      <c r="G14" s="516">
        <v>0</v>
      </c>
      <c r="H14" s="516">
        <v>0</v>
      </c>
      <c r="I14" s="516">
        <v>0</v>
      </c>
      <c r="J14" s="516">
        <f t="shared" si="1"/>
        <v>0</v>
      </c>
      <c r="K14" s="516">
        <v>0</v>
      </c>
      <c r="L14" s="516">
        <v>0</v>
      </c>
      <c r="M14" s="516">
        <v>0</v>
      </c>
      <c r="N14" s="516">
        <f t="shared" si="2"/>
        <v>0</v>
      </c>
      <c r="O14" s="516">
        <v>0</v>
      </c>
      <c r="P14" s="516">
        <v>0</v>
      </c>
      <c r="Q14" s="516">
        <v>0</v>
      </c>
      <c r="R14" s="516">
        <f t="shared" si="3"/>
        <v>0</v>
      </c>
      <c r="S14" s="516">
        <v>0</v>
      </c>
      <c r="T14" s="516">
        <v>0</v>
      </c>
      <c r="U14" s="516">
        <v>0</v>
      </c>
      <c r="V14" s="516">
        <f t="shared" si="4"/>
        <v>0</v>
      </c>
      <c r="W14" s="516">
        <v>0</v>
      </c>
      <c r="X14" s="516">
        <v>0</v>
      </c>
      <c r="Y14" s="516">
        <v>0</v>
      </c>
      <c r="Z14" s="516">
        <f t="shared" si="12"/>
        <v>0</v>
      </c>
    </row>
    <row r="15" spans="1:26" s="96" customFormat="1" ht="28.55" x14ac:dyDescent="0.25">
      <c r="A15" s="522"/>
      <c r="B15" s="379" t="s">
        <v>673</v>
      </c>
      <c r="C15" s="516">
        <f>'2C Önk bev kiad fel'!C84+'2C Önk bev kiad fel'!C114+'2C Önk bev kiad fel'!C111+'2C Önk bev kiad fel'!C118+'2C Önk bev kiad fel'!C122+'2C Önk bev kiad fel'!C124+'2C Önk bev kiad fel'!C126</f>
        <v>0</v>
      </c>
      <c r="D15" s="516">
        <f>'2C Önk bev kiad fel'!E84+'2C Önk bev kiad fel'!E111+'2C Önk bev kiad fel'!E114+'2C Önk bev kiad fel'!E118+'2C Önk bev kiad fel'!E122+'2C Önk bev kiad fel'!E124+'2C Önk bev kiad fel'!E126</f>
        <v>43787</v>
      </c>
      <c r="E15" s="516">
        <v>0</v>
      </c>
      <c r="F15" s="516">
        <f t="shared" si="0"/>
        <v>43787</v>
      </c>
      <c r="G15" s="516">
        <f>'2C Önk bev kiad fel'!G84+'2C Önk bev kiad fel'!G114+'2C Önk bev kiad fel'!G111+'2C Önk bev kiad fel'!G118+'2C Önk bev kiad fel'!G122+'2C Önk bev kiad fel'!G124+'2C Önk bev kiad fel'!G126</f>
        <v>0</v>
      </c>
      <c r="H15" s="516">
        <f>'2C Önk bev kiad fel'!H84+'2C Önk bev kiad fel'!H111+'2C Önk bev kiad fel'!H114+'2C Önk bev kiad fel'!H118+'2C Önk bev kiad fel'!H122+'2C Önk bev kiad fel'!H124+'2C Önk bev kiad fel'!H126</f>
        <v>38900</v>
      </c>
      <c r="I15" s="516">
        <v>0</v>
      </c>
      <c r="J15" s="516">
        <f t="shared" si="1"/>
        <v>38900</v>
      </c>
      <c r="K15" s="516">
        <v>0</v>
      </c>
      <c r="L15" s="516">
        <f>'2C Önk bev kiad fel'!K84+'2C Önk bev kiad fel'!K111+'2C Önk bev kiad fel'!K114+'2C Önk bev kiad fel'!K118+'2C Önk bev kiad fel'!K122+'2C Önk bev kiad fel'!K124+'2C Önk bev kiad fel'!K126</f>
        <v>43506</v>
      </c>
      <c r="M15" s="516">
        <v>0</v>
      </c>
      <c r="N15" s="516">
        <f t="shared" si="2"/>
        <v>43506</v>
      </c>
      <c r="O15" s="516">
        <f>+'2C Önk bev kiad fel'!N65</f>
        <v>0</v>
      </c>
      <c r="P15" s="516">
        <f>'2C Önk bev kiad fel'!N84+'2C Önk bev kiad fel'!N111+'2C Önk bev kiad fel'!N114+'2C Önk bev kiad fel'!N118+'2C Önk bev kiad fel'!N122+'2C Önk bev kiad fel'!N124+'2C Önk bev kiad fel'!N126</f>
        <v>38637</v>
      </c>
      <c r="Q15" s="516">
        <v>0</v>
      </c>
      <c r="R15" s="516">
        <f t="shared" si="3"/>
        <v>38637</v>
      </c>
      <c r="S15" s="516">
        <v>0</v>
      </c>
      <c r="T15" s="516">
        <f>'2C Önk bev kiad fel'!Q65+'2C Önk bev kiad fel'!Q84+'2C Önk bev kiad fel'!Q111+'2C Önk bev kiad fel'!Q114+'2C Önk bev kiad fel'!Q118+'2C Önk bev kiad fel'!Q122+'2C Önk bev kiad fel'!Q124+'2C Önk bev kiad fel'!Q126</f>
        <v>45223</v>
      </c>
      <c r="U15" s="516">
        <v>0</v>
      </c>
      <c r="V15" s="516">
        <f t="shared" si="4"/>
        <v>45223</v>
      </c>
      <c r="W15" s="516">
        <v>0</v>
      </c>
      <c r="X15" s="516">
        <f>'2C Önk bev kiad fel'!T65+'2C Önk bev kiad fel'!T84+'2C Önk bev kiad fel'!T111+'2C Önk bev kiad fel'!T114+'2C Önk bev kiad fel'!T118+'2C Önk bev kiad fel'!T122+'2C Önk bev kiad fel'!T124+'2C Önk bev kiad fel'!T126</f>
        <v>45223</v>
      </c>
      <c r="Y15" s="516">
        <v>0</v>
      </c>
      <c r="Z15" s="516">
        <f t="shared" si="12"/>
        <v>45223</v>
      </c>
    </row>
    <row r="16" spans="1:26" ht="28.55" x14ac:dyDescent="0.25">
      <c r="A16" s="522"/>
      <c r="B16" s="379" t="s">
        <v>674</v>
      </c>
      <c r="C16" s="492">
        <v>5000</v>
      </c>
      <c r="D16" s="492">
        <f>+'2C Önk bev kiad fel'!E128+'2C Önk bev kiad fel'!E130+'2C Önk bev kiad fel'!E132+'2C Önk bev kiad fel'!E135+'2C Önk bev kiad fel'!E137+'2C Önk bev kiad fel'!E140+'2C Önk bev kiad fel'!E142+'2C Önk bev kiad fel'!E144+'2C Önk bev kiad fel'!E146+'2C Önk bev kiad fel'!E169+'2C Önk bev kiad fel'!E183</f>
        <v>247732</v>
      </c>
      <c r="E16" s="492">
        <v>0</v>
      </c>
      <c r="F16" s="492">
        <f t="shared" si="0"/>
        <v>252732</v>
      </c>
      <c r="G16" s="492">
        <f>5000+1000</f>
        <v>6000</v>
      </c>
      <c r="H16" s="492">
        <f>'2C Önk bev kiad fel'!H128+'2C Önk bev kiad fel'!H130+'2C Önk bev kiad fel'!H132+'2C Önk bev kiad fel'!H135+'2C Önk bev kiad fel'!H137+'2C Önk bev kiad fel'!H140+'2C Önk bev kiad fel'!H142+'2C Önk bev kiad fel'!H144+'2C Önk bev kiad fel'!H146+'2C Önk bev kiad fel'!H183+'2C Önk bev kiad fel'!H156+'2C Önk bev kiad fel'!H169</f>
        <v>350133</v>
      </c>
      <c r="I16" s="492">
        <v>0</v>
      </c>
      <c r="J16" s="492">
        <f t="shared" si="1"/>
        <v>356133</v>
      </c>
      <c r="K16" s="516">
        <v>4</v>
      </c>
      <c r="L16" s="492">
        <f>'2C Önk bev kiad fel'!K128+'2C Önk bev kiad fel'!K130+'2C Önk bev kiad fel'!K132+'2C Önk bev kiad fel'!K135+'2C Önk bev kiad fel'!K137+'2C Önk bev kiad fel'!K140+'2C Önk bev kiad fel'!K142+'2C Önk bev kiad fel'!K144+'2C Önk bev kiad fel'!K146+'2C Önk bev kiad fel'!K183+'2C Önk bev kiad fel'!K156+'2C Önk bev kiad fel'!K169</f>
        <v>361166</v>
      </c>
      <c r="M16" s="492">
        <v>0</v>
      </c>
      <c r="N16" s="492">
        <f t="shared" si="2"/>
        <v>361170</v>
      </c>
      <c r="O16" s="516">
        <v>0</v>
      </c>
      <c r="P16" s="492">
        <f>'2C Önk bev kiad fel'!N128+'2C Önk bev kiad fel'!N130+'2C Önk bev kiad fel'!N132+'2C Önk bev kiad fel'!N135+'2C Önk bev kiad fel'!N137+'2C Önk bev kiad fel'!N140+'2C Önk bev kiad fel'!N142+'2C Önk bev kiad fel'!N144+'2C Önk bev kiad fel'!N146+'2C Önk bev kiad fel'!N183+'2C Önk bev kiad fel'!N156+'2C Önk bev kiad fel'!N169</f>
        <v>349469</v>
      </c>
      <c r="Q16" s="492">
        <v>0</v>
      </c>
      <c r="R16" s="492">
        <f t="shared" si="3"/>
        <v>349469</v>
      </c>
      <c r="S16" s="516">
        <v>0</v>
      </c>
      <c r="T16" s="492">
        <f>'2C Önk bev kiad fel'!Q128+'2C Önk bev kiad fel'!Q130+'2C Önk bev kiad fel'!Q132+'2C Önk bev kiad fel'!Q135+'2C Önk bev kiad fel'!Q137+'2C Önk bev kiad fel'!Q140+'2C Önk bev kiad fel'!Q142+'2C Önk bev kiad fel'!Q144+'2C Önk bev kiad fel'!Q146+'2C Önk bev kiad fel'!Q183+'2C Önk bev kiad fel'!Q156+'2C Önk bev kiad fel'!Q169</f>
        <v>252132</v>
      </c>
      <c r="U16" s="492">
        <v>0</v>
      </c>
      <c r="V16" s="492">
        <f t="shared" si="4"/>
        <v>252132</v>
      </c>
      <c r="W16" s="516">
        <v>0</v>
      </c>
      <c r="X16" s="492">
        <f>'2C Önk bev kiad fel'!T128+'2C Önk bev kiad fel'!T130+'2C Önk bev kiad fel'!T132+'2C Önk bev kiad fel'!T135+'2C Önk bev kiad fel'!T137+'2C Önk bev kiad fel'!T140+'2C Önk bev kiad fel'!T142+'2C Önk bev kiad fel'!T144+'2C Önk bev kiad fel'!T146+'2C Önk bev kiad fel'!T183+'2C Önk bev kiad fel'!T156</f>
        <v>264272</v>
      </c>
      <c r="Y16" s="492">
        <v>0</v>
      </c>
      <c r="Z16" s="492">
        <f t="shared" si="12"/>
        <v>264272</v>
      </c>
    </row>
    <row r="17" spans="1:26" x14ac:dyDescent="0.25">
      <c r="A17" s="522"/>
      <c r="B17" s="379" t="s">
        <v>675</v>
      </c>
      <c r="C17" s="516">
        <f>C18+C19+C20</f>
        <v>249034</v>
      </c>
      <c r="D17" s="516">
        <f t="shared" ref="D17:E17" si="20">D18+D19+D20</f>
        <v>0</v>
      </c>
      <c r="E17" s="516">
        <f t="shared" si="20"/>
        <v>0</v>
      </c>
      <c r="F17" s="516">
        <f t="shared" si="0"/>
        <v>249034</v>
      </c>
      <c r="G17" s="516">
        <f>G18+G19+G20</f>
        <v>50082</v>
      </c>
      <c r="H17" s="516" t="e">
        <f t="shared" ref="H17:I17" si="21">H18+H19+H20</f>
        <v>#REF!</v>
      </c>
      <c r="I17" s="516" t="e">
        <f t="shared" si="21"/>
        <v>#REF!</v>
      </c>
      <c r="J17" s="516" t="e">
        <f t="shared" si="1"/>
        <v>#REF!</v>
      </c>
      <c r="K17" s="516">
        <f>K18+K19+K20</f>
        <v>50082</v>
      </c>
      <c r="L17" s="516">
        <f t="shared" ref="L17:M17" si="22">L18+L19+L20</f>
        <v>0</v>
      </c>
      <c r="M17" s="516">
        <f t="shared" si="22"/>
        <v>0</v>
      </c>
      <c r="N17" s="516">
        <f t="shared" si="2"/>
        <v>50082</v>
      </c>
      <c r="O17" s="516">
        <f>O18+O19+O20</f>
        <v>0</v>
      </c>
      <c r="P17" s="516">
        <f t="shared" ref="P17:Q17" si="23">P18+P19+P20</f>
        <v>0</v>
      </c>
      <c r="Q17" s="516">
        <f t="shared" si="23"/>
        <v>0</v>
      </c>
      <c r="R17" s="516">
        <f t="shared" si="3"/>
        <v>0</v>
      </c>
      <c r="S17" s="516">
        <f>S18+S19+S20</f>
        <v>171841</v>
      </c>
      <c r="T17" s="516">
        <f t="shared" ref="T17:U17" si="24">T18+T19+T20</f>
        <v>0</v>
      </c>
      <c r="U17" s="516">
        <f t="shared" si="24"/>
        <v>0</v>
      </c>
      <c r="V17" s="516">
        <f t="shared" si="4"/>
        <v>171841</v>
      </c>
      <c r="W17" s="516">
        <f>W18+W19+W20</f>
        <v>135684</v>
      </c>
      <c r="X17" s="516">
        <f t="shared" ref="X17:Y17" si="25">X18+X19+X20</f>
        <v>0</v>
      </c>
      <c r="Y17" s="516">
        <f t="shared" si="25"/>
        <v>0</v>
      </c>
      <c r="Z17" s="516">
        <f t="shared" si="12"/>
        <v>135684</v>
      </c>
    </row>
    <row r="18" spans="1:26" x14ac:dyDescent="0.25">
      <c r="A18" s="522"/>
      <c r="B18" s="382" t="s">
        <v>676</v>
      </c>
      <c r="C18" s="514">
        <f>'2D Céltartalék'!B3</f>
        <v>50000</v>
      </c>
      <c r="D18" s="514">
        <v>0</v>
      </c>
      <c r="E18" s="514">
        <v>0</v>
      </c>
      <c r="F18" s="514">
        <f t="shared" si="0"/>
        <v>50000</v>
      </c>
      <c r="G18" s="514">
        <f>'2D Céltartalék'!C3</f>
        <v>12403</v>
      </c>
      <c r="H18" s="514">
        <v>0</v>
      </c>
      <c r="I18" s="514">
        <v>0</v>
      </c>
      <c r="J18" s="514">
        <f t="shared" si="1"/>
        <v>12403</v>
      </c>
      <c r="K18" s="514">
        <f>'2D Céltartalék'!D3</f>
        <v>12403</v>
      </c>
      <c r="L18" s="514">
        <v>0</v>
      </c>
      <c r="M18" s="514">
        <v>0</v>
      </c>
      <c r="N18" s="514">
        <f t="shared" si="2"/>
        <v>12403</v>
      </c>
      <c r="O18" s="514">
        <f>'2D Céltartalék'!E3</f>
        <v>0</v>
      </c>
      <c r="P18" s="514">
        <v>0</v>
      </c>
      <c r="Q18" s="514">
        <v>0</v>
      </c>
      <c r="R18" s="514">
        <f t="shared" si="3"/>
        <v>0</v>
      </c>
      <c r="S18" s="514">
        <f>'2D Céltartalék'!F3</f>
        <v>50000</v>
      </c>
      <c r="T18" s="514">
        <v>0</v>
      </c>
      <c r="U18" s="514">
        <v>0</v>
      </c>
      <c r="V18" s="514">
        <f t="shared" si="4"/>
        <v>50000</v>
      </c>
      <c r="W18" s="514">
        <f>'2D Céltartalék'!G3</f>
        <v>42913</v>
      </c>
      <c r="X18" s="514">
        <v>0</v>
      </c>
      <c r="Y18" s="514">
        <v>0</v>
      </c>
      <c r="Z18" s="514">
        <f t="shared" si="12"/>
        <v>42913</v>
      </c>
    </row>
    <row r="19" spans="1:26" x14ac:dyDescent="0.25">
      <c r="A19" s="522"/>
      <c r="B19" s="382" t="s">
        <v>677</v>
      </c>
      <c r="C19" s="514">
        <f>'2D Céltartalék'!B4</f>
        <v>196034</v>
      </c>
      <c r="D19" s="514">
        <v>0</v>
      </c>
      <c r="E19" s="514">
        <v>0</v>
      </c>
      <c r="F19" s="514">
        <f t="shared" si="0"/>
        <v>196034</v>
      </c>
      <c r="G19" s="514">
        <f>'2D Céltartalék'!C4</f>
        <v>36251</v>
      </c>
      <c r="H19" s="514" t="e">
        <f>'2D Céltartalék'!#REF!</f>
        <v>#REF!</v>
      </c>
      <c r="I19" s="514" t="e">
        <f>'2D Céltartalék'!#REF!</f>
        <v>#REF!</v>
      </c>
      <c r="J19" s="514" t="e">
        <f t="shared" si="1"/>
        <v>#REF!</v>
      </c>
      <c r="K19" s="514">
        <f>'2D Céltartalék'!D4</f>
        <v>36251</v>
      </c>
      <c r="L19" s="514">
        <f>'2D Céltartalék'!H4</f>
        <v>0</v>
      </c>
      <c r="M19" s="514">
        <f>'2D Céltartalék'!I4</f>
        <v>0</v>
      </c>
      <c r="N19" s="514">
        <f t="shared" si="2"/>
        <v>36251</v>
      </c>
      <c r="O19" s="514">
        <f>'2D Céltartalék'!E4</f>
        <v>0</v>
      </c>
      <c r="P19" s="514">
        <v>0</v>
      </c>
      <c r="Q19" s="514">
        <f>'2D Céltartalék'!M4</f>
        <v>0</v>
      </c>
      <c r="R19" s="514">
        <f t="shared" si="3"/>
        <v>0</v>
      </c>
      <c r="S19" s="514">
        <f>'2D Céltartalék'!F4</f>
        <v>118841</v>
      </c>
      <c r="T19" s="514">
        <v>0</v>
      </c>
      <c r="U19" s="514">
        <f>'2D Céltartalék'!Q4</f>
        <v>0</v>
      </c>
      <c r="V19" s="514">
        <f t="shared" si="4"/>
        <v>118841</v>
      </c>
      <c r="W19" s="514">
        <f>'2D Céltartalék'!G4</f>
        <v>89771</v>
      </c>
      <c r="X19" s="514">
        <v>0</v>
      </c>
      <c r="Y19" s="514">
        <f>'2D Céltartalék'!U4</f>
        <v>0</v>
      </c>
      <c r="Z19" s="514">
        <f t="shared" si="12"/>
        <v>89771</v>
      </c>
    </row>
    <row r="20" spans="1:26" x14ac:dyDescent="0.25">
      <c r="A20" s="522"/>
      <c r="B20" s="382" t="s">
        <v>678</v>
      </c>
      <c r="C20" s="384">
        <f>'2D Céltartalék'!B26</f>
        <v>3000</v>
      </c>
      <c r="D20" s="384">
        <v>0</v>
      </c>
      <c r="E20" s="384">
        <v>0</v>
      </c>
      <c r="F20" s="384">
        <f t="shared" si="0"/>
        <v>3000</v>
      </c>
      <c r="G20" s="384">
        <f>'2D Céltartalék'!C26</f>
        <v>1428</v>
      </c>
      <c r="H20" s="384" t="e">
        <f>'2D Céltartalék'!#REF!</f>
        <v>#REF!</v>
      </c>
      <c r="I20" s="384" t="e">
        <f>'2D Céltartalék'!#REF!</f>
        <v>#REF!</v>
      </c>
      <c r="J20" s="384" t="e">
        <f t="shared" si="1"/>
        <v>#REF!</v>
      </c>
      <c r="K20" s="384">
        <f>'2D Céltartalék'!D26</f>
        <v>1428</v>
      </c>
      <c r="L20" s="384">
        <f>'2D Céltartalék'!H26</f>
        <v>0</v>
      </c>
      <c r="M20" s="384">
        <f>'2D Céltartalék'!I26</f>
        <v>0</v>
      </c>
      <c r="N20" s="384">
        <f t="shared" si="2"/>
        <v>1428</v>
      </c>
      <c r="O20" s="384">
        <f>'2D Céltartalék'!E26</f>
        <v>0</v>
      </c>
      <c r="P20" s="384">
        <v>0</v>
      </c>
      <c r="Q20" s="384">
        <f>'2D Céltartalék'!M26</f>
        <v>0</v>
      </c>
      <c r="R20" s="384">
        <f t="shared" si="3"/>
        <v>0</v>
      </c>
      <c r="S20" s="384">
        <f>'2D Céltartalék'!F26</f>
        <v>3000</v>
      </c>
      <c r="T20" s="384">
        <f>'2D Céltartalék'!P26</f>
        <v>0</v>
      </c>
      <c r="U20" s="384">
        <f>'2D Céltartalék'!Q26</f>
        <v>0</v>
      </c>
      <c r="V20" s="384">
        <f t="shared" si="4"/>
        <v>3000</v>
      </c>
      <c r="W20" s="384">
        <f>'2D Céltartalék'!G26</f>
        <v>3000</v>
      </c>
      <c r="X20" s="384">
        <f>'2D Céltartalék'!T26</f>
        <v>0</v>
      </c>
      <c r="Y20" s="384">
        <f>'2D Céltartalék'!U26</f>
        <v>0</v>
      </c>
      <c r="Z20" s="384">
        <f t="shared" si="12"/>
        <v>3000</v>
      </c>
    </row>
    <row r="21" spans="1:26" x14ac:dyDescent="0.25">
      <c r="A21" s="557" t="s">
        <v>318</v>
      </c>
      <c r="B21" s="538" t="s">
        <v>340</v>
      </c>
      <c r="C21" s="539">
        <f t="shared" ref="C21:E21" si="26">C22+C23+C24</f>
        <v>1051353.74</v>
      </c>
      <c r="D21" s="539">
        <f t="shared" si="26"/>
        <v>744178.5</v>
      </c>
      <c r="E21" s="539">
        <f t="shared" si="26"/>
        <v>0</v>
      </c>
      <c r="F21" s="539">
        <f>SUM(C21:E21)+1</f>
        <v>1795533.24</v>
      </c>
      <c r="G21" s="539">
        <f t="shared" ref="G21:I21" si="27">G22+G23+G24</f>
        <v>1274976</v>
      </c>
      <c r="H21" s="539">
        <f t="shared" si="27"/>
        <v>683848.5</v>
      </c>
      <c r="I21" s="539">
        <f t="shared" si="27"/>
        <v>0</v>
      </c>
      <c r="J21" s="539">
        <f t="shared" si="1"/>
        <v>1958824.5</v>
      </c>
      <c r="K21" s="539">
        <f t="shared" ref="K21:M21" si="28">K22+K23+K24</f>
        <v>1509576.4</v>
      </c>
      <c r="L21" s="539">
        <f t="shared" si="28"/>
        <v>748107</v>
      </c>
      <c r="M21" s="539">
        <f t="shared" si="28"/>
        <v>0</v>
      </c>
      <c r="N21" s="539">
        <f t="shared" si="2"/>
        <v>2257683.4</v>
      </c>
      <c r="O21" s="539">
        <f t="shared" ref="O21:Q21" si="29">O22+O23+O24</f>
        <v>1429270</v>
      </c>
      <c r="P21" s="539">
        <f t="shared" si="29"/>
        <v>285391</v>
      </c>
      <c r="Q21" s="539">
        <f t="shared" si="29"/>
        <v>0</v>
      </c>
      <c r="R21" s="539">
        <f t="shared" si="3"/>
        <v>1714661</v>
      </c>
      <c r="S21" s="539">
        <f t="shared" ref="S21:U21" si="30">S22+S23+S24</f>
        <v>1013863</v>
      </c>
      <c r="T21" s="539">
        <f t="shared" si="30"/>
        <v>324700</v>
      </c>
      <c r="U21" s="539">
        <f t="shared" si="30"/>
        <v>0</v>
      </c>
      <c r="V21" s="539">
        <f>SUM(S21:U21)</f>
        <v>1338563</v>
      </c>
      <c r="W21" s="539">
        <f t="shared" ref="W21:Y21" si="31">W22+W23+W24</f>
        <v>1145223</v>
      </c>
      <c r="X21" s="539">
        <f t="shared" si="31"/>
        <v>399091</v>
      </c>
      <c r="Y21" s="539">
        <f t="shared" si="31"/>
        <v>0</v>
      </c>
      <c r="Z21" s="539">
        <f>SUM(W21:Y21)</f>
        <v>1544314</v>
      </c>
    </row>
    <row r="22" spans="1:26" x14ac:dyDescent="0.25">
      <c r="A22" s="560" t="s">
        <v>311</v>
      </c>
      <c r="B22" s="567" t="s">
        <v>351</v>
      </c>
      <c r="C22" s="569">
        <f>'2C Önk bev kiad fel'!E9+'2C Önk bev kiad fel'!E13+'2C Önk bev kiad fel'!E32+'2C Önk bev kiad fel'!E38+'2C Önk bev kiad fel'!E49</f>
        <v>888988.74</v>
      </c>
      <c r="D22" s="569">
        <f>'2C Önk bev kiad fel'!E76+'2C Önk bev kiad fel'!E109+'2C Önk bev kiad fel'!E163+'2C Önk bev kiad fel'!E185+'2C Önk bev kiad fel'!E170</f>
        <v>611095.5</v>
      </c>
      <c r="E22" s="569"/>
      <c r="F22" s="569">
        <f>SUM(C22:E22)+1</f>
        <v>1500085.24</v>
      </c>
      <c r="G22" s="569">
        <f>'2C Önk bev kiad fel'!H9+'2C Önk bev kiad fel'!H13+'2C Önk bev kiad fel'!H32+'2C Önk bev kiad fel'!H35+'2C Önk bev kiad fel'!H38+'2C Önk bev kiad fel'!H49+'2C Önk bev kiad fel'!H23</f>
        <v>1139120</v>
      </c>
      <c r="H22" s="569">
        <f>'2C Önk bev kiad fel'!H76+'2C Önk bev kiad fel'!H109+'2C Önk bev kiad fel'!H163+'2C Önk bev kiad fel'!H185+'2C Önk bev kiad fel'!H170+'2C Önk bev kiad fel'!H73+'2C Önk bev kiad fel'!H158+'2C Önk bev kiad fel'!H191</f>
        <v>568510.5</v>
      </c>
      <c r="I22" s="569">
        <f>'2C Önk bev kiad fel'!I209</f>
        <v>0</v>
      </c>
      <c r="J22" s="569">
        <f t="shared" si="1"/>
        <v>1707630.5</v>
      </c>
      <c r="K22" s="569">
        <f>'2C Önk bev kiad fel'!K9+'2C Önk bev kiad fel'!K13+'2C Önk bev kiad fel'!K32+'2C Önk bev kiad fel'!K35+'2C Önk bev kiad fel'!K38+'2C Önk bev kiad fel'!K49+'2C Önk bev kiad fel'!K23</f>
        <v>1378659.4</v>
      </c>
      <c r="L22" s="569">
        <f>'2C Önk bev kiad fel'!K76+'2C Önk bev kiad fel'!K109+'2C Önk bev kiad fel'!K163+'2C Önk bev kiad fel'!K185+'2C Önk bev kiad fel'!K170+'2C Önk bev kiad fel'!K73+'2C Önk bev kiad fel'!K158</f>
        <v>556148</v>
      </c>
      <c r="M22" s="569">
        <f>'2C Önk bev kiad fel'!M209</f>
        <v>0</v>
      </c>
      <c r="N22" s="569">
        <f t="shared" si="2"/>
        <v>1934807.4</v>
      </c>
      <c r="O22" s="569">
        <f>'2C Önk bev kiad fel'!N9+'2C Önk bev kiad fel'!N13+'2C Önk bev kiad fel'!N32+'2C Önk bev kiad fel'!N38+'2C Önk bev kiad fel'!N49+'2C Önk bev kiad fel'!N23+'2C Önk bev kiad fel'!N42</f>
        <v>1341625</v>
      </c>
      <c r="P22" s="569">
        <f>'2C Önk bev kiad fel'!N76+'2C Önk bev kiad fel'!N109+'2C Önk bev kiad fel'!N163+'2C Önk bev kiad fel'!N185+'2C Önk bev kiad fel'!N170+'2C Önk bev kiad fel'!N73+'2C Önk bev kiad fel'!N158</f>
        <v>174781</v>
      </c>
      <c r="Q22" s="569"/>
      <c r="R22" s="569">
        <f t="shared" si="3"/>
        <v>1516406</v>
      </c>
      <c r="S22" s="569">
        <f>'2C Önk bev kiad fel'!Q9+'2C Önk bev kiad fel'!Q13+'2C Önk bev kiad fel'!Q18+'2C Önk bev kiad fel'!Q32+'2C Önk bev kiad fel'!Q35+'2C Önk bev kiad fel'!Q38+'2C Önk bev kiad fel'!Q49+'2C Önk bev kiad fel'!Q23+'2C Önk bev kiad fel'!Q55</f>
        <v>648981</v>
      </c>
      <c r="T22" s="569">
        <f>'2C Önk bev kiad fel'!Q76+'2C Önk bev kiad fel'!Q109+'2C Önk bev kiad fel'!Q163+'2C Önk bev kiad fel'!Q185+'2C Önk bev kiad fel'!Q170+'2C Önk bev kiad fel'!Q73+'2C Önk bev kiad fel'!Q158</f>
        <v>255500</v>
      </c>
      <c r="U22" s="569">
        <v>0</v>
      </c>
      <c r="V22" s="569">
        <f>SUM(S22:U22)</f>
        <v>904481</v>
      </c>
      <c r="W22" s="569">
        <f>'2C Önk bev kiad fel'!T9+'2C Önk bev kiad fel'!T13+'2C Önk bev kiad fel'!T18+'2C Önk bev kiad fel'!T32+'2C Önk bev kiad fel'!T35+'2C Önk bev kiad fel'!T38+'2C Önk bev kiad fel'!T49+'2C Önk bev kiad fel'!T23+'2C Önk bev kiad fel'!T55</f>
        <v>818580</v>
      </c>
      <c r="X22" s="569">
        <f>'2C Önk bev kiad fel'!T76+'2C Önk bev kiad fel'!T109+'2C Önk bev kiad fel'!T163+'2C Önk bev kiad fel'!T185+'2C Önk bev kiad fel'!T170+'2C Önk bev kiad fel'!T73+'2C Önk bev kiad fel'!T158</f>
        <v>303367</v>
      </c>
      <c r="Y22" s="569">
        <v>0</v>
      </c>
      <c r="Z22" s="569">
        <f>SUM(W22:Y22)</f>
        <v>1121947</v>
      </c>
    </row>
    <row r="23" spans="1:26" x14ac:dyDescent="0.25">
      <c r="A23" s="560" t="s">
        <v>322</v>
      </c>
      <c r="B23" s="567" t="s">
        <v>342</v>
      </c>
      <c r="C23" s="569">
        <f>'2C Önk bev kiad fel'!E50</f>
        <v>161665</v>
      </c>
      <c r="D23" s="569">
        <f>'2C Önk bev kiad fel'!E164+'2C Önk bev kiad fel'!E171+'2C Önk bev kiad fel'!E188</f>
        <v>133083</v>
      </c>
      <c r="E23" s="569">
        <v>0</v>
      </c>
      <c r="F23" s="569">
        <f t="shared" si="0"/>
        <v>294748</v>
      </c>
      <c r="G23" s="569">
        <f>'2C Önk bev kiad fel'!H50</f>
        <v>133584</v>
      </c>
      <c r="H23" s="569">
        <f>'2C Önk bev kiad fel'!H164+'2C Önk bev kiad fel'!H171+'2C Önk bev kiad fel'!H188</f>
        <v>114338</v>
      </c>
      <c r="I23" s="569">
        <f>'2C Önk bev kiad fel'!I210</f>
        <v>0</v>
      </c>
      <c r="J23" s="569">
        <f t="shared" si="1"/>
        <v>247922</v>
      </c>
      <c r="K23" s="569">
        <f>'2C Önk bev kiad fel'!K50</f>
        <v>128645</v>
      </c>
      <c r="L23" s="569">
        <f>'2C Önk bev kiad fel'!K164+'2C Önk bev kiad fel'!K171+'2C Önk bev kiad fel'!K188</f>
        <v>191959</v>
      </c>
      <c r="M23" s="569">
        <f>'2C Önk bev kiad fel'!M210</f>
        <v>0</v>
      </c>
      <c r="N23" s="569">
        <f t="shared" si="2"/>
        <v>320604</v>
      </c>
      <c r="O23" s="569">
        <f>'2C Önk bev kiad fel'!N50</f>
        <v>87073</v>
      </c>
      <c r="P23" s="569">
        <f>'2C Önk bev kiad fel'!N164+'2C Önk bev kiad fel'!N171+'2C Önk bev kiad fel'!N188</f>
        <v>110610</v>
      </c>
      <c r="Q23" s="569"/>
      <c r="R23" s="569">
        <f t="shared" si="3"/>
        <v>197683</v>
      </c>
      <c r="S23" s="569">
        <f>+'2C Önk bev kiad fel'!Q50+'2C Önk bev kiad fel'!Q56+'2C Önk bev kiad fel'!Q69</f>
        <v>364182</v>
      </c>
      <c r="T23" s="569">
        <f>'2C Önk bev kiad fel'!Q164+'2C Önk bev kiad fel'!Q171+'2C Önk bev kiad fel'!Q188</f>
        <v>69200</v>
      </c>
      <c r="U23" s="569">
        <v>0</v>
      </c>
      <c r="V23" s="569">
        <f t="shared" si="4"/>
        <v>433382</v>
      </c>
      <c r="W23" s="569">
        <f>+'2C Önk bev kiad fel'!T50+'2C Önk bev kiad fel'!T56+'2C Önk bev kiad fel'!T69</f>
        <v>325224</v>
      </c>
      <c r="X23" s="569">
        <f>'2C Önk bev kiad fel'!T164+'2C Önk bev kiad fel'!T171+'2C Önk bev kiad fel'!T188</f>
        <v>83117</v>
      </c>
      <c r="Y23" s="569">
        <v>0</v>
      </c>
      <c r="Z23" s="569">
        <f t="shared" ref="Z23:Z29" si="32">SUM(W23:Y23)</f>
        <v>408341</v>
      </c>
    </row>
    <row r="24" spans="1:26" x14ac:dyDescent="0.25">
      <c r="A24" s="560" t="s">
        <v>315</v>
      </c>
      <c r="B24" s="567" t="s">
        <v>343</v>
      </c>
      <c r="C24" s="568">
        <f t="shared" ref="C24:H24" si="33">SUM(C25:C29)</f>
        <v>700</v>
      </c>
      <c r="D24" s="568">
        <f t="shared" si="33"/>
        <v>0</v>
      </c>
      <c r="E24" s="568">
        <f t="shared" si="33"/>
        <v>0</v>
      </c>
      <c r="F24" s="568">
        <f t="shared" si="0"/>
        <v>700</v>
      </c>
      <c r="G24" s="568">
        <f t="shared" si="33"/>
        <v>2272</v>
      </c>
      <c r="H24" s="568">
        <f t="shared" si="33"/>
        <v>1000</v>
      </c>
      <c r="I24" s="568">
        <f t="shared" ref="I24" si="34">SUM(I25:I29)</f>
        <v>0</v>
      </c>
      <c r="J24" s="568">
        <f t="shared" si="1"/>
        <v>3272</v>
      </c>
      <c r="K24" s="568">
        <f t="shared" ref="K24:M24" si="35">SUM(K25:K29)</f>
        <v>2272</v>
      </c>
      <c r="L24" s="568">
        <f t="shared" si="35"/>
        <v>0</v>
      </c>
      <c r="M24" s="568">
        <f t="shared" si="35"/>
        <v>0</v>
      </c>
      <c r="N24" s="568">
        <f t="shared" si="2"/>
        <v>2272</v>
      </c>
      <c r="O24" s="568">
        <f t="shared" ref="O24:Q24" si="36">SUM(O25:O29)</f>
        <v>572</v>
      </c>
      <c r="P24" s="568">
        <f t="shared" si="36"/>
        <v>0</v>
      </c>
      <c r="Q24" s="568">
        <f t="shared" si="36"/>
        <v>0</v>
      </c>
      <c r="R24" s="568">
        <f t="shared" si="3"/>
        <v>572</v>
      </c>
      <c r="S24" s="568">
        <f t="shared" ref="S24:U24" si="37">SUM(S25:S29)</f>
        <v>700</v>
      </c>
      <c r="T24" s="568">
        <f t="shared" si="37"/>
        <v>0</v>
      </c>
      <c r="U24" s="568">
        <f t="shared" si="37"/>
        <v>0</v>
      </c>
      <c r="V24" s="568">
        <f t="shared" si="4"/>
        <v>700</v>
      </c>
      <c r="W24" s="568">
        <f t="shared" ref="W24:Y24" si="38">SUM(W25:W29)</f>
        <v>1419</v>
      </c>
      <c r="X24" s="568">
        <f t="shared" si="38"/>
        <v>12607</v>
      </c>
      <c r="Y24" s="568">
        <f t="shared" si="38"/>
        <v>0</v>
      </c>
      <c r="Z24" s="568">
        <f t="shared" si="32"/>
        <v>14026</v>
      </c>
    </row>
    <row r="25" spans="1:26" ht="28.55" x14ac:dyDescent="0.25">
      <c r="A25" s="522"/>
      <c r="B25" s="379" t="s">
        <v>679</v>
      </c>
      <c r="C25" s="570">
        <v>0</v>
      </c>
      <c r="D25" s="570">
        <v>0</v>
      </c>
      <c r="E25" s="570">
        <v>0</v>
      </c>
      <c r="F25" s="570">
        <f t="shared" si="0"/>
        <v>0</v>
      </c>
      <c r="G25" s="570">
        <v>0</v>
      </c>
      <c r="H25" s="570">
        <v>0</v>
      </c>
      <c r="I25" s="570">
        <v>0</v>
      </c>
      <c r="J25" s="570">
        <f t="shared" si="1"/>
        <v>0</v>
      </c>
      <c r="K25" s="570">
        <v>0</v>
      </c>
      <c r="L25" s="570">
        <v>0</v>
      </c>
      <c r="M25" s="570">
        <v>0</v>
      </c>
      <c r="N25" s="570">
        <f t="shared" si="2"/>
        <v>0</v>
      </c>
      <c r="O25" s="570">
        <v>0</v>
      </c>
      <c r="P25" s="570">
        <v>0</v>
      </c>
      <c r="Q25" s="570">
        <v>0</v>
      </c>
      <c r="R25" s="570">
        <f t="shared" si="3"/>
        <v>0</v>
      </c>
      <c r="S25" s="570">
        <v>0</v>
      </c>
      <c r="T25" s="570">
        <v>0</v>
      </c>
      <c r="U25" s="570">
        <v>0</v>
      </c>
      <c r="V25" s="570">
        <f t="shared" si="4"/>
        <v>0</v>
      </c>
      <c r="W25" s="570">
        <v>0</v>
      </c>
      <c r="X25" s="570">
        <v>0</v>
      </c>
      <c r="Y25" s="570">
        <v>0</v>
      </c>
      <c r="Z25" s="570">
        <f t="shared" si="32"/>
        <v>0</v>
      </c>
    </row>
    <row r="26" spans="1:26" ht="28.55" x14ac:dyDescent="0.25">
      <c r="A26" s="522"/>
      <c r="B26" s="379" t="s">
        <v>680</v>
      </c>
      <c r="C26" s="570">
        <v>0</v>
      </c>
      <c r="D26" s="570">
        <v>0</v>
      </c>
      <c r="E26" s="570">
        <v>0</v>
      </c>
      <c r="F26" s="570">
        <f t="shared" si="0"/>
        <v>0</v>
      </c>
      <c r="G26" s="570">
        <v>0</v>
      </c>
      <c r="H26" s="570">
        <v>0</v>
      </c>
      <c r="I26" s="570">
        <v>0</v>
      </c>
      <c r="J26" s="570">
        <f t="shared" si="1"/>
        <v>0</v>
      </c>
      <c r="K26" s="570">
        <v>0</v>
      </c>
      <c r="L26" s="570">
        <v>0</v>
      </c>
      <c r="M26" s="570">
        <v>0</v>
      </c>
      <c r="N26" s="570">
        <f t="shared" si="2"/>
        <v>0</v>
      </c>
      <c r="O26" s="570">
        <v>0</v>
      </c>
      <c r="P26" s="570">
        <v>0</v>
      </c>
      <c r="Q26" s="570">
        <v>0</v>
      </c>
      <c r="R26" s="570">
        <f t="shared" si="3"/>
        <v>0</v>
      </c>
      <c r="S26" s="570">
        <v>0</v>
      </c>
      <c r="T26" s="570">
        <v>0</v>
      </c>
      <c r="U26" s="570">
        <v>0</v>
      </c>
      <c r="V26" s="570">
        <f t="shared" si="4"/>
        <v>0</v>
      </c>
      <c r="W26" s="570">
        <v>0</v>
      </c>
      <c r="X26" s="570">
        <v>0</v>
      </c>
      <c r="Y26" s="570">
        <v>0</v>
      </c>
      <c r="Z26" s="570">
        <f t="shared" si="32"/>
        <v>0</v>
      </c>
    </row>
    <row r="27" spans="1:26" x14ac:dyDescent="0.25">
      <c r="A27" s="522"/>
      <c r="B27" s="379" t="s">
        <v>681</v>
      </c>
      <c r="C27" s="570">
        <v>0</v>
      </c>
      <c r="D27" s="570">
        <v>0</v>
      </c>
      <c r="E27" s="570">
        <v>0</v>
      </c>
      <c r="F27" s="570">
        <f t="shared" si="0"/>
        <v>0</v>
      </c>
      <c r="G27" s="570">
        <v>0</v>
      </c>
      <c r="H27" s="570">
        <v>0</v>
      </c>
      <c r="I27" s="570">
        <v>0</v>
      </c>
      <c r="J27" s="570">
        <f t="shared" si="1"/>
        <v>0</v>
      </c>
      <c r="K27" s="570">
        <v>0</v>
      </c>
      <c r="L27" s="570">
        <v>0</v>
      </c>
      <c r="M27" s="570">
        <v>0</v>
      </c>
      <c r="N27" s="570">
        <f t="shared" si="2"/>
        <v>0</v>
      </c>
      <c r="O27" s="570">
        <v>0</v>
      </c>
      <c r="P27" s="570">
        <v>0</v>
      </c>
      <c r="Q27" s="570">
        <v>0</v>
      </c>
      <c r="R27" s="570">
        <f t="shared" si="3"/>
        <v>0</v>
      </c>
      <c r="S27" s="570">
        <v>0</v>
      </c>
      <c r="T27" s="570">
        <v>0</v>
      </c>
      <c r="U27" s="570">
        <v>0</v>
      </c>
      <c r="V27" s="570">
        <f t="shared" si="4"/>
        <v>0</v>
      </c>
      <c r="W27" s="570">
        <v>0</v>
      </c>
      <c r="X27" s="570">
        <v>0</v>
      </c>
      <c r="Y27" s="570">
        <v>0</v>
      </c>
      <c r="Z27" s="570">
        <f t="shared" si="32"/>
        <v>0</v>
      </c>
    </row>
    <row r="28" spans="1:26" ht="28.55" x14ac:dyDescent="0.25">
      <c r="A28" s="522"/>
      <c r="B28" s="379" t="s">
        <v>682</v>
      </c>
      <c r="C28" s="570">
        <v>0</v>
      </c>
      <c r="D28" s="570">
        <v>0</v>
      </c>
      <c r="E28" s="570">
        <v>0</v>
      </c>
      <c r="F28" s="570">
        <f t="shared" si="0"/>
        <v>0</v>
      </c>
      <c r="G28" s="570">
        <v>0</v>
      </c>
      <c r="H28" s="570">
        <f>+'2C Önk bev kiad fel'!H157</f>
        <v>1000</v>
      </c>
      <c r="I28" s="570">
        <v>0</v>
      </c>
      <c r="J28" s="570">
        <f t="shared" si="1"/>
        <v>1000</v>
      </c>
      <c r="K28" s="570">
        <v>0</v>
      </c>
      <c r="L28" s="570">
        <v>0</v>
      </c>
      <c r="M28" s="570">
        <v>0</v>
      </c>
      <c r="N28" s="570">
        <f t="shared" si="2"/>
        <v>0</v>
      </c>
      <c r="O28" s="570">
        <v>0</v>
      </c>
      <c r="P28" s="570">
        <v>0</v>
      </c>
      <c r="Q28" s="570">
        <v>0</v>
      </c>
      <c r="R28" s="570">
        <f t="shared" si="3"/>
        <v>0</v>
      </c>
      <c r="S28" s="570">
        <v>0</v>
      </c>
      <c r="T28" s="570">
        <v>0</v>
      </c>
      <c r="U28" s="570">
        <v>0</v>
      </c>
      <c r="V28" s="570">
        <f t="shared" si="4"/>
        <v>0</v>
      </c>
      <c r="W28" s="570">
        <v>0</v>
      </c>
      <c r="X28" s="570">
        <v>0</v>
      </c>
      <c r="Y28" s="570">
        <v>0</v>
      </c>
      <c r="Z28" s="570">
        <f t="shared" si="32"/>
        <v>0</v>
      </c>
    </row>
    <row r="29" spans="1:26" ht="28.55" x14ac:dyDescent="0.25">
      <c r="A29" s="522"/>
      <c r="B29" s="379" t="s">
        <v>683</v>
      </c>
      <c r="C29" s="570">
        <f>'2C Önk bev kiad fel'!E10</f>
        <v>700</v>
      </c>
      <c r="D29" s="570">
        <v>0</v>
      </c>
      <c r="E29" s="570">
        <v>0</v>
      </c>
      <c r="F29" s="570">
        <f t="shared" si="0"/>
        <v>700</v>
      </c>
      <c r="G29" s="570">
        <f>'2C Önk bev kiad fel'!H10</f>
        <v>2272</v>
      </c>
      <c r="H29" s="570">
        <v>0</v>
      </c>
      <c r="I29" s="570">
        <v>0</v>
      </c>
      <c r="J29" s="570">
        <f t="shared" si="1"/>
        <v>2272</v>
      </c>
      <c r="K29" s="570">
        <f>'2C Önk bev kiad fel'!K10</f>
        <v>2272</v>
      </c>
      <c r="L29" s="570">
        <v>0</v>
      </c>
      <c r="M29" s="570">
        <v>0</v>
      </c>
      <c r="N29" s="570">
        <f t="shared" si="2"/>
        <v>2272</v>
      </c>
      <c r="O29" s="570">
        <f>'2C Önk bev kiad fel'!N10</f>
        <v>572</v>
      </c>
      <c r="P29" s="570">
        <v>0</v>
      </c>
      <c r="Q29" s="570">
        <v>0</v>
      </c>
      <c r="R29" s="570">
        <f t="shared" si="3"/>
        <v>572</v>
      </c>
      <c r="S29" s="570">
        <f>'2C Önk bev kiad fel'!Q10</f>
        <v>700</v>
      </c>
      <c r="T29" s="570">
        <v>0</v>
      </c>
      <c r="U29" s="570">
        <v>0</v>
      </c>
      <c r="V29" s="570">
        <f t="shared" si="4"/>
        <v>700</v>
      </c>
      <c r="W29" s="570">
        <f>'2C Önk bev kiad fel'!T10</f>
        <v>1419</v>
      </c>
      <c r="X29" s="570">
        <f>'2C Önk bev kiad fel'!T169</f>
        <v>12607</v>
      </c>
      <c r="Y29" s="570">
        <v>0</v>
      </c>
      <c r="Z29" s="570">
        <f t="shared" si="32"/>
        <v>14026</v>
      </c>
    </row>
    <row r="30" spans="1:26" x14ac:dyDescent="0.25">
      <c r="A30" s="521"/>
      <c r="B30" s="563" t="s">
        <v>593</v>
      </c>
      <c r="C30" s="360">
        <f t="shared" ref="C30:E30" si="39">C21+C7</f>
        <v>2121883.7400000002</v>
      </c>
      <c r="D30" s="360">
        <f t="shared" si="39"/>
        <v>1275514.5</v>
      </c>
      <c r="E30" s="360">
        <f t="shared" si="39"/>
        <v>0</v>
      </c>
      <c r="F30" s="360">
        <f t="shared" si="0"/>
        <v>3397398.24</v>
      </c>
      <c r="G30" s="360">
        <f t="shared" ref="G30:I30" si="40">G21+G7</f>
        <v>2728051</v>
      </c>
      <c r="H30" s="360" t="e">
        <f t="shared" si="40"/>
        <v>#REF!</v>
      </c>
      <c r="I30" s="360" t="e">
        <f t="shared" si="40"/>
        <v>#REF!</v>
      </c>
      <c r="J30" s="360" t="e">
        <f t="shared" si="1"/>
        <v>#REF!</v>
      </c>
      <c r="K30" s="360">
        <f t="shared" ref="K30:M30" si="41">K21+K7</f>
        <v>2956413.4</v>
      </c>
      <c r="L30" s="360">
        <f t="shared" si="41"/>
        <v>2190497</v>
      </c>
      <c r="M30" s="360">
        <f t="shared" si="41"/>
        <v>0</v>
      </c>
      <c r="N30" s="360">
        <f t="shared" si="2"/>
        <v>5146910.4000000004</v>
      </c>
      <c r="O30" s="360">
        <f t="shared" ref="O30:Q30" si="42">O21+O7</f>
        <v>2086159</v>
      </c>
      <c r="P30" s="360">
        <f t="shared" si="42"/>
        <v>1593740</v>
      </c>
      <c r="Q30" s="360">
        <f t="shared" si="42"/>
        <v>0</v>
      </c>
      <c r="R30" s="360">
        <f t="shared" si="3"/>
        <v>3679899</v>
      </c>
      <c r="S30" s="360">
        <f t="shared" ref="S30:U30" si="43">S21+S7</f>
        <v>1980262.3149606299</v>
      </c>
      <c r="T30" s="360">
        <f t="shared" si="43"/>
        <v>866944.41999999993</v>
      </c>
      <c r="U30" s="360">
        <f t="shared" si="43"/>
        <v>0</v>
      </c>
      <c r="V30" s="360">
        <f>SUM(S30:U30)-1</f>
        <v>2847205.7349606296</v>
      </c>
      <c r="W30" s="360">
        <f t="shared" ref="W30:Y30" si="44">W21+W7</f>
        <v>2209185</v>
      </c>
      <c r="X30" s="360">
        <f t="shared" si="44"/>
        <v>983475</v>
      </c>
      <c r="Y30" s="360">
        <f t="shared" si="44"/>
        <v>0</v>
      </c>
      <c r="Z30" s="360">
        <f>SUM(W30:Y30)</f>
        <v>3192660</v>
      </c>
    </row>
    <row r="31" spans="1:26" x14ac:dyDescent="0.25">
      <c r="A31" s="557" t="s">
        <v>328</v>
      </c>
      <c r="B31" s="538" t="s">
        <v>596</v>
      </c>
      <c r="C31" s="539">
        <f t="shared" ref="C31:E31" si="45">C32+C41</f>
        <v>0</v>
      </c>
      <c r="D31" s="539">
        <f t="shared" si="45"/>
        <v>0</v>
      </c>
      <c r="E31" s="539">
        <f t="shared" si="45"/>
        <v>2822366.2</v>
      </c>
      <c r="F31" s="539">
        <f t="shared" si="0"/>
        <v>2822366.2</v>
      </c>
      <c r="G31" s="539">
        <f t="shared" ref="G31:I31" si="46">G32+G41</f>
        <v>0</v>
      </c>
      <c r="H31" s="539">
        <f t="shared" si="46"/>
        <v>0</v>
      </c>
      <c r="I31" s="539">
        <f t="shared" si="46"/>
        <v>3161860</v>
      </c>
      <c r="J31" s="539">
        <f t="shared" si="1"/>
        <v>3161860</v>
      </c>
      <c r="K31" s="539">
        <f t="shared" ref="K31:M31" si="47">K32+K41</f>
        <v>0</v>
      </c>
      <c r="L31" s="539">
        <f t="shared" si="47"/>
        <v>0</v>
      </c>
      <c r="M31" s="539" t="e">
        <f t="shared" si="47"/>
        <v>#REF!</v>
      </c>
      <c r="N31" s="539" t="e">
        <f t="shared" si="2"/>
        <v>#REF!</v>
      </c>
      <c r="O31" s="539">
        <f t="shared" ref="O31:Q31" si="48">O32+O41</f>
        <v>0</v>
      </c>
      <c r="P31" s="539">
        <f t="shared" si="48"/>
        <v>0</v>
      </c>
      <c r="Q31" s="539">
        <f t="shared" si="48"/>
        <v>2553407</v>
      </c>
      <c r="R31" s="539">
        <f t="shared" si="3"/>
        <v>2553407</v>
      </c>
      <c r="S31" s="539">
        <f t="shared" ref="S31:U31" si="49">S32+S41</f>
        <v>180645</v>
      </c>
      <c r="T31" s="539">
        <f t="shared" si="49"/>
        <v>0</v>
      </c>
      <c r="U31" s="539">
        <f t="shared" si="49"/>
        <v>2577635.1093543307</v>
      </c>
      <c r="V31" s="539">
        <f t="shared" si="4"/>
        <v>2758280.1093543307</v>
      </c>
      <c r="W31" s="539">
        <f t="shared" ref="W31:Y31" si="50">W32+W41</f>
        <v>180645</v>
      </c>
      <c r="X31" s="539">
        <f t="shared" si="50"/>
        <v>0</v>
      </c>
      <c r="Y31" s="539">
        <f t="shared" si="50"/>
        <v>2775642.33</v>
      </c>
      <c r="Z31" s="539">
        <f t="shared" ref="Z31:Z38" si="51">SUM(W31:Y31)</f>
        <v>2956287.33</v>
      </c>
    </row>
    <row r="32" spans="1:26" x14ac:dyDescent="0.25">
      <c r="A32" s="560" t="s">
        <v>311</v>
      </c>
      <c r="B32" s="567" t="s">
        <v>599</v>
      </c>
      <c r="C32" s="571">
        <f t="shared" ref="C32:E32" si="52">C33+C38+C36+C40+C39+C37</f>
        <v>0</v>
      </c>
      <c r="D32" s="571">
        <f t="shared" si="52"/>
        <v>0</v>
      </c>
      <c r="E32" s="571">
        <f t="shared" si="52"/>
        <v>2822366.2</v>
      </c>
      <c r="F32" s="571">
        <f t="shared" si="0"/>
        <v>2822366.2</v>
      </c>
      <c r="G32" s="571">
        <f t="shared" ref="G32:H32" si="53">G33+G38+G36+G40+G39+G37</f>
        <v>0</v>
      </c>
      <c r="H32" s="571">
        <f t="shared" si="53"/>
        <v>0</v>
      </c>
      <c r="I32" s="571">
        <f t="shared" ref="I32" si="54">I33+I38+I36+I40+I39+I37</f>
        <v>3161860</v>
      </c>
      <c r="J32" s="571">
        <f t="shared" si="1"/>
        <v>3161860</v>
      </c>
      <c r="K32" s="571">
        <f t="shared" ref="K32:M32" si="55">K33+K38+K36+K40+K39+K37</f>
        <v>0</v>
      </c>
      <c r="L32" s="571">
        <f t="shared" si="55"/>
        <v>0</v>
      </c>
      <c r="M32" s="571" t="e">
        <f t="shared" si="55"/>
        <v>#REF!</v>
      </c>
      <c r="N32" s="571" t="e">
        <f t="shared" si="2"/>
        <v>#REF!</v>
      </c>
      <c r="O32" s="571">
        <f t="shared" ref="O32:Q32" si="56">O33+O38+O36+O40+O39+O37</f>
        <v>0</v>
      </c>
      <c r="P32" s="571">
        <f t="shared" si="56"/>
        <v>0</v>
      </c>
      <c r="Q32" s="571">
        <f t="shared" si="56"/>
        <v>2553407</v>
      </c>
      <c r="R32" s="571">
        <f t="shared" si="3"/>
        <v>2553407</v>
      </c>
      <c r="S32" s="571">
        <f t="shared" ref="S32:U32" si="57">S33+S38+S36+S40+S39+S37</f>
        <v>180645</v>
      </c>
      <c r="T32" s="571">
        <f t="shared" si="57"/>
        <v>0</v>
      </c>
      <c r="U32" s="571">
        <f t="shared" si="57"/>
        <v>2577635.1093543307</v>
      </c>
      <c r="V32" s="571">
        <f t="shared" si="4"/>
        <v>2758280.1093543307</v>
      </c>
      <c r="W32" s="571">
        <f t="shared" ref="W32:Y32" si="58">W33+W38+W36+W40+W39+W37</f>
        <v>180645</v>
      </c>
      <c r="X32" s="571">
        <f t="shared" si="58"/>
        <v>0</v>
      </c>
      <c r="Y32" s="571">
        <f t="shared" si="58"/>
        <v>2775642.33</v>
      </c>
      <c r="Z32" s="571">
        <f t="shared" si="51"/>
        <v>2956287.33</v>
      </c>
    </row>
    <row r="33" spans="1:26" x14ac:dyDescent="0.25">
      <c r="A33" s="522"/>
      <c r="B33" s="380" t="s">
        <v>684</v>
      </c>
      <c r="C33" s="381"/>
      <c r="D33" s="381"/>
      <c r="E33" s="381"/>
      <c r="F33" s="381">
        <f t="shared" si="0"/>
        <v>0</v>
      </c>
      <c r="G33" s="381"/>
      <c r="H33" s="381"/>
      <c r="I33" s="381"/>
      <c r="J33" s="381">
        <f t="shared" si="1"/>
        <v>0</v>
      </c>
      <c r="K33" s="381"/>
      <c r="L33" s="381"/>
      <c r="M33" s="381"/>
      <c r="N33" s="381">
        <f t="shared" si="2"/>
        <v>0</v>
      </c>
      <c r="O33" s="381"/>
      <c r="P33" s="381"/>
      <c r="Q33" s="381"/>
      <c r="R33" s="381">
        <f t="shared" si="3"/>
        <v>0</v>
      </c>
      <c r="S33" s="381">
        <f>+S34+S35</f>
        <v>180645</v>
      </c>
      <c r="T33" s="381"/>
      <c r="U33" s="381"/>
      <c r="V33" s="381">
        <f t="shared" si="4"/>
        <v>180645</v>
      </c>
      <c r="W33" s="381">
        <f>+W34+W35</f>
        <v>180645</v>
      </c>
      <c r="X33" s="381"/>
      <c r="Y33" s="381"/>
      <c r="Z33" s="381">
        <f t="shared" si="51"/>
        <v>180645</v>
      </c>
    </row>
    <row r="34" spans="1:26" x14ac:dyDescent="0.25">
      <c r="A34" s="522"/>
      <c r="B34" s="382" t="s">
        <v>685</v>
      </c>
      <c r="C34" s="357"/>
      <c r="D34" s="357"/>
      <c r="E34" s="357"/>
      <c r="F34" s="357">
        <f t="shared" si="0"/>
        <v>0</v>
      </c>
      <c r="G34" s="357"/>
      <c r="H34" s="357"/>
      <c r="I34" s="357"/>
      <c r="J34" s="357">
        <f t="shared" si="1"/>
        <v>0</v>
      </c>
      <c r="K34" s="357"/>
      <c r="L34" s="357"/>
      <c r="M34" s="357"/>
      <c r="N34" s="357">
        <f t="shared" si="2"/>
        <v>0</v>
      </c>
      <c r="O34" s="357"/>
      <c r="P34" s="357"/>
      <c r="Q34" s="357"/>
      <c r="R34" s="357">
        <f t="shared" si="3"/>
        <v>0</v>
      </c>
      <c r="S34" s="357">
        <f>+'2C Önk bev kiad fel'!Q201</f>
        <v>180645</v>
      </c>
      <c r="T34" s="357"/>
      <c r="U34" s="357"/>
      <c r="V34" s="357">
        <f t="shared" si="4"/>
        <v>180645</v>
      </c>
      <c r="W34" s="357">
        <f>+'2C Önk bev kiad fel'!T201</f>
        <v>180645</v>
      </c>
      <c r="X34" s="357"/>
      <c r="Y34" s="357"/>
      <c r="Z34" s="357">
        <f t="shared" si="51"/>
        <v>180645</v>
      </c>
    </row>
    <row r="35" spans="1:26" x14ac:dyDescent="0.25">
      <c r="A35" s="522"/>
      <c r="B35" s="382" t="s">
        <v>686</v>
      </c>
      <c r="C35" s="357"/>
      <c r="D35" s="357"/>
      <c r="E35" s="357"/>
      <c r="F35" s="357">
        <f t="shared" si="0"/>
        <v>0</v>
      </c>
      <c r="G35" s="357"/>
      <c r="H35" s="357"/>
      <c r="I35" s="357"/>
      <c r="J35" s="357">
        <f t="shared" si="1"/>
        <v>0</v>
      </c>
      <c r="K35" s="357"/>
      <c r="L35" s="357"/>
      <c r="M35" s="357"/>
      <c r="N35" s="357">
        <f t="shared" si="2"/>
        <v>0</v>
      </c>
      <c r="O35" s="357"/>
      <c r="P35" s="357"/>
      <c r="Q35" s="357"/>
      <c r="R35" s="357">
        <f t="shared" si="3"/>
        <v>0</v>
      </c>
      <c r="S35" s="357"/>
      <c r="T35" s="357"/>
      <c r="U35" s="357"/>
      <c r="V35" s="357">
        <f t="shared" si="4"/>
        <v>0</v>
      </c>
      <c r="W35" s="357"/>
      <c r="X35" s="357"/>
      <c r="Y35" s="357"/>
      <c r="Z35" s="357">
        <f t="shared" si="51"/>
        <v>0</v>
      </c>
    </row>
    <row r="36" spans="1:26" x14ac:dyDescent="0.25">
      <c r="A36" s="522"/>
      <c r="B36" s="380" t="s">
        <v>687</v>
      </c>
      <c r="C36" s="381"/>
      <c r="D36" s="381"/>
      <c r="E36" s="381"/>
      <c r="F36" s="381">
        <f t="shared" si="0"/>
        <v>0</v>
      </c>
      <c r="G36" s="381"/>
      <c r="H36" s="381"/>
      <c r="I36" s="381"/>
      <c r="J36" s="381">
        <f t="shared" si="1"/>
        <v>0</v>
      </c>
      <c r="K36" s="381"/>
      <c r="L36" s="381"/>
      <c r="M36" s="381"/>
      <c r="N36" s="381">
        <f t="shared" si="2"/>
        <v>0</v>
      </c>
      <c r="O36" s="381"/>
      <c r="P36" s="381"/>
      <c r="Q36" s="381"/>
      <c r="R36" s="381">
        <f t="shared" si="3"/>
        <v>0</v>
      </c>
      <c r="S36" s="381"/>
      <c r="T36" s="381"/>
      <c r="U36" s="381"/>
      <c r="V36" s="381">
        <f t="shared" si="4"/>
        <v>0</v>
      </c>
      <c r="W36" s="381"/>
      <c r="X36" s="381"/>
      <c r="Y36" s="381"/>
      <c r="Z36" s="381">
        <f t="shared" si="51"/>
        <v>0</v>
      </c>
    </row>
    <row r="37" spans="1:26" ht="28.55" x14ac:dyDescent="0.25">
      <c r="A37" s="522"/>
      <c r="B37" s="380" t="s">
        <v>688</v>
      </c>
      <c r="C37" s="381"/>
      <c r="D37" s="381"/>
      <c r="E37" s="381">
        <v>10430</v>
      </c>
      <c r="F37" s="381">
        <f t="shared" si="0"/>
        <v>10430</v>
      </c>
      <c r="G37" s="381"/>
      <c r="H37" s="381"/>
      <c r="I37" s="381">
        <f>'2C Önk bev kiad fel'!H200</f>
        <v>311873</v>
      </c>
      <c r="J37" s="381">
        <f t="shared" si="1"/>
        <v>311873</v>
      </c>
      <c r="K37" s="381"/>
      <c r="L37" s="381"/>
      <c r="M37" s="381">
        <f>'2C Önk bev kiad fel'!K200</f>
        <v>11619</v>
      </c>
      <c r="N37" s="381">
        <f t="shared" si="2"/>
        <v>11619</v>
      </c>
      <c r="O37" s="381"/>
      <c r="P37" s="381"/>
      <c r="Q37" s="381">
        <f>'2C Önk bev kiad fel'!N200</f>
        <v>311873</v>
      </c>
      <c r="R37" s="381">
        <f t="shared" si="3"/>
        <v>311873</v>
      </c>
      <c r="S37" s="381"/>
      <c r="T37" s="381"/>
      <c r="U37" s="381">
        <f>'2C Önk bev kiad fel'!Q200</f>
        <v>17063</v>
      </c>
      <c r="V37" s="381">
        <f t="shared" si="4"/>
        <v>17063</v>
      </c>
      <c r="W37" s="381"/>
      <c r="X37" s="381"/>
      <c r="Y37" s="381">
        <f>'2C Önk bev kiad fel'!T200</f>
        <v>149361</v>
      </c>
      <c r="Z37" s="381">
        <f t="shared" si="51"/>
        <v>149361</v>
      </c>
    </row>
    <row r="38" spans="1:26" x14ac:dyDescent="0.25">
      <c r="A38" s="522"/>
      <c r="B38" s="380" t="s">
        <v>689</v>
      </c>
      <c r="C38" s="381">
        <f>'2C Önk bev kiad fel'!C199</f>
        <v>0</v>
      </c>
      <c r="D38" s="381">
        <f>'2C Önk bev kiad fel'!D199</f>
        <v>0</v>
      </c>
      <c r="E38" s="381">
        <f>'2C Önk bev kiad fel'!E199</f>
        <v>2411936.2000000002</v>
      </c>
      <c r="F38" s="381">
        <f t="shared" si="0"/>
        <v>2411936.2000000002</v>
      </c>
      <c r="G38" s="381">
        <f>'2C Önk bev kiad fel'!G199</f>
        <v>0</v>
      </c>
      <c r="H38" s="381">
        <f>'2C Önk bev kiad fel'!I199</f>
        <v>0</v>
      </c>
      <c r="I38" s="381">
        <f>'2C Önk bev kiad fel'!H199</f>
        <v>2449987</v>
      </c>
      <c r="J38" s="381">
        <f t="shared" si="1"/>
        <v>2449987</v>
      </c>
      <c r="K38" s="381"/>
      <c r="L38" s="381">
        <f>'2C Önk bev kiad fel'!M199</f>
        <v>0</v>
      </c>
      <c r="M38" s="381" t="e">
        <f>'2C Önk bev kiad fel'!K199</f>
        <v>#REF!</v>
      </c>
      <c r="N38" s="381" t="e">
        <f t="shared" si="2"/>
        <v>#REF!</v>
      </c>
      <c r="O38" s="381"/>
      <c r="P38" s="381">
        <f>'2C Önk bev kiad fel'!P199</f>
        <v>0</v>
      </c>
      <c r="Q38" s="381">
        <f>'2C Önk bev kiad fel'!N199</f>
        <v>2241534</v>
      </c>
      <c r="R38" s="381">
        <f t="shared" si="3"/>
        <v>2241534</v>
      </c>
      <c r="S38" s="381"/>
      <c r="T38" s="381">
        <v>0</v>
      </c>
      <c r="U38" s="381">
        <f>'2C Önk bev kiad fel'!Q199</f>
        <v>2560572.1093543307</v>
      </c>
      <c r="V38" s="381">
        <f t="shared" si="4"/>
        <v>2560572.1093543307</v>
      </c>
      <c r="W38" s="381"/>
      <c r="X38" s="381">
        <v>0</v>
      </c>
      <c r="Y38" s="381">
        <f>'2C Önk bev kiad fel'!T199</f>
        <v>2626281.33</v>
      </c>
      <c r="Z38" s="381">
        <f t="shared" si="51"/>
        <v>2626281.33</v>
      </c>
    </row>
    <row r="39" spans="1:26" x14ac:dyDescent="0.25">
      <c r="A39" s="522"/>
      <c r="B39" s="380" t="s">
        <v>690</v>
      </c>
      <c r="C39" s="381">
        <f>'2C Önk bev kiad fel'!C202</f>
        <v>0</v>
      </c>
      <c r="D39" s="381">
        <f>'2C Önk bev kiad fel'!D202</f>
        <v>0</v>
      </c>
      <c r="E39" s="381">
        <f>'2C Önk bev kiad fel'!E202</f>
        <v>400000</v>
      </c>
      <c r="F39" s="381">
        <f t="shared" si="0"/>
        <v>400000</v>
      </c>
      <c r="G39" s="381">
        <f>'2C Önk bev kiad fel'!G202</f>
        <v>0</v>
      </c>
      <c r="I39" s="381">
        <f>'2C Önk bev kiad fel'!H202</f>
        <v>400000</v>
      </c>
      <c r="J39" s="381">
        <f>SUM(G39:I39)</f>
        <v>400000</v>
      </c>
      <c r="K39" s="381"/>
      <c r="M39" s="381">
        <f>'2C Önk bev kiad fel'!K202</f>
        <v>400000</v>
      </c>
      <c r="N39" s="381">
        <f>SUM(K39:M39)</f>
        <v>400000</v>
      </c>
      <c r="O39" s="381"/>
      <c r="Q39" s="381">
        <f>'2C Önk bev kiad fel'!N202</f>
        <v>0</v>
      </c>
      <c r="R39" s="381">
        <f>SUM(O39:Q39)</f>
        <v>0</v>
      </c>
      <c r="S39" s="381"/>
      <c r="U39" s="381">
        <f>'2C Önk bev kiad fel'!Q202</f>
        <v>0</v>
      </c>
      <c r="V39" s="381">
        <f>SUM(S39:U39)</f>
        <v>0</v>
      </c>
      <c r="W39" s="381"/>
      <c r="Y39" s="381">
        <f>'2C Önk bev kiad fel'!U202</f>
        <v>0</v>
      </c>
      <c r="Z39" s="381">
        <f>SUM(W39:Y39)</f>
        <v>0</v>
      </c>
    </row>
    <row r="40" spans="1:26" x14ac:dyDescent="0.25">
      <c r="A40" s="522"/>
      <c r="B40" s="380" t="s">
        <v>691</v>
      </c>
      <c r="C40" s="381"/>
      <c r="D40" s="381"/>
      <c r="E40" s="381"/>
      <c r="F40" s="381">
        <f t="shared" si="0"/>
        <v>0</v>
      </c>
      <c r="G40" s="381"/>
      <c r="H40" s="381"/>
      <c r="I40" s="381"/>
      <c r="J40" s="381">
        <f t="shared" si="1"/>
        <v>0</v>
      </c>
      <c r="K40" s="381"/>
      <c r="L40" s="381"/>
      <c r="M40" s="381"/>
      <c r="N40" s="381">
        <f t="shared" ref="N40:N43" si="59">SUM(K40:M40)</f>
        <v>0</v>
      </c>
      <c r="O40" s="381"/>
      <c r="P40" s="381"/>
      <c r="Q40" s="381"/>
      <c r="R40" s="381">
        <f t="shared" ref="R40:R43" si="60">SUM(O40:Q40)</f>
        <v>0</v>
      </c>
      <c r="S40" s="381"/>
      <c r="T40" s="381"/>
      <c r="U40" s="381"/>
      <c r="V40" s="381">
        <f t="shared" ref="V40:V43" si="61">SUM(S40:U40)</f>
        <v>0</v>
      </c>
      <c r="W40" s="381"/>
      <c r="X40" s="381"/>
      <c r="Y40" s="381"/>
      <c r="Z40" s="381">
        <f t="shared" ref="Z40:Z43" si="62">SUM(W40:Y40)</f>
        <v>0</v>
      </c>
    </row>
    <row r="41" spans="1:26" x14ac:dyDescent="0.25">
      <c r="A41" s="560" t="s">
        <v>322</v>
      </c>
      <c r="B41" s="567" t="s">
        <v>600</v>
      </c>
      <c r="C41" s="571">
        <f t="shared" ref="C41:E41" si="63">C42+C43</f>
        <v>0</v>
      </c>
      <c r="D41" s="571">
        <f t="shared" si="63"/>
        <v>0</v>
      </c>
      <c r="E41" s="571">
        <f t="shared" si="63"/>
        <v>0</v>
      </c>
      <c r="F41" s="571">
        <f t="shared" si="0"/>
        <v>0</v>
      </c>
      <c r="G41" s="571">
        <f t="shared" ref="G41:I41" si="64">G42+G43</f>
        <v>0</v>
      </c>
      <c r="H41" s="571">
        <f t="shared" si="64"/>
        <v>0</v>
      </c>
      <c r="I41" s="571">
        <f t="shared" si="64"/>
        <v>0</v>
      </c>
      <c r="J41" s="571">
        <f t="shared" si="1"/>
        <v>0</v>
      </c>
      <c r="K41" s="571">
        <f t="shared" ref="K41:M41" si="65">K42+K43</f>
        <v>0</v>
      </c>
      <c r="L41" s="571">
        <f t="shared" si="65"/>
        <v>0</v>
      </c>
      <c r="M41" s="571">
        <f t="shared" si="65"/>
        <v>0</v>
      </c>
      <c r="N41" s="571">
        <f t="shared" si="59"/>
        <v>0</v>
      </c>
      <c r="O41" s="571">
        <f t="shared" ref="O41:Q41" si="66">O42+O43</f>
        <v>0</v>
      </c>
      <c r="P41" s="571">
        <f t="shared" si="66"/>
        <v>0</v>
      </c>
      <c r="Q41" s="571">
        <f t="shared" si="66"/>
        <v>0</v>
      </c>
      <c r="R41" s="571">
        <f t="shared" si="60"/>
        <v>0</v>
      </c>
      <c r="S41" s="571">
        <f t="shared" ref="S41:U41" si="67">S42+S43</f>
        <v>0</v>
      </c>
      <c r="T41" s="571">
        <f t="shared" si="67"/>
        <v>0</v>
      </c>
      <c r="U41" s="571">
        <f t="shared" si="67"/>
        <v>0</v>
      </c>
      <c r="V41" s="571">
        <f t="shared" si="61"/>
        <v>0</v>
      </c>
      <c r="W41" s="571">
        <f t="shared" ref="W41:Y41" si="68">W42+W43</f>
        <v>0</v>
      </c>
      <c r="X41" s="571">
        <f t="shared" si="68"/>
        <v>0</v>
      </c>
      <c r="Y41" s="571">
        <f t="shared" si="68"/>
        <v>0</v>
      </c>
      <c r="Z41" s="571">
        <f t="shared" si="62"/>
        <v>0</v>
      </c>
    </row>
    <row r="42" spans="1:26" x14ac:dyDescent="0.25">
      <c r="A42" s="522"/>
      <c r="B42" s="380" t="s">
        <v>692</v>
      </c>
      <c r="C42" s="381"/>
      <c r="D42" s="381"/>
      <c r="E42" s="381"/>
      <c r="F42" s="381">
        <f t="shared" si="0"/>
        <v>0</v>
      </c>
      <c r="G42" s="381"/>
      <c r="H42" s="381"/>
      <c r="I42" s="381"/>
      <c r="J42" s="381">
        <f t="shared" si="1"/>
        <v>0</v>
      </c>
      <c r="K42" s="381"/>
      <c r="L42" s="381"/>
      <c r="M42" s="381"/>
      <c r="N42" s="381">
        <f t="shared" si="59"/>
        <v>0</v>
      </c>
      <c r="O42" s="381"/>
      <c r="P42" s="381"/>
      <c r="Q42" s="381"/>
      <c r="R42" s="381">
        <f t="shared" si="60"/>
        <v>0</v>
      </c>
      <c r="S42" s="381"/>
      <c r="T42" s="381"/>
      <c r="U42" s="381"/>
      <c r="V42" s="381">
        <f t="shared" si="61"/>
        <v>0</v>
      </c>
      <c r="W42" s="381"/>
      <c r="X42" s="381"/>
      <c r="Y42" s="381"/>
      <c r="Z42" s="381">
        <f t="shared" si="62"/>
        <v>0</v>
      </c>
    </row>
    <row r="43" spans="1:26" x14ac:dyDescent="0.25">
      <c r="A43" s="522"/>
      <c r="B43" s="380" t="s">
        <v>693</v>
      </c>
      <c r="C43" s="381"/>
      <c r="D43" s="381"/>
      <c r="E43" s="381"/>
      <c r="F43" s="381">
        <f t="shared" si="0"/>
        <v>0</v>
      </c>
      <c r="G43" s="381"/>
      <c r="H43" s="381"/>
      <c r="I43" s="381"/>
      <c r="J43" s="381">
        <f t="shared" si="1"/>
        <v>0</v>
      </c>
      <c r="K43" s="381"/>
      <c r="L43" s="381"/>
      <c r="M43" s="381"/>
      <c r="N43" s="381">
        <f t="shared" si="59"/>
        <v>0</v>
      </c>
      <c r="O43" s="381"/>
      <c r="P43" s="381"/>
      <c r="Q43" s="381"/>
      <c r="R43" s="381">
        <f t="shared" si="60"/>
        <v>0</v>
      </c>
      <c r="S43" s="381"/>
      <c r="T43" s="381"/>
      <c r="U43" s="381"/>
      <c r="V43" s="381">
        <f t="shared" si="61"/>
        <v>0</v>
      </c>
      <c r="W43" s="381"/>
      <c r="X43" s="381"/>
      <c r="Y43" s="381"/>
      <c r="Z43" s="381">
        <f t="shared" si="62"/>
        <v>0</v>
      </c>
    </row>
    <row r="44" spans="1:26" x14ac:dyDescent="0.25">
      <c r="A44" s="564"/>
      <c r="B44" s="565" t="s">
        <v>344</v>
      </c>
      <c r="C44" s="373">
        <f t="shared" ref="C44:E44" si="69">C31+C30</f>
        <v>2121883.7400000002</v>
      </c>
      <c r="D44" s="373">
        <f t="shared" si="69"/>
        <v>1275514.5</v>
      </c>
      <c r="E44" s="373">
        <f t="shared" si="69"/>
        <v>2822366.2</v>
      </c>
      <c r="F44" s="373">
        <f>SUM(C44:E44)+1</f>
        <v>6219765.4400000004</v>
      </c>
      <c r="G44" s="373">
        <f t="shared" ref="G44:I44" si="70">G31+G30</f>
        <v>2728051</v>
      </c>
      <c r="H44" s="373" t="e">
        <f t="shared" si="70"/>
        <v>#REF!</v>
      </c>
      <c r="I44" s="373" t="e">
        <f t="shared" si="70"/>
        <v>#REF!</v>
      </c>
      <c r="J44" s="373" t="e">
        <f>SUM(G44:I44)</f>
        <v>#REF!</v>
      </c>
      <c r="K44" s="373">
        <f t="shared" ref="K44:M44" si="71">K31+K30</f>
        <v>2956413.4</v>
      </c>
      <c r="L44" s="373">
        <f t="shared" si="71"/>
        <v>2190497</v>
      </c>
      <c r="M44" s="373" t="e">
        <f t="shared" si="71"/>
        <v>#REF!</v>
      </c>
      <c r="N44" s="373" t="e">
        <f>SUM(K44:M44)</f>
        <v>#REF!</v>
      </c>
      <c r="O44" s="373">
        <f t="shared" ref="O44:Q44" si="72">O31+O30</f>
        <v>2086159</v>
      </c>
      <c r="P44" s="373">
        <f t="shared" si="72"/>
        <v>1593740</v>
      </c>
      <c r="Q44" s="373">
        <f t="shared" si="72"/>
        <v>2553407</v>
      </c>
      <c r="R44" s="373">
        <f>SUM(O44:Q44)</f>
        <v>6233306</v>
      </c>
      <c r="S44" s="373">
        <f t="shared" ref="S44:U44" si="73">S31+S30</f>
        <v>2160907.3149606297</v>
      </c>
      <c r="T44" s="373">
        <f t="shared" si="73"/>
        <v>866944.41999999993</v>
      </c>
      <c r="U44" s="373">
        <f t="shared" si="73"/>
        <v>2577635.1093543307</v>
      </c>
      <c r="V44" s="373">
        <f>SUM(S44:U44)-1</f>
        <v>5605485.8443149608</v>
      </c>
      <c r="W44" s="373">
        <f t="shared" ref="W44:Y44" si="74">W31+W30</f>
        <v>2389830</v>
      </c>
      <c r="X44" s="373">
        <f t="shared" si="74"/>
        <v>983475</v>
      </c>
      <c r="Y44" s="373">
        <f t="shared" si="74"/>
        <v>2775642.33</v>
      </c>
      <c r="Z44" s="373">
        <f>SUM(W44:Y44)</f>
        <v>6148947.3300000001</v>
      </c>
    </row>
    <row r="45" spans="1:26" ht="14.95" x14ac:dyDescent="0.25">
      <c r="J45" s="530"/>
    </row>
    <row r="46" spans="1:26" ht="14.95" x14ac:dyDescent="0.25">
      <c r="J46" s="530"/>
      <c r="R46" s="530"/>
      <c r="V46" s="530">
        <f>+'2C Önk bev kiad fel'!Q5</f>
        <v>5605485.9773543309</v>
      </c>
      <c r="Z46" s="530">
        <f>+'2C Önk bev kiad fel'!U5</f>
        <v>0</v>
      </c>
    </row>
    <row r="47" spans="1:26" ht="14.95" x14ac:dyDescent="0.25">
      <c r="J47" s="530"/>
      <c r="R47" s="530"/>
      <c r="V47" s="530">
        <f>+V44-V46</f>
        <v>-0.13303937017917633</v>
      </c>
      <c r="Z47" s="530">
        <f>+Z44-Z46</f>
        <v>6148947.3300000001</v>
      </c>
    </row>
    <row r="48" spans="1:26" ht="14.95" x14ac:dyDescent="0.25">
      <c r="F48" s="530"/>
      <c r="J48" s="530"/>
      <c r="V48" s="530"/>
      <c r="Z48" s="530"/>
    </row>
    <row r="50" spans="17:26" ht="14.95" x14ac:dyDescent="0.25">
      <c r="V50" s="530"/>
      <c r="Z50" s="530"/>
    </row>
    <row r="51" spans="17:26" ht="14.95" x14ac:dyDescent="0.25">
      <c r="R51" s="530"/>
    </row>
    <row r="52" spans="17:26" ht="14.95" x14ac:dyDescent="0.25">
      <c r="Q52" s="530"/>
    </row>
    <row r="56" spans="17:26" ht="14.95" x14ac:dyDescent="0.25">
      <c r="R56" s="530"/>
    </row>
    <row r="58" spans="17:26" ht="14.95" x14ac:dyDescent="0.25">
      <c r="R58" s="530"/>
    </row>
  </sheetData>
  <mergeCells count="8">
    <mergeCell ref="W3:Z3"/>
    <mergeCell ref="S3:V3"/>
    <mergeCell ref="K3:N3"/>
    <mergeCell ref="A3:A4"/>
    <mergeCell ref="B3:B4"/>
    <mergeCell ref="C3:F3"/>
    <mergeCell ref="G3:J3"/>
    <mergeCell ref="O3:R3"/>
  </mergeCells>
  <printOptions horizontalCentered="1"/>
  <pageMargins left="0.19685039370078741" right="0.19685039370078741" top="0.6692913385826772" bottom="0.6692913385826772" header="0.15748031496062992" footer="0.19685039370078741"/>
  <pageSetup paperSize="9" scale="53" fitToWidth="0" fitToHeight="0" orientation="portrait" copies="4" r:id="rId1"/>
  <headerFooter>
    <oddHeader>&amp;L2/B.  melléklet a ...../2019. (.......) önkormányzati rendelethez&amp;C&amp;"-,Félkövér"&amp;16
Az Önkormányzat 2019.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26"/>
  <sheetViews>
    <sheetView view="pageBreakPreview" topLeftCell="A70" zoomScale="77" zoomScaleNormal="100" zoomScaleSheetLayoutView="77" workbookViewId="0">
      <selection activeCell="T154" sqref="T154"/>
    </sheetView>
  </sheetViews>
  <sheetFormatPr defaultColWidth="9.125" defaultRowHeight="14.3" x14ac:dyDescent="0.25"/>
  <cols>
    <col min="1" max="1" width="6.125" style="420" customWidth="1"/>
    <col min="2" max="2" width="40.625" style="421" customWidth="1"/>
    <col min="3" max="4" width="10.875" style="424" hidden="1" customWidth="1"/>
    <col min="5" max="8" width="10.875" style="518" hidden="1" customWidth="1"/>
    <col min="9" max="14" width="10.875" style="425" hidden="1" customWidth="1"/>
    <col min="15" max="20" width="10.875" style="425" customWidth="1"/>
    <col min="21" max="16384" width="9.125" style="425"/>
  </cols>
  <sheetData>
    <row r="1" spans="1:20" ht="14.95" x14ac:dyDescent="0.25">
      <c r="E1" s="504"/>
      <c r="F1" s="505"/>
      <c r="G1" s="505"/>
      <c r="K1" s="423"/>
      <c r="N1" s="423"/>
      <c r="Q1" s="423"/>
      <c r="T1" s="423" t="s">
        <v>302</v>
      </c>
    </row>
    <row r="2" spans="1:20" ht="27.7" customHeight="1" x14ac:dyDescent="0.25">
      <c r="A2" s="900" t="s">
        <v>552</v>
      </c>
      <c r="B2" s="902" t="s">
        <v>306</v>
      </c>
      <c r="C2" s="891" t="s">
        <v>1377</v>
      </c>
      <c r="D2" s="891" t="s">
        <v>1319</v>
      </c>
      <c r="E2" s="893" t="s">
        <v>1317</v>
      </c>
      <c r="F2" s="891" t="s">
        <v>1377</v>
      </c>
      <c r="G2" s="891" t="s">
        <v>1319</v>
      </c>
      <c r="H2" s="893" t="s">
        <v>1317</v>
      </c>
      <c r="I2" s="891" t="s">
        <v>1377</v>
      </c>
      <c r="J2" s="891" t="s">
        <v>1319</v>
      </c>
      <c r="K2" s="893" t="s">
        <v>1317</v>
      </c>
      <c r="L2" s="891" t="s">
        <v>1377</v>
      </c>
      <c r="M2" s="891" t="s">
        <v>1319</v>
      </c>
      <c r="N2" s="893" t="s">
        <v>1317</v>
      </c>
      <c r="O2" s="891" t="s">
        <v>1377</v>
      </c>
      <c r="P2" s="891" t="s">
        <v>1319</v>
      </c>
      <c r="Q2" s="893" t="s">
        <v>1317</v>
      </c>
      <c r="R2" s="891" t="s">
        <v>1377</v>
      </c>
      <c r="S2" s="891" t="s">
        <v>1319</v>
      </c>
      <c r="T2" s="893" t="s">
        <v>1317</v>
      </c>
    </row>
    <row r="3" spans="1:20" s="44" customFormat="1" ht="27.7" customHeight="1" x14ac:dyDescent="0.25">
      <c r="A3" s="900"/>
      <c r="B3" s="902"/>
      <c r="C3" s="892"/>
      <c r="D3" s="892"/>
      <c r="E3" s="894"/>
      <c r="F3" s="892"/>
      <c r="G3" s="892"/>
      <c r="H3" s="894"/>
      <c r="I3" s="892"/>
      <c r="J3" s="892"/>
      <c r="K3" s="894"/>
      <c r="L3" s="892"/>
      <c r="M3" s="892"/>
      <c r="N3" s="894"/>
      <c r="O3" s="892"/>
      <c r="P3" s="892"/>
      <c r="Q3" s="894"/>
      <c r="R3" s="892"/>
      <c r="S3" s="892"/>
      <c r="T3" s="894"/>
    </row>
    <row r="4" spans="1:20" s="44" customFormat="1" ht="53.5" customHeight="1" x14ac:dyDescent="0.25">
      <c r="A4" s="901"/>
      <c r="B4" s="903"/>
      <c r="C4" s="895" t="s">
        <v>1497</v>
      </c>
      <c r="D4" s="898"/>
      <c r="E4" s="899"/>
      <c r="F4" s="895" t="s">
        <v>1519</v>
      </c>
      <c r="G4" s="898"/>
      <c r="H4" s="899"/>
      <c r="I4" s="895" t="s">
        <v>1520</v>
      </c>
      <c r="J4" s="898"/>
      <c r="K4" s="899"/>
      <c r="L4" s="895" t="s">
        <v>1498</v>
      </c>
      <c r="M4" s="898"/>
      <c r="N4" s="899"/>
      <c r="O4" s="895" t="s">
        <v>1529</v>
      </c>
      <c r="P4" s="898"/>
      <c r="Q4" s="899"/>
      <c r="R4" s="895" t="s">
        <v>1721</v>
      </c>
      <c r="S4" s="896"/>
      <c r="T4" s="897"/>
    </row>
    <row r="5" spans="1:20" s="44" customFormat="1" x14ac:dyDescent="0.25">
      <c r="A5" s="426" t="s">
        <v>311</v>
      </c>
      <c r="B5" s="427" t="s">
        <v>697</v>
      </c>
      <c r="C5" s="428"/>
      <c r="D5" s="428"/>
      <c r="E5" s="506">
        <v>6219965.4400000004</v>
      </c>
      <c r="F5" s="507"/>
      <c r="G5" s="507"/>
      <c r="H5" s="506">
        <v>7287941.5</v>
      </c>
      <c r="I5" s="507"/>
      <c r="J5" s="507"/>
      <c r="K5" s="506" t="e">
        <v>#REF!</v>
      </c>
      <c r="L5" s="507"/>
      <c r="M5" s="507"/>
      <c r="N5" s="506">
        <v>6029761</v>
      </c>
      <c r="O5" s="507"/>
      <c r="P5" s="507"/>
      <c r="Q5" s="506">
        <f>+Q6+Q70+Q197+Q198</f>
        <v>5605485.9773543309</v>
      </c>
      <c r="R5" s="507"/>
      <c r="S5" s="507"/>
      <c r="T5" s="506">
        <f>+T6+T70+T197+T198</f>
        <v>6148947.3300000001</v>
      </c>
    </row>
    <row r="6" spans="1:20" x14ac:dyDescent="0.25">
      <c r="A6" s="364" t="s">
        <v>309</v>
      </c>
      <c r="B6" s="429" t="s">
        <v>348</v>
      </c>
      <c r="C6" s="430">
        <v>12</v>
      </c>
      <c r="D6" s="430">
        <v>25</v>
      </c>
      <c r="E6" s="508">
        <v>2121883.7400000002</v>
      </c>
      <c r="F6" s="509">
        <v>12</v>
      </c>
      <c r="G6" s="509">
        <v>25</v>
      </c>
      <c r="H6" s="508">
        <v>2728051</v>
      </c>
      <c r="I6" s="509">
        <v>12</v>
      </c>
      <c r="J6" s="509">
        <v>25</v>
      </c>
      <c r="K6" s="508">
        <v>3050035.4</v>
      </c>
      <c r="L6" s="509">
        <v>12</v>
      </c>
      <c r="M6" s="509">
        <v>25</v>
      </c>
      <c r="N6" s="508">
        <v>2490987</v>
      </c>
      <c r="O6" s="509">
        <v>16</v>
      </c>
      <c r="P6" s="509">
        <v>10</v>
      </c>
      <c r="Q6" s="508">
        <f>+Q7+Q11+Q14+Q19+Q24+Q26+Q33+Q36+Q39+Q43+Q51+Q57+Q59+Q62+Q66</f>
        <v>1980261.868</v>
      </c>
      <c r="R6" s="509">
        <v>16</v>
      </c>
      <c r="S6" s="509">
        <v>10</v>
      </c>
      <c r="T6" s="508">
        <f>+T7+T11+T14+T19+T24+T26+T33+T36+T39+T43+T51+T57+T59+T62+T66</f>
        <v>2209185</v>
      </c>
    </row>
    <row r="7" spans="1:20" s="670" customFormat="1" x14ac:dyDescent="0.25">
      <c r="A7" s="666" t="s">
        <v>311</v>
      </c>
      <c r="B7" s="667" t="s">
        <v>698</v>
      </c>
      <c r="C7" s="668"/>
      <c r="D7" s="668"/>
      <c r="E7" s="664">
        <v>3994</v>
      </c>
      <c r="F7" s="669"/>
      <c r="G7" s="669"/>
      <c r="H7" s="664">
        <v>11035</v>
      </c>
      <c r="I7" s="669"/>
      <c r="J7" s="669"/>
      <c r="K7" s="664">
        <v>11035</v>
      </c>
      <c r="L7" s="669"/>
      <c r="M7" s="669"/>
      <c r="N7" s="664">
        <v>6541</v>
      </c>
      <c r="O7" s="669"/>
      <c r="P7" s="669"/>
      <c r="Q7" s="664">
        <v>8510</v>
      </c>
      <c r="R7" s="669"/>
      <c r="S7" s="669"/>
      <c r="T7" s="664">
        <f>SUM(T8:T10)</f>
        <v>12023</v>
      </c>
    </row>
    <row r="8" spans="1:20" s="670" customFormat="1" x14ac:dyDescent="0.25">
      <c r="A8" s="671"/>
      <c r="B8" s="672" t="s">
        <v>292</v>
      </c>
      <c r="C8" s="673"/>
      <c r="D8" s="673"/>
      <c r="E8" s="575">
        <v>500</v>
      </c>
      <c r="F8" s="576"/>
      <c r="G8" s="576"/>
      <c r="H8" s="575">
        <v>5588</v>
      </c>
      <c r="I8" s="576"/>
      <c r="J8" s="576"/>
      <c r="K8" s="575">
        <v>5588</v>
      </c>
      <c r="L8" s="576"/>
      <c r="M8" s="576"/>
      <c r="N8" s="575">
        <v>5588</v>
      </c>
      <c r="O8" s="576"/>
      <c r="P8" s="576"/>
      <c r="Q8" s="575">
        <v>4000</v>
      </c>
      <c r="R8" s="576"/>
      <c r="S8" s="576"/>
      <c r="T8" s="575">
        <v>4000</v>
      </c>
    </row>
    <row r="9" spans="1:20" s="670" customFormat="1" x14ac:dyDescent="0.25">
      <c r="A9" s="671"/>
      <c r="B9" s="672" t="s">
        <v>351</v>
      </c>
      <c r="C9" s="673"/>
      <c r="D9" s="673"/>
      <c r="E9" s="575">
        <v>2794</v>
      </c>
      <c r="F9" s="576"/>
      <c r="G9" s="576"/>
      <c r="H9" s="575">
        <v>3175</v>
      </c>
      <c r="I9" s="576"/>
      <c r="J9" s="576"/>
      <c r="K9" s="575">
        <v>3175</v>
      </c>
      <c r="L9" s="576"/>
      <c r="M9" s="576"/>
      <c r="N9" s="575">
        <v>381</v>
      </c>
      <c r="O9" s="576"/>
      <c r="P9" s="576"/>
      <c r="Q9" s="575">
        <v>3810</v>
      </c>
      <c r="R9" s="576"/>
      <c r="S9" s="576"/>
      <c r="T9" s="575">
        <f>3810+2794</f>
        <v>6604</v>
      </c>
    </row>
    <row r="10" spans="1:20" s="670" customFormat="1" x14ac:dyDescent="0.25">
      <c r="A10" s="671"/>
      <c r="B10" s="672" t="s">
        <v>343</v>
      </c>
      <c r="C10" s="673"/>
      <c r="D10" s="673"/>
      <c r="E10" s="575">
        <v>700</v>
      </c>
      <c r="F10" s="576"/>
      <c r="G10" s="576"/>
      <c r="H10" s="575">
        <v>2272</v>
      </c>
      <c r="I10" s="576"/>
      <c r="J10" s="576"/>
      <c r="K10" s="575">
        <v>2272</v>
      </c>
      <c r="L10" s="576"/>
      <c r="M10" s="576"/>
      <c r="N10" s="575">
        <v>572</v>
      </c>
      <c r="O10" s="576"/>
      <c r="P10" s="576"/>
      <c r="Q10" s="575">
        <v>700</v>
      </c>
      <c r="R10" s="576"/>
      <c r="S10" s="576"/>
      <c r="T10" s="575">
        <f>700+719</f>
        <v>1419</v>
      </c>
    </row>
    <row r="11" spans="1:20" s="670" customFormat="1" x14ac:dyDescent="0.25">
      <c r="A11" s="666" t="s">
        <v>322</v>
      </c>
      <c r="B11" s="667" t="s">
        <v>699</v>
      </c>
      <c r="C11" s="668"/>
      <c r="D11" s="668"/>
      <c r="E11" s="664">
        <v>2770</v>
      </c>
      <c r="F11" s="669"/>
      <c r="G11" s="669"/>
      <c r="H11" s="664">
        <v>1270</v>
      </c>
      <c r="I11" s="669"/>
      <c r="J11" s="669"/>
      <c r="K11" s="664">
        <v>1270</v>
      </c>
      <c r="L11" s="669"/>
      <c r="M11" s="669"/>
      <c r="N11" s="664">
        <v>1270</v>
      </c>
      <c r="O11" s="669"/>
      <c r="P11" s="669"/>
      <c r="Q11" s="664">
        <v>21500</v>
      </c>
      <c r="R11" s="669"/>
      <c r="S11" s="669"/>
      <c r="T11" s="664">
        <v>21500</v>
      </c>
    </row>
    <row r="12" spans="1:20" s="670" customFormat="1" x14ac:dyDescent="0.25">
      <c r="A12" s="671"/>
      <c r="B12" s="672" t="s">
        <v>292</v>
      </c>
      <c r="C12" s="673"/>
      <c r="D12" s="673"/>
      <c r="E12" s="575">
        <v>1270</v>
      </c>
      <c r="F12" s="576"/>
      <c r="G12" s="576"/>
      <c r="H12" s="575">
        <v>1270</v>
      </c>
      <c r="I12" s="576"/>
      <c r="J12" s="576"/>
      <c r="K12" s="575">
        <v>1270</v>
      </c>
      <c r="L12" s="576"/>
      <c r="M12" s="576"/>
      <c r="N12" s="575">
        <v>1270</v>
      </c>
      <c r="O12" s="576"/>
      <c r="P12" s="576"/>
      <c r="Q12" s="575">
        <v>17000</v>
      </c>
      <c r="R12" s="576"/>
      <c r="S12" s="576"/>
      <c r="T12" s="575">
        <v>17000</v>
      </c>
    </row>
    <row r="13" spans="1:20" s="670" customFormat="1" x14ac:dyDescent="0.25">
      <c r="A13" s="671"/>
      <c r="B13" s="672" t="s">
        <v>351</v>
      </c>
      <c r="C13" s="673"/>
      <c r="D13" s="673"/>
      <c r="E13" s="575">
        <v>1500</v>
      </c>
      <c r="F13" s="576"/>
      <c r="G13" s="576"/>
      <c r="H13" s="575">
        <v>0</v>
      </c>
      <c r="I13" s="576"/>
      <c r="J13" s="576"/>
      <c r="K13" s="575"/>
      <c r="L13" s="576"/>
      <c r="M13" s="576"/>
      <c r="N13" s="575">
        <v>0</v>
      </c>
      <c r="O13" s="576"/>
      <c r="P13" s="576"/>
      <c r="Q13" s="575">
        <v>4500</v>
      </c>
      <c r="R13" s="576"/>
      <c r="S13" s="576"/>
      <c r="T13" s="575">
        <v>4500</v>
      </c>
    </row>
    <row r="14" spans="1:20" s="670" customFormat="1" x14ac:dyDescent="0.25">
      <c r="A14" s="666" t="s">
        <v>315</v>
      </c>
      <c r="B14" s="667" t="s">
        <v>700</v>
      </c>
      <c r="C14" s="668"/>
      <c r="D14" s="668"/>
      <c r="E14" s="664">
        <v>17969</v>
      </c>
      <c r="F14" s="669"/>
      <c r="G14" s="669"/>
      <c r="H14" s="664">
        <v>20244</v>
      </c>
      <c r="I14" s="669"/>
      <c r="J14" s="669"/>
      <c r="K14" s="664">
        <v>20244</v>
      </c>
      <c r="L14" s="669"/>
      <c r="M14" s="669"/>
      <c r="N14" s="664">
        <v>18964</v>
      </c>
      <c r="O14" s="669"/>
      <c r="P14" s="669"/>
      <c r="Q14" s="664">
        <v>17524.868000000002</v>
      </c>
      <c r="R14" s="669"/>
      <c r="S14" s="669"/>
      <c r="T14" s="664">
        <f>SUM(T15:T18)</f>
        <v>17825</v>
      </c>
    </row>
    <row r="15" spans="1:20" s="670" customFormat="1" x14ac:dyDescent="0.25">
      <c r="A15" s="671"/>
      <c r="B15" s="672" t="s">
        <v>286</v>
      </c>
      <c r="C15" s="673"/>
      <c r="D15" s="673"/>
      <c r="E15" s="575">
        <v>0</v>
      </c>
      <c r="F15" s="576"/>
      <c r="G15" s="576"/>
      <c r="H15" s="575">
        <v>0</v>
      </c>
      <c r="I15" s="576"/>
      <c r="J15" s="576"/>
      <c r="K15" s="575">
        <v>0</v>
      </c>
      <c r="L15" s="576"/>
      <c r="M15" s="576"/>
      <c r="N15" s="575">
        <v>0</v>
      </c>
      <c r="O15" s="576"/>
      <c r="P15" s="576"/>
      <c r="Q15" s="575">
        <v>0</v>
      </c>
      <c r="R15" s="576"/>
      <c r="S15" s="576"/>
      <c r="T15" s="575">
        <v>0</v>
      </c>
    </row>
    <row r="16" spans="1:20" s="670" customFormat="1" x14ac:dyDescent="0.25">
      <c r="A16" s="671"/>
      <c r="B16" s="672" t="s">
        <v>287</v>
      </c>
      <c r="C16" s="673"/>
      <c r="D16" s="673"/>
      <c r="E16" s="575">
        <v>0</v>
      </c>
      <c r="F16" s="576"/>
      <c r="G16" s="576"/>
      <c r="H16" s="575">
        <v>0</v>
      </c>
      <c r="I16" s="576"/>
      <c r="J16" s="576"/>
      <c r="K16" s="575">
        <v>0</v>
      </c>
      <c r="L16" s="576"/>
      <c r="M16" s="576"/>
      <c r="N16" s="575">
        <v>0</v>
      </c>
      <c r="O16" s="576"/>
      <c r="P16" s="576"/>
      <c r="Q16" s="575">
        <v>0</v>
      </c>
      <c r="R16" s="576"/>
      <c r="S16" s="576"/>
      <c r="T16" s="575">
        <v>0</v>
      </c>
    </row>
    <row r="17" spans="1:20" s="670" customFormat="1" x14ac:dyDescent="0.25">
      <c r="A17" s="671"/>
      <c r="B17" s="672" t="s">
        <v>292</v>
      </c>
      <c r="C17" s="673"/>
      <c r="D17" s="673"/>
      <c r="E17" s="575">
        <v>17969</v>
      </c>
      <c r="F17" s="576"/>
      <c r="G17" s="576"/>
      <c r="H17" s="575">
        <v>20244</v>
      </c>
      <c r="I17" s="576"/>
      <c r="J17" s="576"/>
      <c r="K17" s="575">
        <v>20244</v>
      </c>
      <c r="L17" s="576"/>
      <c r="M17" s="576"/>
      <c r="N17" s="575">
        <v>18964</v>
      </c>
      <c r="O17" s="576"/>
      <c r="P17" s="576"/>
      <c r="Q17" s="575">
        <v>17525</v>
      </c>
      <c r="R17" s="576"/>
      <c r="S17" s="576"/>
      <c r="T17" s="575">
        <f>17525+300</f>
        <v>17825</v>
      </c>
    </row>
    <row r="18" spans="1:20" s="670" customFormat="1" x14ac:dyDescent="0.25">
      <c r="A18" s="671"/>
      <c r="B18" s="672" t="s">
        <v>351</v>
      </c>
      <c r="C18" s="673"/>
      <c r="D18" s="673"/>
      <c r="E18" s="575"/>
      <c r="F18" s="576"/>
      <c r="G18" s="576"/>
      <c r="H18" s="575"/>
      <c r="I18" s="576"/>
      <c r="J18" s="576"/>
      <c r="K18" s="575"/>
      <c r="L18" s="576"/>
      <c r="M18" s="576"/>
      <c r="N18" s="575"/>
      <c r="O18" s="576"/>
      <c r="P18" s="576"/>
      <c r="Q18" s="575">
        <v>0</v>
      </c>
      <c r="R18" s="576"/>
      <c r="S18" s="576"/>
      <c r="T18" s="575"/>
    </row>
    <row r="19" spans="1:20" s="670" customFormat="1" x14ac:dyDescent="0.25">
      <c r="A19" s="666" t="s">
        <v>336</v>
      </c>
      <c r="B19" s="667" t="s">
        <v>658</v>
      </c>
      <c r="C19" s="668">
        <v>7</v>
      </c>
      <c r="D19" s="668"/>
      <c r="E19" s="664">
        <v>43832</v>
      </c>
      <c r="F19" s="669">
        <v>7</v>
      </c>
      <c r="G19" s="669"/>
      <c r="H19" s="664">
        <v>43832</v>
      </c>
      <c r="I19" s="669">
        <v>7</v>
      </c>
      <c r="J19" s="669"/>
      <c r="K19" s="664">
        <v>43832</v>
      </c>
      <c r="L19" s="669">
        <v>7</v>
      </c>
      <c r="M19" s="669"/>
      <c r="N19" s="664">
        <v>1902</v>
      </c>
      <c r="O19" s="669">
        <v>7</v>
      </c>
      <c r="P19" s="669"/>
      <c r="Q19" s="664">
        <v>49738</v>
      </c>
      <c r="R19" s="669">
        <v>7</v>
      </c>
      <c r="S19" s="669"/>
      <c r="T19" s="664">
        <v>49738</v>
      </c>
    </row>
    <row r="20" spans="1:20" s="670" customFormat="1" x14ac:dyDescent="0.25">
      <c r="A20" s="671"/>
      <c r="B20" s="672" t="s">
        <v>286</v>
      </c>
      <c r="C20" s="673"/>
      <c r="D20" s="673"/>
      <c r="E20" s="575">
        <v>35014</v>
      </c>
      <c r="F20" s="576"/>
      <c r="G20" s="576"/>
      <c r="H20" s="575">
        <v>35014</v>
      </c>
      <c r="I20" s="576"/>
      <c r="J20" s="576"/>
      <c r="K20" s="575">
        <v>35014</v>
      </c>
      <c r="L20" s="576"/>
      <c r="M20" s="576"/>
      <c r="N20" s="575"/>
      <c r="O20" s="576"/>
      <c r="P20" s="576"/>
      <c r="Q20" s="575">
        <v>39514</v>
      </c>
      <c r="R20" s="576"/>
      <c r="S20" s="576"/>
      <c r="T20" s="575">
        <v>39514</v>
      </c>
    </row>
    <row r="21" spans="1:20" s="670" customFormat="1" x14ac:dyDescent="0.25">
      <c r="A21" s="671"/>
      <c r="B21" s="672" t="s">
        <v>287</v>
      </c>
      <c r="C21" s="673"/>
      <c r="D21" s="673"/>
      <c r="E21" s="575">
        <v>6697</v>
      </c>
      <c r="F21" s="576"/>
      <c r="G21" s="576"/>
      <c r="H21" s="575">
        <v>6697</v>
      </c>
      <c r="I21" s="576"/>
      <c r="J21" s="576"/>
      <c r="K21" s="575">
        <v>6697</v>
      </c>
      <c r="L21" s="576"/>
      <c r="M21" s="576"/>
      <c r="N21" s="575"/>
      <c r="O21" s="576"/>
      <c r="P21" s="576"/>
      <c r="Q21" s="575">
        <v>7508</v>
      </c>
      <c r="R21" s="576"/>
      <c r="S21" s="576"/>
      <c r="T21" s="575">
        <v>7508</v>
      </c>
    </row>
    <row r="22" spans="1:20" s="670" customFormat="1" x14ac:dyDescent="0.25">
      <c r="A22" s="671"/>
      <c r="B22" s="672" t="s">
        <v>292</v>
      </c>
      <c r="C22" s="673"/>
      <c r="D22" s="673"/>
      <c r="E22" s="575">
        <v>2121</v>
      </c>
      <c r="F22" s="576"/>
      <c r="G22" s="576"/>
      <c r="H22" s="575">
        <v>2108</v>
      </c>
      <c r="I22" s="576"/>
      <c r="J22" s="576"/>
      <c r="K22" s="575">
        <v>2121</v>
      </c>
      <c r="L22" s="576"/>
      <c r="M22" s="576"/>
      <c r="N22" s="575">
        <v>1774</v>
      </c>
      <c r="O22" s="576"/>
      <c r="P22" s="576"/>
      <c r="Q22" s="575">
        <v>2716</v>
      </c>
      <c r="R22" s="576"/>
      <c r="S22" s="576"/>
      <c r="T22" s="575">
        <v>2716</v>
      </c>
    </row>
    <row r="23" spans="1:20" s="670" customFormat="1" x14ac:dyDescent="0.25">
      <c r="A23" s="671"/>
      <c r="B23" s="672" t="s">
        <v>351</v>
      </c>
      <c r="C23" s="673"/>
      <c r="D23" s="673"/>
      <c r="E23" s="575">
        <v>0</v>
      </c>
      <c r="F23" s="576"/>
      <c r="G23" s="576"/>
      <c r="H23" s="575">
        <v>13</v>
      </c>
      <c r="I23" s="576"/>
      <c r="J23" s="576"/>
      <c r="K23" s="575">
        <v>0</v>
      </c>
      <c r="L23" s="576"/>
      <c r="M23" s="576"/>
      <c r="N23" s="575">
        <v>128</v>
      </c>
      <c r="O23" s="576"/>
      <c r="P23" s="576"/>
      <c r="Q23" s="575">
        <v>0</v>
      </c>
      <c r="R23" s="576"/>
      <c r="S23" s="576"/>
      <c r="T23" s="575">
        <v>0</v>
      </c>
    </row>
    <row r="24" spans="1:20" s="670" customFormat="1" x14ac:dyDescent="0.25">
      <c r="A24" s="666" t="s">
        <v>338</v>
      </c>
      <c r="B24" s="667" t="s">
        <v>1272</v>
      </c>
      <c r="C24" s="668"/>
      <c r="D24" s="668"/>
      <c r="E24" s="664">
        <v>1000</v>
      </c>
      <c r="F24" s="669"/>
      <c r="G24" s="669"/>
      <c r="H24" s="664">
        <v>1000</v>
      </c>
      <c r="I24" s="669"/>
      <c r="J24" s="669"/>
      <c r="K24" s="664">
        <v>1000</v>
      </c>
      <c r="L24" s="669"/>
      <c r="M24" s="669"/>
      <c r="N24" s="664">
        <v>0</v>
      </c>
      <c r="O24" s="669"/>
      <c r="P24" s="669"/>
      <c r="Q24" s="664">
        <v>1000</v>
      </c>
      <c r="R24" s="669"/>
      <c r="S24" s="669"/>
      <c r="T24" s="664">
        <v>1000</v>
      </c>
    </row>
    <row r="25" spans="1:20" s="670" customFormat="1" x14ac:dyDescent="0.25">
      <c r="A25" s="671"/>
      <c r="B25" s="674" t="s">
        <v>292</v>
      </c>
      <c r="C25" s="675"/>
      <c r="D25" s="675"/>
      <c r="E25" s="665">
        <v>1000</v>
      </c>
      <c r="F25" s="676"/>
      <c r="G25" s="676"/>
      <c r="H25" s="665">
        <v>1000</v>
      </c>
      <c r="I25" s="676"/>
      <c r="J25" s="676"/>
      <c r="K25" s="665">
        <v>1000</v>
      </c>
      <c r="L25" s="676"/>
      <c r="M25" s="676"/>
      <c r="N25" s="665">
        <v>0</v>
      </c>
      <c r="O25" s="676"/>
      <c r="P25" s="676"/>
      <c r="Q25" s="665">
        <v>1000</v>
      </c>
      <c r="R25" s="676"/>
      <c r="S25" s="676"/>
      <c r="T25" s="665">
        <v>1000</v>
      </c>
    </row>
    <row r="26" spans="1:20" s="670" customFormat="1" x14ac:dyDescent="0.25">
      <c r="A26" s="666" t="s">
        <v>560</v>
      </c>
      <c r="B26" s="677" t="s">
        <v>1304</v>
      </c>
      <c r="C26" s="678"/>
      <c r="D26" s="678"/>
      <c r="E26" s="679">
        <v>500</v>
      </c>
      <c r="F26" s="680"/>
      <c r="G26" s="680"/>
      <c r="H26" s="679">
        <v>500</v>
      </c>
      <c r="I26" s="680"/>
      <c r="J26" s="680"/>
      <c r="K26" s="679">
        <v>500</v>
      </c>
      <c r="L26" s="680"/>
      <c r="M26" s="680"/>
      <c r="N26" s="679">
        <v>0</v>
      </c>
      <c r="O26" s="680"/>
      <c r="P26" s="680"/>
      <c r="Q26" s="679">
        <v>500</v>
      </c>
      <c r="R26" s="680"/>
      <c r="S26" s="680"/>
      <c r="T26" s="679">
        <v>500</v>
      </c>
    </row>
    <row r="27" spans="1:20" s="670" customFormat="1" x14ac:dyDescent="0.25">
      <c r="A27" s="671"/>
      <c r="B27" s="674" t="s">
        <v>292</v>
      </c>
      <c r="C27" s="675"/>
      <c r="D27" s="675"/>
      <c r="E27" s="665">
        <v>500</v>
      </c>
      <c r="F27" s="676"/>
      <c r="G27" s="676"/>
      <c r="H27" s="665">
        <v>500</v>
      </c>
      <c r="I27" s="676"/>
      <c r="J27" s="676"/>
      <c r="K27" s="665">
        <v>500</v>
      </c>
      <c r="L27" s="676"/>
      <c r="M27" s="676"/>
      <c r="N27" s="665">
        <v>0</v>
      </c>
      <c r="O27" s="676"/>
      <c r="P27" s="676"/>
      <c r="Q27" s="665">
        <v>500</v>
      </c>
      <c r="R27" s="676"/>
      <c r="S27" s="676"/>
      <c r="T27" s="665">
        <v>500</v>
      </c>
    </row>
    <row r="28" spans="1:20" s="670" customFormat="1" x14ac:dyDescent="0.25">
      <c r="A28" s="666" t="s">
        <v>562</v>
      </c>
      <c r="B28" s="667" t="s">
        <v>701</v>
      </c>
      <c r="C28" s="668"/>
      <c r="D28" s="668"/>
      <c r="E28" s="664">
        <v>8793</v>
      </c>
      <c r="F28" s="669"/>
      <c r="G28" s="669"/>
      <c r="H28" s="664">
        <v>0</v>
      </c>
      <c r="I28" s="669"/>
      <c r="J28" s="669"/>
      <c r="K28" s="664">
        <v>0</v>
      </c>
      <c r="L28" s="669"/>
      <c r="M28" s="669"/>
      <c r="N28" s="664">
        <v>0</v>
      </c>
      <c r="O28" s="669"/>
      <c r="P28" s="669"/>
      <c r="Q28" s="664">
        <v>0</v>
      </c>
      <c r="R28" s="669"/>
      <c r="S28" s="669"/>
      <c r="T28" s="664">
        <v>0</v>
      </c>
    </row>
    <row r="29" spans="1:20" s="670" customFormat="1" x14ac:dyDescent="0.25">
      <c r="A29" s="666"/>
      <c r="B29" s="672" t="s">
        <v>286</v>
      </c>
      <c r="C29" s="668"/>
      <c r="D29" s="668"/>
      <c r="E29" s="575">
        <v>3600</v>
      </c>
      <c r="F29" s="669"/>
      <c r="G29" s="669"/>
      <c r="H29" s="664"/>
      <c r="I29" s="669"/>
      <c r="J29" s="669"/>
      <c r="K29" s="664"/>
      <c r="L29" s="669"/>
      <c r="M29" s="669"/>
      <c r="N29" s="665">
        <v>0</v>
      </c>
      <c r="O29" s="669"/>
      <c r="P29" s="669"/>
      <c r="Q29" s="575"/>
      <c r="R29" s="669"/>
      <c r="S29" s="669"/>
      <c r="T29" s="575"/>
    </row>
    <row r="30" spans="1:20" s="670" customFormat="1" x14ac:dyDescent="0.25">
      <c r="A30" s="666"/>
      <c r="B30" s="672" t="s">
        <v>287</v>
      </c>
      <c r="C30" s="668"/>
      <c r="D30" s="668"/>
      <c r="E30" s="575">
        <v>1256</v>
      </c>
      <c r="F30" s="669"/>
      <c r="G30" s="669"/>
      <c r="H30" s="664"/>
      <c r="I30" s="669"/>
      <c r="J30" s="669"/>
      <c r="K30" s="664"/>
      <c r="L30" s="669"/>
      <c r="M30" s="669"/>
      <c r="N30" s="665">
        <v>0</v>
      </c>
      <c r="O30" s="669"/>
      <c r="P30" s="669"/>
      <c r="Q30" s="575"/>
      <c r="R30" s="669"/>
      <c r="S30" s="669"/>
      <c r="T30" s="575"/>
    </row>
    <row r="31" spans="1:20" s="670" customFormat="1" x14ac:dyDescent="0.25">
      <c r="A31" s="671"/>
      <c r="B31" s="674" t="s">
        <v>292</v>
      </c>
      <c r="C31" s="675"/>
      <c r="D31" s="675"/>
      <c r="E31" s="665">
        <v>3937</v>
      </c>
      <c r="F31" s="676"/>
      <c r="G31" s="676"/>
      <c r="H31" s="665">
        <v>0</v>
      </c>
      <c r="I31" s="676"/>
      <c r="J31" s="676"/>
      <c r="K31" s="665">
        <v>0</v>
      </c>
      <c r="L31" s="676"/>
      <c r="M31" s="676"/>
      <c r="N31" s="665">
        <v>0</v>
      </c>
      <c r="O31" s="676"/>
      <c r="P31" s="676"/>
      <c r="Q31" s="665"/>
      <c r="R31" s="676"/>
      <c r="S31" s="676"/>
      <c r="T31" s="665"/>
    </row>
    <row r="32" spans="1:20" s="670" customFormat="1" x14ac:dyDescent="0.25">
      <c r="A32" s="671"/>
      <c r="B32" s="674" t="s">
        <v>351</v>
      </c>
      <c r="C32" s="675"/>
      <c r="D32" s="675"/>
      <c r="E32" s="665"/>
      <c r="F32" s="676"/>
      <c r="G32" s="676"/>
      <c r="H32" s="665">
        <v>0</v>
      </c>
      <c r="I32" s="676"/>
      <c r="J32" s="676"/>
      <c r="K32" s="665">
        <v>0</v>
      </c>
      <c r="L32" s="676"/>
      <c r="M32" s="676"/>
      <c r="N32" s="665">
        <v>0</v>
      </c>
      <c r="O32" s="676"/>
      <c r="P32" s="676"/>
      <c r="Q32" s="665"/>
      <c r="R32" s="676"/>
      <c r="S32" s="676"/>
      <c r="T32" s="665"/>
    </row>
    <row r="33" spans="1:20" s="670" customFormat="1" x14ac:dyDescent="0.25">
      <c r="A33" s="666" t="s">
        <v>562</v>
      </c>
      <c r="B33" s="667" t="s">
        <v>702</v>
      </c>
      <c r="C33" s="668"/>
      <c r="D33" s="668"/>
      <c r="E33" s="664">
        <v>53937</v>
      </c>
      <c r="F33" s="669"/>
      <c r="G33" s="669"/>
      <c r="H33" s="664">
        <v>55387</v>
      </c>
      <c r="I33" s="669"/>
      <c r="J33" s="669"/>
      <c r="K33" s="664">
        <v>55387</v>
      </c>
      <c r="L33" s="669"/>
      <c r="M33" s="669"/>
      <c r="N33" s="664">
        <v>55390</v>
      </c>
      <c r="O33" s="669"/>
      <c r="P33" s="669"/>
      <c r="Q33" s="664">
        <v>80400</v>
      </c>
      <c r="R33" s="669"/>
      <c r="S33" s="669"/>
      <c r="T33" s="664">
        <v>80400</v>
      </c>
    </row>
    <row r="34" spans="1:20" s="670" customFormat="1" x14ac:dyDescent="0.25">
      <c r="A34" s="671"/>
      <c r="B34" s="672" t="s">
        <v>292</v>
      </c>
      <c r="C34" s="673"/>
      <c r="D34" s="673"/>
      <c r="E34" s="575">
        <v>53937</v>
      </c>
      <c r="F34" s="576"/>
      <c r="G34" s="576"/>
      <c r="H34" s="575">
        <v>23887</v>
      </c>
      <c r="I34" s="576"/>
      <c r="J34" s="576"/>
      <c r="K34" s="575">
        <v>23887</v>
      </c>
      <c r="L34" s="576"/>
      <c r="M34" s="576"/>
      <c r="N34" s="575">
        <v>16623</v>
      </c>
      <c r="O34" s="576"/>
      <c r="P34" s="576"/>
      <c r="Q34" s="575">
        <v>3400</v>
      </c>
      <c r="R34" s="576"/>
      <c r="S34" s="576"/>
      <c r="T34" s="575">
        <v>3400</v>
      </c>
    </row>
    <row r="35" spans="1:20" s="670" customFormat="1" x14ac:dyDescent="0.25">
      <c r="A35" s="671"/>
      <c r="B35" s="674" t="s">
        <v>351</v>
      </c>
      <c r="C35" s="673"/>
      <c r="D35" s="673"/>
      <c r="E35" s="575"/>
      <c r="F35" s="576"/>
      <c r="G35" s="576"/>
      <c r="H35" s="575">
        <v>31500</v>
      </c>
      <c r="I35" s="576"/>
      <c r="J35" s="576"/>
      <c r="K35" s="575">
        <v>31500</v>
      </c>
      <c r="L35" s="576"/>
      <c r="M35" s="576"/>
      <c r="N35" s="575">
        <v>38767</v>
      </c>
      <c r="O35" s="576"/>
      <c r="P35" s="576"/>
      <c r="Q35" s="575">
        <v>77000</v>
      </c>
      <c r="R35" s="576"/>
      <c r="S35" s="576"/>
      <c r="T35" s="575">
        <v>77000</v>
      </c>
    </row>
    <row r="36" spans="1:20" s="670" customFormat="1" x14ac:dyDescent="0.25">
      <c r="A36" s="666" t="s">
        <v>564</v>
      </c>
      <c r="B36" s="667" t="s">
        <v>703</v>
      </c>
      <c r="C36" s="668"/>
      <c r="D36" s="668"/>
      <c r="E36" s="664">
        <v>1000</v>
      </c>
      <c r="F36" s="669"/>
      <c r="G36" s="669"/>
      <c r="H36" s="664">
        <v>1000</v>
      </c>
      <c r="I36" s="669"/>
      <c r="J36" s="669"/>
      <c r="K36" s="664">
        <v>1000</v>
      </c>
      <c r="L36" s="669"/>
      <c r="M36" s="669"/>
      <c r="N36" s="664">
        <v>450</v>
      </c>
      <c r="O36" s="669"/>
      <c r="P36" s="669"/>
      <c r="Q36" s="664">
        <v>5513</v>
      </c>
      <c r="R36" s="669"/>
      <c r="S36" s="669"/>
      <c r="T36" s="664">
        <f>SUM(T37:T38)</f>
        <v>8545</v>
      </c>
    </row>
    <row r="37" spans="1:20" s="670" customFormat="1" x14ac:dyDescent="0.25">
      <c r="A37" s="671"/>
      <c r="B37" s="672" t="s">
        <v>292</v>
      </c>
      <c r="C37" s="673"/>
      <c r="D37" s="673"/>
      <c r="E37" s="575">
        <v>1000</v>
      </c>
      <c r="F37" s="576"/>
      <c r="G37" s="576"/>
      <c r="H37" s="575">
        <v>1000</v>
      </c>
      <c r="I37" s="576"/>
      <c r="J37" s="576"/>
      <c r="K37" s="575">
        <v>1000</v>
      </c>
      <c r="L37" s="576"/>
      <c r="M37" s="576"/>
      <c r="N37" s="575">
        <v>450</v>
      </c>
      <c r="O37" s="576"/>
      <c r="P37" s="576"/>
      <c r="Q37" s="575">
        <v>5512.606299212599</v>
      </c>
      <c r="R37" s="576"/>
      <c r="S37" s="576"/>
      <c r="T37" s="575">
        <f>5513+1000+2032</f>
        <v>8545</v>
      </c>
    </row>
    <row r="38" spans="1:20" s="670" customFormat="1" x14ac:dyDescent="0.25">
      <c r="A38" s="671"/>
      <c r="B38" s="672" t="s">
        <v>351</v>
      </c>
      <c r="C38" s="673"/>
      <c r="D38" s="673"/>
      <c r="E38" s="575">
        <v>0</v>
      </c>
      <c r="F38" s="576"/>
      <c r="G38" s="576"/>
      <c r="H38" s="575">
        <v>0</v>
      </c>
      <c r="I38" s="576"/>
      <c r="J38" s="576"/>
      <c r="K38" s="575">
        <v>0</v>
      </c>
      <c r="L38" s="576"/>
      <c r="M38" s="576"/>
      <c r="N38" s="575">
        <v>0</v>
      </c>
      <c r="O38" s="576"/>
      <c r="P38" s="576"/>
      <c r="Q38" s="575">
        <v>0</v>
      </c>
      <c r="R38" s="576"/>
      <c r="S38" s="576"/>
      <c r="T38" s="575">
        <f>0</f>
        <v>0</v>
      </c>
    </row>
    <row r="39" spans="1:20" s="670" customFormat="1" x14ac:dyDescent="0.25">
      <c r="A39" s="666" t="s">
        <v>565</v>
      </c>
      <c r="B39" s="667" t="s">
        <v>704</v>
      </c>
      <c r="C39" s="668"/>
      <c r="D39" s="668"/>
      <c r="E39" s="664">
        <v>5347</v>
      </c>
      <c r="F39" s="669"/>
      <c r="G39" s="669"/>
      <c r="H39" s="664">
        <v>5347</v>
      </c>
      <c r="I39" s="669"/>
      <c r="J39" s="669"/>
      <c r="K39" s="664">
        <v>5347</v>
      </c>
      <c r="L39" s="669"/>
      <c r="M39" s="669"/>
      <c r="N39" s="664">
        <v>6707</v>
      </c>
      <c r="O39" s="669"/>
      <c r="P39" s="669"/>
      <c r="Q39" s="664">
        <v>4331</v>
      </c>
      <c r="R39" s="669"/>
      <c r="S39" s="669"/>
      <c r="T39" s="664">
        <v>4331</v>
      </c>
    </row>
    <row r="40" spans="1:20" s="670" customFormat="1" x14ac:dyDescent="0.25">
      <c r="A40" s="671"/>
      <c r="B40" s="672" t="s">
        <v>292</v>
      </c>
      <c r="C40" s="673"/>
      <c r="D40" s="673"/>
      <c r="E40" s="575">
        <v>5347</v>
      </c>
      <c r="F40" s="576"/>
      <c r="G40" s="576"/>
      <c r="H40" s="575">
        <v>4347</v>
      </c>
      <c r="I40" s="576"/>
      <c r="J40" s="576"/>
      <c r="K40" s="575">
        <v>4347</v>
      </c>
      <c r="L40" s="576"/>
      <c r="M40" s="576"/>
      <c r="N40" s="575">
        <v>5580</v>
      </c>
      <c r="O40" s="576"/>
      <c r="P40" s="576"/>
      <c r="Q40" s="575">
        <v>4330.7086614173231</v>
      </c>
      <c r="R40" s="576"/>
      <c r="S40" s="576"/>
      <c r="T40" s="575">
        <v>4331</v>
      </c>
    </row>
    <row r="41" spans="1:20" s="670" customFormat="1" x14ac:dyDescent="0.25">
      <c r="A41" s="671"/>
      <c r="B41" s="418" t="s">
        <v>1283</v>
      </c>
      <c r="C41" s="673"/>
      <c r="D41" s="673"/>
      <c r="E41" s="575"/>
      <c r="F41" s="576"/>
      <c r="G41" s="576"/>
      <c r="H41" s="575">
        <v>1000</v>
      </c>
      <c r="I41" s="576"/>
      <c r="J41" s="576"/>
      <c r="K41" s="575">
        <v>1000</v>
      </c>
      <c r="L41" s="576"/>
      <c r="M41" s="576"/>
      <c r="N41" s="575">
        <v>1000</v>
      </c>
      <c r="O41" s="576"/>
      <c r="P41" s="576"/>
      <c r="Q41" s="575">
        <v>0</v>
      </c>
      <c r="R41" s="576"/>
      <c r="S41" s="576"/>
      <c r="T41" s="575">
        <v>0</v>
      </c>
    </row>
    <row r="42" spans="1:20" s="670" customFormat="1" x14ac:dyDescent="0.25">
      <c r="A42" s="671"/>
      <c r="B42" s="672" t="s">
        <v>351</v>
      </c>
      <c r="C42" s="673"/>
      <c r="D42" s="673"/>
      <c r="E42" s="575">
        <v>0</v>
      </c>
      <c r="F42" s="576"/>
      <c r="G42" s="576"/>
      <c r="H42" s="575">
        <v>0</v>
      </c>
      <c r="I42" s="576"/>
      <c r="J42" s="576"/>
      <c r="K42" s="575">
        <v>0</v>
      </c>
      <c r="L42" s="576"/>
      <c r="M42" s="576"/>
      <c r="N42" s="575">
        <v>127</v>
      </c>
      <c r="O42" s="576"/>
      <c r="P42" s="576"/>
      <c r="Q42" s="575">
        <v>0</v>
      </c>
      <c r="R42" s="576"/>
      <c r="S42" s="576"/>
      <c r="T42" s="575">
        <v>0</v>
      </c>
    </row>
    <row r="43" spans="1:20" s="670" customFormat="1" x14ac:dyDescent="0.25">
      <c r="A43" s="666" t="s">
        <v>567</v>
      </c>
      <c r="B43" s="667" t="s">
        <v>705</v>
      </c>
      <c r="C43" s="668">
        <v>5</v>
      </c>
      <c r="D43" s="668"/>
      <c r="E43" s="664">
        <v>1927195.74</v>
      </c>
      <c r="F43" s="669">
        <v>5</v>
      </c>
      <c r="G43" s="669"/>
      <c r="H43" s="664">
        <v>2485268</v>
      </c>
      <c r="I43" s="669">
        <v>5</v>
      </c>
      <c r="J43" s="669"/>
      <c r="K43" s="664">
        <v>2807252.4</v>
      </c>
      <c r="L43" s="669">
        <v>5</v>
      </c>
      <c r="M43" s="669"/>
      <c r="N43" s="664">
        <v>2294776</v>
      </c>
      <c r="O43" s="669">
        <v>9</v>
      </c>
      <c r="P43" s="669"/>
      <c r="Q43" s="664">
        <f>SUM(Q44:Q50)</f>
        <v>841247</v>
      </c>
      <c r="R43" s="669">
        <v>9</v>
      </c>
      <c r="S43" s="669"/>
      <c r="T43" s="664">
        <f>SUM(T44:T50)</f>
        <v>869740</v>
      </c>
    </row>
    <row r="44" spans="1:20" s="670" customFormat="1" x14ac:dyDescent="0.25">
      <c r="A44" s="671"/>
      <c r="B44" s="672" t="s">
        <v>286</v>
      </c>
      <c r="C44" s="673"/>
      <c r="D44" s="673"/>
      <c r="E44" s="575">
        <v>129530</v>
      </c>
      <c r="F44" s="576"/>
      <c r="G44" s="576"/>
      <c r="H44" s="575">
        <v>129959</v>
      </c>
      <c r="I44" s="576"/>
      <c r="J44" s="576"/>
      <c r="K44" s="575">
        <v>129959</v>
      </c>
      <c r="L44" s="576"/>
      <c r="M44" s="576"/>
      <c r="N44" s="575"/>
      <c r="O44" s="576"/>
      <c r="P44" s="576"/>
      <c r="Q44" s="575">
        <v>133188</v>
      </c>
      <c r="R44" s="576"/>
      <c r="S44" s="576"/>
      <c r="T44" s="575">
        <v>133188</v>
      </c>
    </row>
    <row r="45" spans="1:20" s="670" customFormat="1" x14ac:dyDescent="0.25">
      <c r="A45" s="671"/>
      <c r="B45" s="672" t="s">
        <v>287</v>
      </c>
      <c r="C45" s="673"/>
      <c r="D45" s="673"/>
      <c r="E45" s="575">
        <v>25337</v>
      </c>
      <c r="F45" s="576"/>
      <c r="G45" s="576"/>
      <c r="H45" s="575">
        <v>25421</v>
      </c>
      <c r="I45" s="576"/>
      <c r="J45" s="576"/>
      <c r="K45" s="575">
        <v>25421</v>
      </c>
      <c r="L45" s="576"/>
      <c r="M45" s="576"/>
      <c r="N45" s="575"/>
      <c r="O45" s="576"/>
      <c r="P45" s="576"/>
      <c r="Q45" s="575">
        <v>25306</v>
      </c>
      <c r="R45" s="576"/>
      <c r="S45" s="576"/>
      <c r="T45" s="575">
        <v>25306</v>
      </c>
    </row>
    <row r="46" spans="1:20" s="670" customFormat="1" x14ac:dyDescent="0.25">
      <c r="A46" s="671"/>
      <c r="B46" s="672" t="s">
        <v>292</v>
      </c>
      <c r="C46" s="673"/>
      <c r="D46" s="673"/>
      <c r="E46" s="575">
        <v>209607</v>
      </c>
      <c r="F46" s="576"/>
      <c r="G46" s="576"/>
      <c r="H46" s="575">
        <v>774462</v>
      </c>
      <c r="I46" s="576"/>
      <c r="J46" s="576"/>
      <c r="K46" s="575">
        <v>774462</v>
      </c>
      <c r="L46" s="576"/>
      <c r="M46" s="576"/>
      <c r="N46" s="575">
        <v>606561</v>
      </c>
      <c r="O46" s="576"/>
      <c r="P46" s="576"/>
      <c r="Q46" s="870">
        <f>167428-5+4825</f>
        <v>172248</v>
      </c>
      <c r="R46" s="871"/>
      <c r="S46" s="871"/>
      <c r="T46" s="870">
        <f>172248-5000+440+167+68376+667</f>
        <v>236898</v>
      </c>
    </row>
    <row r="47" spans="1:20" s="670" customFormat="1" x14ac:dyDescent="0.25">
      <c r="A47" s="671"/>
      <c r="B47" s="672" t="s">
        <v>339</v>
      </c>
      <c r="C47" s="673"/>
      <c r="D47" s="673"/>
      <c r="E47" s="575">
        <v>516362</v>
      </c>
      <c r="F47" s="576"/>
      <c r="G47" s="576"/>
      <c r="H47" s="575">
        <v>317410</v>
      </c>
      <c r="I47" s="576"/>
      <c r="J47" s="576"/>
      <c r="K47" s="575">
        <v>404781</v>
      </c>
      <c r="L47" s="576"/>
      <c r="M47" s="576"/>
      <c r="N47" s="575">
        <v>260153</v>
      </c>
      <c r="O47" s="576"/>
      <c r="P47" s="576"/>
      <c r="Q47" s="870">
        <v>338664</v>
      </c>
      <c r="R47" s="871"/>
      <c r="S47" s="871"/>
      <c r="T47" s="870">
        <v>338664</v>
      </c>
    </row>
    <row r="48" spans="1:20" s="670" customFormat="1" x14ac:dyDescent="0.25">
      <c r="A48" s="671"/>
      <c r="B48" s="672" t="s">
        <v>1691</v>
      </c>
      <c r="C48" s="673"/>
      <c r="D48" s="673"/>
      <c r="E48" s="575"/>
      <c r="F48" s="576"/>
      <c r="G48" s="576"/>
      <c r="H48" s="575"/>
      <c r="I48" s="576"/>
      <c r="J48" s="576"/>
      <c r="K48" s="575"/>
      <c r="L48" s="576"/>
      <c r="M48" s="576"/>
      <c r="N48" s="575"/>
      <c r="O48" s="576"/>
      <c r="P48" s="576"/>
      <c r="Q48" s="870">
        <f>+'2D Céltartalék'!F34</f>
        <v>171841</v>
      </c>
      <c r="R48" s="871"/>
      <c r="S48" s="871"/>
      <c r="T48" s="870">
        <f>+'2D Céltartalék'!G34</f>
        <v>135684</v>
      </c>
    </row>
    <row r="49" spans="1:20" s="670" customFormat="1" x14ac:dyDescent="0.25">
      <c r="A49" s="671"/>
      <c r="B49" s="672" t="s">
        <v>351</v>
      </c>
      <c r="C49" s="673"/>
      <c r="D49" s="673"/>
      <c r="E49" s="575">
        <v>884694.74</v>
      </c>
      <c r="F49" s="576"/>
      <c r="G49" s="576"/>
      <c r="H49" s="575">
        <v>1104432</v>
      </c>
      <c r="I49" s="576"/>
      <c r="J49" s="576"/>
      <c r="K49" s="575">
        <v>1343984.4</v>
      </c>
      <c r="L49" s="576"/>
      <c r="M49" s="576"/>
      <c r="N49" s="575">
        <v>1340989</v>
      </c>
      <c r="O49" s="576"/>
      <c r="P49" s="576"/>
      <c r="Q49" s="870">
        <v>0</v>
      </c>
      <c r="R49" s="871"/>
      <c r="S49" s="871"/>
      <c r="T49" s="870">
        <v>0</v>
      </c>
    </row>
    <row r="50" spans="1:20" s="670" customFormat="1" x14ac:dyDescent="0.25">
      <c r="A50" s="671"/>
      <c r="B50" s="672" t="s">
        <v>342</v>
      </c>
      <c r="C50" s="673"/>
      <c r="D50" s="673"/>
      <c r="E50" s="575">
        <v>161665</v>
      </c>
      <c r="F50" s="576"/>
      <c r="G50" s="576"/>
      <c r="H50" s="575">
        <v>133584</v>
      </c>
      <c r="I50" s="576"/>
      <c r="J50" s="576"/>
      <c r="K50" s="575">
        <v>128645</v>
      </c>
      <c r="L50" s="576"/>
      <c r="M50" s="576"/>
      <c r="N50" s="575">
        <v>87073</v>
      </c>
      <c r="O50" s="576"/>
      <c r="P50" s="576"/>
      <c r="Q50" s="575">
        <v>0</v>
      </c>
      <c r="R50" s="576"/>
      <c r="S50" s="576"/>
      <c r="T50" s="575">
        <v>0</v>
      </c>
    </row>
    <row r="51" spans="1:20" s="670" customFormat="1" x14ac:dyDescent="0.25">
      <c r="A51" s="666" t="s">
        <v>569</v>
      </c>
      <c r="B51" s="667" t="s">
        <v>705</v>
      </c>
      <c r="C51" s="673"/>
      <c r="D51" s="673"/>
      <c r="E51" s="575"/>
      <c r="F51" s="576"/>
      <c r="G51" s="576"/>
      <c r="H51" s="575"/>
      <c r="I51" s="576"/>
      <c r="J51" s="576"/>
      <c r="K51" s="575"/>
      <c r="L51" s="576"/>
      <c r="M51" s="576"/>
      <c r="N51" s="575"/>
      <c r="O51" s="576"/>
      <c r="P51" s="576"/>
      <c r="Q51" s="664">
        <f>SUM(Q52:Q56)</f>
        <v>883753</v>
      </c>
      <c r="R51" s="576"/>
      <c r="S51" s="576"/>
      <c r="T51" s="664">
        <f>SUM(T52:T56)</f>
        <v>1069744</v>
      </c>
    </row>
    <row r="52" spans="1:20" s="670" customFormat="1" x14ac:dyDescent="0.25">
      <c r="A52" s="671"/>
      <c r="B52" s="672" t="s">
        <v>286</v>
      </c>
      <c r="C52" s="673"/>
      <c r="D52" s="673"/>
      <c r="E52" s="575"/>
      <c r="F52" s="576"/>
      <c r="G52" s="576"/>
      <c r="H52" s="575"/>
      <c r="I52" s="576"/>
      <c r="J52" s="576"/>
      <c r="K52" s="575"/>
      <c r="L52" s="576"/>
      <c r="M52" s="576"/>
      <c r="N52" s="575"/>
      <c r="O52" s="576"/>
      <c r="P52" s="576"/>
      <c r="Q52" s="575"/>
      <c r="R52" s="576"/>
      <c r="S52" s="576"/>
      <c r="T52" s="575"/>
    </row>
    <row r="53" spans="1:20" s="670" customFormat="1" x14ac:dyDescent="0.25">
      <c r="A53" s="671"/>
      <c r="B53" s="672" t="s">
        <v>287</v>
      </c>
      <c r="C53" s="673"/>
      <c r="D53" s="673"/>
      <c r="E53" s="575"/>
      <c r="F53" s="576"/>
      <c r="G53" s="576"/>
      <c r="H53" s="575"/>
      <c r="I53" s="576"/>
      <c r="J53" s="576"/>
      <c r="K53" s="575"/>
      <c r="L53" s="576"/>
      <c r="M53" s="576"/>
      <c r="N53" s="575"/>
      <c r="O53" s="576"/>
      <c r="P53" s="576"/>
      <c r="Q53" s="575"/>
      <c r="R53" s="576"/>
      <c r="S53" s="576"/>
      <c r="T53" s="575"/>
    </row>
    <row r="54" spans="1:20" s="670" customFormat="1" x14ac:dyDescent="0.25">
      <c r="A54" s="671"/>
      <c r="B54" s="672" t="s">
        <v>292</v>
      </c>
      <c r="C54" s="673"/>
      <c r="D54" s="673"/>
      <c r="E54" s="575"/>
      <c r="F54" s="576"/>
      <c r="G54" s="576"/>
      <c r="H54" s="575"/>
      <c r="I54" s="576"/>
      <c r="J54" s="576"/>
      <c r="K54" s="575"/>
      <c r="L54" s="576"/>
      <c r="M54" s="576"/>
      <c r="N54" s="575"/>
      <c r="O54" s="576"/>
      <c r="P54" s="576"/>
      <c r="Q54" s="575">
        <v>900</v>
      </c>
      <c r="R54" s="576"/>
      <c r="S54" s="576"/>
      <c r="T54" s="575">
        <f>900+559+4400+6500+1685</f>
        <v>14044</v>
      </c>
    </row>
    <row r="55" spans="1:20" s="670" customFormat="1" x14ac:dyDescent="0.25">
      <c r="A55" s="671"/>
      <c r="B55" s="672" t="s">
        <v>351</v>
      </c>
      <c r="C55" s="673"/>
      <c r="D55" s="673"/>
      <c r="E55" s="575"/>
      <c r="F55" s="576"/>
      <c r="G55" s="576"/>
      <c r="H55" s="575"/>
      <c r="I55" s="576"/>
      <c r="J55" s="576"/>
      <c r="K55" s="575"/>
      <c r="L55" s="576"/>
      <c r="M55" s="576"/>
      <c r="N55" s="575"/>
      <c r="O55" s="576"/>
      <c r="P55" s="576"/>
      <c r="Q55" s="575">
        <v>563671</v>
      </c>
      <c r="R55" s="576"/>
      <c r="S55" s="576"/>
      <c r="T55" s="575">
        <f>563671+116+953+5247+14412+154+70000+28000+34000+8000+18923-1000-12000</f>
        <v>730476</v>
      </c>
    </row>
    <row r="56" spans="1:20" s="670" customFormat="1" x14ac:dyDescent="0.25">
      <c r="A56" s="671"/>
      <c r="B56" s="672" t="s">
        <v>342</v>
      </c>
      <c r="C56" s="673"/>
      <c r="D56" s="673"/>
      <c r="E56" s="575"/>
      <c r="F56" s="576"/>
      <c r="G56" s="576"/>
      <c r="H56" s="575"/>
      <c r="I56" s="576"/>
      <c r="J56" s="576"/>
      <c r="K56" s="575"/>
      <c r="L56" s="576"/>
      <c r="M56" s="576"/>
      <c r="N56" s="575"/>
      <c r="O56" s="576"/>
      <c r="P56" s="576"/>
      <c r="Q56" s="575">
        <v>319182</v>
      </c>
      <c r="R56" s="576"/>
      <c r="S56" s="576"/>
      <c r="T56" s="575">
        <f>319182+2984-4400-6500+2445+199+1000+12000-1685-1</f>
        <v>325224</v>
      </c>
    </row>
    <row r="57" spans="1:20" s="670" customFormat="1" x14ac:dyDescent="0.25">
      <c r="A57" s="666" t="s">
        <v>570</v>
      </c>
      <c r="B57" s="667" t="s">
        <v>605</v>
      </c>
      <c r="C57" s="668"/>
      <c r="D57" s="668"/>
      <c r="E57" s="664">
        <v>400</v>
      </c>
      <c r="F57" s="669"/>
      <c r="G57" s="669"/>
      <c r="H57" s="664">
        <v>400</v>
      </c>
      <c r="I57" s="669"/>
      <c r="J57" s="669"/>
      <c r="K57" s="664">
        <v>400</v>
      </c>
      <c r="L57" s="669"/>
      <c r="M57" s="669"/>
      <c r="N57" s="664">
        <v>79</v>
      </c>
      <c r="O57" s="669"/>
      <c r="P57" s="669"/>
      <c r="Q57" s="664">
        <v>508</v>
      </c>
      <c r="R57" s="669"/>
      <c r="S57" s="669"/>
      <c r="T57" s="664">
        <v>508</v>
      </c>
    </row>
    <row r="58" spans="1:20" s="670" customFormat="1" x14ac:dyDescent="0.25">
      <c r="A58" s="671"/>
      <c r="B58" s="672" t="s">
        <v>292</v>
      </c>
      <c r="C58" s="673"/>
      <c r="D58" s="673"/>
      <c r="E58" s="575">
        <v>400</v>
      </c>
      <c r="F58" s="576"/>
      <c r="G58" s="576"/>
      <c r="H58" s="575">
        <v>400</v>
      </c>
      <c r="I58" s="576"/>
      <c r="J58" s="576"/>
      <c r="K58" s="575">
        <v>400</v>
      </c>
      <c r="L58" s="576"/>
      <c r="M58" s="576"/>
      <c r="N58" s="690">
        <v>79</v>
      </c>
      <c r="O58" s="576"/>
      <c r="P58" s="576"/>
      <c r="Q58" s="575">
        <v>508</v>
      </c>
      <c r="R58" s="576"/>
      <c r="S58" s="576"/>
      <c r="T58" s="575">
        <v>508</v>
      </c>
    </row>
    <row r="59" spans="1:20" s="670" customFormat="1" x14ac:dyDescent="0.25">
      <c r="A59" s="666" t="s">
        <v>572</v>
      </c>
      <c r="B59" s="667" t="s">
        <v>706</v>
      </c>
      <c r="C59" s="668"/>
      <c r="D59" s="668"/>
      <c r="E59" s="664">
        <v>0</v>
      </c>
      <c r="F59" s="669"/>
      <c r="G59" s="669"/>
      <c r="H59" s="664">
        <v>0</v>
      </c>
      <c r="I59" s="669"/>
      <c r="J59" s="669"/>
      <c r="K59" s="664">
        <v>0</v>
      </c>
      <c r="L59" s="669"/>
      <c r="M59" s="669"/>
      <c r="N59" s="664">
        <v>19081</v>
      </c>
      <c r="O59" s="669"/>
      <c r="P59" s="669"/>
      <c r="Q59" s="664">
        <v>18000</v>
      </c>
      <c r="R59" s="669"/>
      <c r="S59" s="669"/>
      <c r="T59" s="664">
        <f>T60+T61</f>
        <v>20455</v>
      </c>
    </row>
    <row r="60" spans="1:20" s="670" customFormat="1" x14ac:dyDescent="0.25">
      <c r="A60" s="666"/>
      <c r="B60" s="672" t="s">
        <v>292</v>
      </c>
      <c r="C60" s="668"/>
      <c r="D60" s="668"/>
      <c r="E60" s="664"/>
      <c r="F60" s="669"/>
      <c r="G60" s="669"/>
      <c r="H60" s="664"/>
      <c r="I60" s="669"/>
      <c r="J60" s="669"/>
      <c r="K60" s="664"/>
      <c r="L60" s="669"/>
      <c r="M60" s="669"/>
      <c r="N60" s="575">
        <v>754</v>
      </c>
      <c r="O60" s="669"/>
      <c r="P60" s="669"/>
      <c r="Q60" s="664">
        <v>0</v>
      </c>
      <c r="R60" s="669"/>
      <c r="S60" s="669"/>
      <c r="T60" s="664">
        <v>0</v>
      </c>
    </row>
    <row r="61" spans="1:20" s="670" customFormat="1" x14ac:dyDescent="0.25">
      <c r="A61" s="671"/>
      <c r="B61" s="672" t="s">
        <v>337</v>
      </c>
      <c r="C61" s="673"/>
      <c r="D61" s="673"/>
      <c r="E61" s="575">
        <v>0</v>
      </c>
      <c r="F61" s="576"/>
      <c r="G61" s="576"/>
      <c r="H61" s="575">
        <v>0</v>
      </c>
      <c r="I61" s="576"/>
      <c r="J61" s="576"/>
      <c r="K61" s="575">
        <v>0</v>
      </c>
      <c r="L61" s="576"/>
      <c r="M61" s="576"/>
      <c r="N61" s="575">
        <v>18327</v>
      </c>
      <c r="O61" s="576"/>
      <c r="P61" s="576"/>
      <c r="Q61" s="575">
        <v>18000</v>
      </c>
      <c r="R61" s="576"/>
      <c r="S61" s="576"/>
      <c r="T61" s="575">
        <f>18000+181+2274</f>
        <v>20455</v>
      </c>
    </row>
    <row r="62" spans="1:20" s="681" customFormat="1" x14ac:dyDescent="0.25">
      <c r="A62" s="666" t="s">
        <v>573</v>
      </c>
      <c r="B62" s="667" t="s">
        <v>611</v>
      </c>
      <c r="C62" s="668"/>
      <c r="D62" s="668">
        <v>25</v>
      </c>
      <c r="E62" s="664">
        <v>10146</v>
      </c>
      <c r="F62" s="669"/>
      <c r="G62" s="669">
        <v>25</v>
      </c>
      <c r="H62" s="664">
        <v>10146</v>
      </c>
      <c r="I62" s="669"/>
      <c r="J62" s="669">
        <v>25</v>
      </c>
      <c r="K62" s="664">
        <v>10146</v>
      </c>
      <c r="L62" s="669"/>
      <c r="M62" s="669">
        <v>25</v>
      </c>
      <c r="N62" s="664">
        <v>0</v>
      </c>
      <c r="O62" s="669"/>
      <c r="P62" s="669">
        <v>10</v>
      </c>
      <c r="Q62" s="664">
        <v>2737</v>
      </c>
      <c r="R62" s="669"/>
      <c r="S62" s="669">
        <v>10</v>
      </c>
      <c r="T62" s="664">
        <v>2737</v>
      </c>
    </row>
    <row r="63" spans="1:20" s="670" customFormat="1" x14ac:dyDescent="0.25">
      <c r="A63" s="671"/>
      <c r="B63" s="672" t="s">
        <v>286</v>
      </c>
      <c r="C63" s="673"/>
      <c r="D63" s="673"/>
      <c r="E63" s="575">
        <v>8316</v>
      </c>
      <c r="F63" s="576"/>
      <c r="G63" s="576"/>
      <c r="H63" s="575">
        <v>8316</v>
      </c>
      <c r="I63" s="576"/>
      <c r="J63" s="576"/>
      <c r="K63" s="575">
        <v>8316</v>
      </c>
      <c r="L63" s="576"/>
      <c r="M63" s="576"/>
      <c r="N63" s="575"/>
      <c r="O63" s="576"/>
      <c r="P63" s="576"/>
      <c r="Q63" s="575">
        <v>2300</v>
      </c>
      <c r="R63" s="576"/>
      <c r="S63" s="576"/>
      <c r="T63" s="575">
        <v>2300</v>
      </c>
    </row>
    <row r="64" spans="1:20" s="670" customFormat="1" x14ac:dyDescent="0.25">
      <c r="A64" s="671"/>
      <c r="B64" s="672" t="s">
        <v>287</v>
      </c>
      <c r="C64" s="673"/>
      <c r="D64" s="673"/>
      <c r="E64" s="575">
        <v>1830</v>
      </c>
      <c r="F64" s="576"/>
      <c r="G64" s="576"/>
      <c r="H64" s="575">
        <v>1830</v>
      </c>
      <c r="I64" s="576"/>
      <c r="J64" s="576"/>
      <c r="K64" s="575">
        <v>1830</v>
      </c>
      <c r="L64" s="576"/>
      <c r="M64" s="576"/>
      <c r="N64" s="575"/>
      <c r="O64" s="576"/>
      <c r="P64" s="576"/>
      <c r="Q64" s="575">
        <v>437</v>
      </c>
      <c r="R64" s="576"/>
      <c r="S64" s="576"/>
      <c r="T64" s="575">
        <v>437</v>
      </c>
    </row>
    <row r="65" spans="1:20" s="670" customFormat="1" x14ac:dyDescent="0.25">
      <c r="A65" s="671"/>
      <c r="B65" s="672" t="s">
        <v>1387</v>
      </c>
      <c r="C65" s="673"/>
      <c r="D65" s="673"/>
      <c r="E65" s="575"/>
      <c r="F65" s="576"/>
      <c r="G65" s="576"/>
      <c r="H65" s="575"/>
      <c r="I65" s="576"/>
      <c r="J65" s="576"/>
      <c r="K65" s="575"/>
      <c r="L65" s="576"/>
      <c r="M65" s="576"/>
      <c r="N65" s="575"/>
      <c r="O65" s="576"/>
      <c r="P65" s="576"/>
      <c r="Q65" s="575">
        <v>0</v>
      </c>
      <c r="R65" s="576"/>
      <c r="S65" s="576"/>
      <c r="T65" s="575">
        <v>0</v>
      </c>
    </row>
    <row r="66" spans="1:20" s="670" customFormat="1" x14ac:dyDescent="0.25">
      <c r="A66" s="666" t="s">
        <v>574</v>
      </c>
      <c r="B66" s="682" t="s">
        <v>558</v>
      </c>
      <c r="C66" s="673"/>
      <c r="D66" s="673"/>
      <c r="E66" s="664">
        <v>45000</v>
      </c>
      <c r="F66" s="576"/>
      <c r="G66" s="576"/>
      <c r="H66" s="664">
        <v>92622</v>
      </c>
      <c r="I66" s="576"/>
      <c r="J66" s="576"/>
      <c r="K66" s="664">
        <v>92622</v>
      </c>
      <c r="L66" s="576"/>
      <c r="M66" s="576"/>
      <c r="N66" s="664">
        <v>85827</v>
      </c>
      <c r="O66" s="576"/>
      <c r="P66" s="576"/>
      <c r="Q66" s="664">
        <f>SUM(Q67:Q69)</f>
        <v>45000</v>
      </c>
      <c r="R66" s="576"/>
      <c r="S66" s="576"/>
      <c r="T66" s="664">
        <f>SUM(T67:T69)</f>
        <v>50139</v>
      </c>
    </row>
    <row r="67" spans="1:20" s="670" customFormat="1" x14ac:dyDescent="0.25">
      <c r="A67" s="671"/>
      <c r="B67" s="672" t="s">
        <v>292</v>
      </c>
      <c r="C67" s="673"/>
      <c r="D67" s="673"/>
      <c r="E67" s="575">
        <v>45000</v>
      </c>
      <c r="F67" s="576"/>
      <c r="G67" s="576"/>
      <c r="H67" s="575">
        <v>92622</v>
      </c>
      <c r="I67" s="576"/>
      <c r="J67" s="576"/>
      <c r="K67" s="575">
        <v>92622</v>
      </c>
      <c r="L67" s="576"/>
      <c r="M67" s="576"/>
      <c r="N67" s="575">
        <v>85827</v>
      </c>
      <c r="O67" s="576"/>
      <c r="P67" s="576"/>
      <c r="Q67" s="575">
        <v>0</v>
      </c>
      <c r="R67" s="576"/>
      <c r="S67" s="576"/>
      <c r="T67" s="575">
        <f>0+45000+5139</f>
        <v>50139</v>
      </c>
    </row>
    <row r="68" spans="1:20" s="670" customFormat="1" x14ac:dyDescent="0.25">
      <c r="A68" s="671"/>
      <c r="B68" s="672" t="s">
        <v>351</v>
      </c>
      <c r="C68" s="673"/>
      <c r="D68" s="673"/>
      <c r="E68" s="575"/>
      <c r="F68" s="576"/>
      <c r="G68" s="576"/>
      <c r="H68" s="575"/>
      <c r="I68" s="576"/>
      <c r="J68" s="576"/>
      <c r="K68" s="575"/>
      <c r="L68" s="576"/>
      <c r="M68" s="576"/>
      <c r="N68" s="575"/>
      <c r="O68" s="576"/>
      <c r="P68" s="576"/>
      <c r="Q68" s="575">
        <v>0</v>
      </c>
      <c r="R68" s="576"/>
      <c r="S68" s="576"/>
      <c r="T68" s="575">
        <v>0</v>
      </c>
    </row>
    <row r="69" spans="1:20" s="670" customFormat="1" x14ac:dyDescent="0.25">
      <c r="A69" s="671"/>
      <c r="B69" s="672" t="s">
        <v>342</v>
      </c>
      <c r="C69" s="673"/>
      <c r="D69" s="673"/>
      <c r="E69" s="575"/>
      <c r="F69" s="576"/>
      <c r="G69" s="576"/>
      <c r="H69" s="575"/>
      <c r="I69" s="576"/>
      <c r="J69" s="576"/>
      <c r="K69" s="575"/>
      <c r="L69" s="576"/>
      <c r="M69" s="576"/>
      <c r="N69" s="575"/>
      <c r="O69" s="576"/>
      <c r="P69" s="576"/>
      <c r="Q69" s="575">
        <f>80000-35000</f>
        <v>45000</v>
      </c>
      <c r="R69" s="576"/>
      <c r="S69" s="576"/>
      <c r="T69" s="575">
        <f>45000-45000</f>
        <v>0</v>
      </c>
    </row>
    <row r="70" spans="1:20" x14ac:dyDescent="0.25">
      <c r="A70" s="364" t="s">
        <v>318</v>
      </c>
      <c r="B70" s="429" t="s">
        <v>353</v>
      </c>
      <c r="C70" s="430"/>
      <c r="D70" s="430"/>
      <c r="E70" s="508">
        <v>1275714.5</v>
      </c>
      <c r="F70" s="509"/>
      <c r="G70" s="509"/>
      <c r="H70" s="508">
        <v>1398030.5</v>
      </c>
      <c r="I70" s="509"/>
      <c r="J70" s="509"/>
      <c r="K70" s="508">
        <v>1475471</v>
      </c>
      <c r="L70" s="509"/>
      <c r="M70" s="509"/>
      <c r="N70" s="508">
        <v>985367</v>
      </c>
      <c r="O70" s="509"/>
      <c r="P70" s="509"/>
      <c r="Q70" s="508">
        <f>+Q71+Q74+Q77+Q81+Q85+Q87+Q89+Q91+Q95+Q97+Q99+Q101+Q105+Q110+Q112+Q117+Q121+Q123+Q127+Q129+Q131+Q133+Q136+Q139+Q141+Q143+Q145+Q147+Q149+Q152+Q159+Q172+Q176+Q178+Q182</f>
        <v>866944</v>
      </c>
      <c r="R70" s="509"/>
      <c r="S70" s="509"/>
      <c r="T70" s="508">
        <f>+T71+T74+T77+T81+T85+T87+T89+T91+T95+T97+T99+T101+T105+T110+T112+T117+T121+T123+T127+T129+T131+T133+T136+T139+T141+T143+T145+T147+T149+T152+T159+T172+T176+T178+T182+T165</f>
        <v>983475</v>
      </c>
    </row>
    <row r="71" spans="1:20" s="441" customFormat="1" x14ac:dyDescent="0.25">
      <c r="A71" s="431" t="s">
        <v>311</v>
      </c>
      <c r="B71" s="432" t="s">
        <v>707</v>
      </c>
      <c r="C71" s="434"/>
      <c r="D71" s="434"/>
      <c r="E71" s="510">
        <v>6010</v>
      </c>
      <c r="F71" s="511"/>
      <c r="G71" s="511"/>
      <c r="H71" s="510">
        <v>8541</v>
      </c>
      <c r="I71" s="511"/>
      <c r="J71" s="511"/>
      <c r="K71" s="510">
        <v>8541</v>
      </c>
      <c r="L71" s="511"/>
      <c r="M71" s="511"/>
      <c r="N71" s="510">
        <v>6054</v>
      </c>
      <c r="O71" s="511"/>
      <c r="P71" s="511"/>
      <c r="Q71" s="510">
        <v>6786</v>
      </c>
      <c r="R71" s="511"/>
      <c r="S71" s="511"/>
      <c r="T71" s="510">
        <v>6786</v>
      </c>
    </row>
    <row r="72" spans="1:20" x14ac:dyDescent="0.25">
      <c r="A72" s="435"/>
      <c r="B72" s="418" t="s">
        <v>292</v>
      </c>
      <c r="C72" s="437"/>
      <c r="D72" s="437"/>
      <c r="E72" s="512">
        <v>6010</v>
      </c>
      <c r="F72" s="513"/>
      <c r="G72" s="513"/>
      <c r="H72" s="512">
        <v>8541</v>
      </c>
      <c r="I72" s="513"/>
      <c r="J72" s="513"/>
      <c r="K72" s="512">
        <v>8541</v>
      </c>
      <c r="L72" s="513"/>
      <c r="M72" s="513"/>
      <c r="N72" s="575">
        <v>6054</v>
      </c>
      <c r="O72" s="513"/>
      <c r="P72" s="513"/>
      <c r="Q72" s="512">
        <v>6786.3</v>
      </c>
      <c r="R72" s="513"/>
      <c r="S72" s="513"/>
      <c r="T72" s="512">
        <v>6786</v>
      </c>
    </row>
    <row r="73" spans="1:20" x14ac:dyDescent="0.25">
      <c r="A73" s="435"/>
      <c r="B73" s="418" t="s">
        <v>351</v>
      </c>
      <c r="C73" s="437"/>
      <c r="D73" s="437"/>
      <c r="E73" s="512">
        <v>0</v>
      </c>
      <c r="F73" s="513"/>
      <c r="G73" s="513"/>
      <c r="H73" s="512">
        <v>0</v>
      </c>
      <c r="I73" s="513"/>
      <c r="J73" s="513"/>
      <c r="K73" s="512">
        <v>0</v>
      </c>
      <c r="L73" s="513"/>
      <c r="M73" s="513"/>
      <c r="N73" s="512"/>
      <c r="O73" s="513"/>
      <c r="P73" s="513"/>
      <c r="Q73" s="512">
        <v>0</v>
      </c>
      <c r="R73" s="513"/>
      <c r="S73" s="513"/>
      <c r="T73" s="512">
        <v>0</v>
      </c>
    </row>
    <row r="74" spans="1:20" s="441" customFormat="1" x14ac:dyDescent="0.25">
      <c r="A74" s="431" t="s">
        <v>322</v>
      </c>
      <c r="B74" s="432" t="s">
        <v>708</v>
      </c>
      <c r="C74" s="434"/>
      <c r="D74" s="434"/>
      <c r="E74" s="510">
        <v>7050</v>
      </c>
      <c r="F74" s="511"/>
      <c r="G74" s="511"/>
      <c r="H74" s="510">
        <v>7050</v>
      </c>
      <c r="I74" s="511"/>
      <c r="J74" s="511"/>
      <c r="K74" s="510">
        <v>7050</v>
      </c>
      <c r="L74" s="511"/>
      <c r="M74" s="511"/>
      <c r="N74" s="510">
        <v>2081</v>
      </c>
      <c r="O74" s="511"/>
      <c r="P74" s="511"/>
      <c r="Q74" s="510">
        <v>5000</v>
      </c>
      <c r="R74" s="511"/>
      <c r="S74" s="511"/>
      <c r="T74" s="510">
        <v>5000</v>
      </c>
    </row>
    <row r="75" spans="1:20" x14ac:dyDescent="0.25">
      <c r="A75" s="435"/>
      <c r="B75" s="418" t="s">
        <v>292</v>
      </c>
      <c r="C75" s="437"/>
      <c r="D75" s="437"/>
      <c r="E75" s="512">
        <v>7050</v>
      </c>
      <c r="F75" s="513"/>
      <c r="G75" s="513"/>
      <c r="H75" s="512">
        <v>7050</v>
      </c>
      <c r="I75" s="513"/>
      <c r="J75" s="513"/>
      <c r="K75" s="512">
        <v>7050</v>
      </c>
      <c r="L75" s="513"/>
      <c r="M75" s="513"/>
      <c r="N75" s="575">
        <v>2081</v>
      </c>
      <c r="O75" s="513"/>
      <c r="P75" s="513"/>
      <c r="Q75" s="512">
        <v>0</v>
      </c>
      <c r="R75" s="513"/>
      <c r="S75" s="513"/>
      <c r="T75" s="512">
        <v>0</v>
      </c>
    </row>
    <row r="76" spans="1:20" x14ac:dyDescent="0.25">
      <c r="A76" s="435"/>
      <c r="B76" s="418" t="s">
        <v>351</v>
      </c>
      <c r="C76" s="437"/>
      <c r="D76" s="437"/>
      <c r="E76" s="512">
        <v>0</v>
      </c>
      <c r="F76" s="513"/>
      <c r="G76" s="513"/>
      <c r="H76" s="512">
        <v>0</v>
      </c>
      <c r="I76" s="513"/>
      <c r="J76" s="513"/>
      <c r="K76" s="512">
        <v>0</v>
      </c>
      <c r="L76" s="513"/>
      <c r="M76" s="513"/>
      <c r="N76" s="512">
        <v>0</v>
      </c>
      <c r="O76" s="513"/>
      <c r="P76" s="513"/>
      <c r="Q76" s="512">
        <v>5000</v>
      </c>
      <c r="R76" s="513"/>
      <c r="S76" s="513"/>
      <c r="T76" s="512">
        <v>5000</v>
      </c>
    </row>
    <row r="77" spans="1:20" s="441" customFormat="1" x14ac:dyDescent="0.25">
      <c r="A77" s="431" t="s">
        <v>315</v>
      </c>
      <c r="B77" s="439" t="s">
        <v>709</v>
      </c>
      <c r="C77" s="440"/>
      <c r="D77" s="440"/>
      <c r="E77" s="516">
        <v>1500</v>
      </c>
      <c r="F77" s="517"/>
      <c r="G77" s="517"/>
      <c r="H77" s="516">
        <v>1500</v>
      </c>
      <c r="I77" s="517"/>
      <c r="J77" s="517"/>
      <c r="K77" s="516">
        <v>1500</v>
      </c>
      <c r="L77" s="517"/>
      <c r="M77" s="517"/>
      <c r="N77" s="516">
        <v>454</v>
      </c>
      <c r="O77" s="517"/>
      <c r="P77" s="517"/>
      <c r="Q77" s="516">
        <v>1500</v>
      </c>
      <c r="R77" s="517"/>
      <c r="S77" s="517"/>
      <c r="T77" s="516">
        <v>1500</v>
      </c>
    </row>
    <row r="78" spans="1:20" x14ac:dyDescent="0.25">
      <c r="A78" s="435"/>
      <c r="B78" s="438" t="s">
        <v>286</v>
      </c>
      <c r="C78" s="415"/>
      <c r="D78" s="415"/>
      <c r="E78" s="514">
        <v>500</v>
      </c>
      <c r="F78" s="515"/>
      <c r="G78" s="515"/>
      <c r="H78" s="514">
        <v>500</v>
      </c>
      <c r="I78" s="515"/>
      <c r="J78" s="515"/>
      <c r="K78" s="514">
        <v>500</v>
      </c>
      <c r="L78" s="515"/>
      <c r="M78" s="515"/>
      <c r="N78" s="514">
        <v>193</v>
      </c>
      <c r="O78" s="515"/>
      <c r="P78" s="515"/>
      <c r="Q78" s="514">
        <v>500</v>
      </c>
      <c r="R78" s="515"/>
      <c r="S78" s="515"/>
      <c r="T78" s="514">
        <v>500</v>
      </c>
    </row>
    <row r="79" spans="1:20" x14ac:dyDescent="0.25">
      <c r="A79" s="435"/>
      <c r="B79" s="438" t="s">
        <v>287</v>
      </c>
      <c r="C79" s="415"/>
      <c r="D79" s="415"/>
      <c r="E79" s="514">
        <v>250</v>
      </c>
      <c r="F79" s="515"/>
      <c r="G79" s="515"/>
      <c r="H79" s="514">
        <v>250</v>
      </c>
      <c r="I79" s="515"/>
      <c r="J79" s="515"/>
      <c r="K79" s="514">
        <v>250</v>
      </c>
      <c r="L79" s="515"/>
      <c r="M79" s="515"/>
      <c r="N79" s="514">
        <v>108</v>
      </c>
      <c r="O79" s="515"/>
      <c r="P79" s="515"/>
      <c r="Q79" s="514">
        <v>250</v>
      </c>
      <c r="R79" s="515"/>
      <c r="S79" s="515"/>
      <c r="T79" s="514">
        <v>250</v>
      </c>
    </row>
    <row r="80" spans="1:20" x14ac:dyDescent="0.25">
      <c r="A80" s="435"/>
      <c r="B80" s="438" t="s">
        <v>292</v>
      </c>
      <c r="C80" s="415"/>
      <c r="D80" s="415"/>
      <c r="E80" s="514">
        <v>750</v>
      </c>
      <c r="F80" s="515"/>
      <c r="G80" s="515"/>
      <c r="H80" s="514">
        <v>750</v>
      </c>
      <c r="I80" s="515"/>
      <c r="J80" s="515"/>
      <c r="K80" s="514">
        <v>750</v>
      </c>
      <c r="L80" s="515"/>
      <c r="M80" s="515"/>
      <c r="N80" s="665">
        <v>153</v>
      </c>
      <c r="O80" s="515"/>
      <c r="P80" s="515"/>
      <c r="Q80" s="514">
        <v>750</v>
      </c>
      <c r="R80" s="515"/>
      <c r="S80" s="515"/>
      <c r="T80" s="514">
        <v>750</v>
      </c>
    </row>
    <row r="81" spans="1:20" s="441" customFormat="1" x14ac:dyDescent="0.25">
      <c r="A81" s="431" t="s">
        <v>336</v>
      </c>
      <c r="B81" s="432" t="s">
        <v>1171</v>
      </c>
      <c r="C81" s="434"/>
      <c r="D81" s="434"/>
      <c r="E81" s="510">
        <v>5000</v>
      </c>
      <c r="F81" s="511"/>
      <c r="G81" s="511"/>
      <c r="H81" s="510">
        <v>5000</v>
      </c>
      <c r="I81" s="511"/>
      <c r="J81" s="511"/>
      <c r="K81" s="510">
        <v>5000</v>
      </c>
      <c r="L81" s="511"/>
      <c r="M81" s="511"/>
      <c r="N81" s="510">
        <v>2940</v>
      </c>
      <c r="O81" s="511"/>
      <c r="P81" s="511"/>
      <c r="Q81" s="510">
        <v>4000</v>
      </c>
      <c r="R81" s="511"/>
      <c r="S81" s="511"/>
      <c r="T81" s="510">
        <v>4000</v>
      </c>
    </row>
    <row r="82" spans="1:20" x14ac:dyDescent="0.25">
      <c r="A82" s="435"/>
      <c r="B82" s="418" t="s">
        <v>286</v>
      </c>
      <c r="C82" s="437"/>
      <c r="D82" s="437"/>
      <c r="E82" s="512">
        <v>3000</v>
      </c>
      <c r="F82" s="513"/>
      <c r="G82" s="513"/>
      <c r="H82" s="512">
        <v>3000</v>
      </c>
      <c r="I82" s="513"/>
      <c r="J82" s="513"/>
      <c r="K82" s="512">
        <v>3000</v>
      </c>
      <c r="L82" s="513"/>
      <c r="M82" s="513"/>
      <c r="N82" s="512">
        <v>990</v>
      </c>
      <c r="O82" s="513"/>
      <c r="P82" s="513"/>
      <c r="Q82" s="512">
        <v>1500</v>
      </c>
      <c r="R82" s="513"/>
      <c r="S82" s="513"/>
      <c r="T82" s="512">
        <v>1500</v>
      </c>
    </row>
    <row r="83" spans="1:20" x14ac:dyDescent="0.25">
      <c r="A83" s="435"/>
      <c r="B83" s="418" t="s">
        <v>287</v>
      </c>
      <c r="C83" s="437"/>
      <c r="D83" s="437"/>
      <c r="E83" s="512">
        <v>0</v>
      </c>
      <c r="F83" s="513"/>
      <c r="G83" s="513"/>
      <c r="H83" s="512">
        <v>0</v>
      </c>
      <c r="I83" s="513"/>
      <c r="J83" s="513"/>
      <c r="K83" s="512">
        <v>0</v>
      </c>
      <c r="L83" s="513"/>
      <c r="M83" s="513"/>
      <c r="N83" s="512"/>
      <c r="O83" s="513"/>
      <c r="P83" s="513"/>
      <c r="Q83" s="512">
        <v>0</v>
      </c>
      <c r="R83" s="513"/>
      <c r="S83" s="513"/>
      <c r="T83" s="512">
        <v>0</v>
      </c>
    </row>
    <row r="84" spans="1:20" x14ac:dyDescent="0.25">
      <c r="A84" s="435"/>
      <c r="B84" s="418" t="s">
        <v>1282</v>
      </c>
      <c r="C84" s="437"/>
      <c r="D84" s="437"/>
      <c r="E84" s="512">
        <v>2000</v>
      </c>
      <c r="F84" s="513"/>
      <c r="G84" s="513"/>
      <c r="H84" s="512">
        <v>2000</v>
      </c>
      <c r="I84" s="513"/>
      <c r="J84" s="513"/>
      <c r="K84" s="512">
        <v>2000</v>
      </c>
      <c r="L84" s="513"/>
      <c r="M84" s="513"/>
      <c r="N84" s="575">
        <v>1950</v>
      </c>
      <c r="O84" s="513"/>
      <c r="P84" s="513"/>
      <c r="Q84" s="512">
        <v>2500</v>
      </c>
      <c r="R84" s="513"/>
      <c r="S84" s="513"/>
      <c r="T84" s="512">
        <v>2500</v>
      </c>
    </row>
    <row r="85" spans="1:20" s="441" customFormat="1" x14ac:dyDescent="0.25">
      <c r="A85" s="431" t="s">
        <v>338</v>
      </c>
      <c r="B85" s="432" t="s">
        <v>710</v>
      </c>
      <c r="C85" s="434"/>
      <c r="D85" s="434"/>
      <c r="E85" s="510">
        <v>2811</v>
      </c>
      <c r="F85" s="511"/>
      <c r="G85" s="511"/>
      <c r="H85" s="510">
        <v>2811</v>
      </c>
      <c r="I85" s="511"/>
      <c r="J85" s="511"/>
      <c r="K85" s="510">
        <v>2811</v>
      </c>
      <c r="L85" s="511"/>
      <c r="M85" s="511"/>
      <c r="N85" s="510">
        <v>1099</v>
      </c>
      <c r="O85" s="511"/>
      <c r="P85" s="511"/>
      <c r="Q85" s="510">
        <v>6308</v>
      </c>
      <c r="R85" s="511"/>
      <c r="S85" s="511"/>
      <c r="T85" s="510">
        <f>T86</f>
        <v>6673</v>
      </c>
    </row>
    <row r="86" spans="1:20" x14ac:dyDescent="0.25">
      <c r="A86" s="435"/>
      <c r="B86" s="418" t="s">
        <v>292</v>
      </c>
      <c r="C86" s="437"/>
      <c r="D86" s="437"/>
      <c r="E86" s="512">
        <v>2811</v>
      </c>
      <c r="F86" s="513"/>
      <c r="G86" s="513"/>
      <c r="H86" s="512">
        <v>2811</v>
      </c>
      <c r="I86" s="513"/>
      <c r="J86" s="513"/>
      <c r="K86" s="512">
        <v>2811</v>
      </c>
      <c r="L86" s="513"/>
      <c r="M86" s="513"/>
      <c r="N86" s="575">
        <v>1099</v>
      </c>
      <c r="O86" s="513"/>
      <c r="P86" s="871"/>
      <c r="Q86" s="870">
        <v>6308</v>
      </c>
      <c r="R86" s="871"/>
      <c r="S86" s="871"/>
      <c r="T86" s="870">
        <f>6308+365</f>
        <v>6673</v>
      </c>
    </row>
    <row r="87" spans="1:20" s="441" customFormat="1" x14ac:dyDescent="0.25">
      <c r="A87" s="431" t="s">
        <v>560</v>
      </c>
      <c r="B87" s="432" t="s">
        <v>711</v>
      </c>
      <c r="C87" s="434"/>
      <c r="D87" s="434"/>
      <c r="E87" s="510">
        <v>1595</v>
      </c>
      <c r="F87" s="511"/>
      <c r="G87" s="511"/>
      <c r="H87" s="510">
        <v>1595</v>
      </c>
      <c r="I87" s="511"/>
      <c r="J87" s="511"/>
      <c r="K87" s="510">
        <v>1595</v>
      </c>
      <c r="L87" s="511"/>
      <c r="M87" s="511"/>
      <c r="N87" s="510">
        <v>2339</v>
      </c>
      <c r="O87" s="511"/>
      <c r="P87" s="872"/>
      <c r="Q87" s="873">
        <v>6350</v>
      </c>
      <c r="R87" s="872"/>
      <c r="S87" s="872"/>
      <c r="T87" s="873">
        <v>6350</v>
      </c>
    </row>
    <row r="88" spans="1:20" x14ac:dyDescent="0.25">
      <c r="A88" s="435"/>
      <c r="B88" s="418" t="s">
        <v>292</v>
      </c>
      <c r="C88" s="437"/>
      <c r="D88" s="437"/>
      <c r="E88" s="512">
        <v>1595</v>
      </c>
      <c r="F88" s="513"/>
      <c r="G88" s="513"/>
      <c r="H88" s="512">
        <v>1595</v>
      </c>
      <c r="I88" s="513"/>
      <c r="J88" s="513"/>
      <c r="K88" s="512">
        <v>1595</v>
      </c>
      <c r="L88" s="513"/>
      <c r="M88" s="513"/>
      <c r="N88" s="575">
        <v>2339</v>
      </c>
      <c r="O88" s="513"/>
      <c r="P88" s="871"/>
      <c r="Q88" s="870">
        <v>6350</v>
      </c>
      <c r="R88" s="871"/>
      <c r="S88" s="871"/>
      <c r="T88" s="870">
        <v>6350</v>
      </c>
    </row>
    <row r="89" spans="1:20" s="659" customFormat="1" ht="14.95" x14ac:dyDescent="0.25">
      <c r="A89" s="431" t="s">
        <v>562</v>
      </c>
      <c r="B89" s="432" t="s">
        <v>712</v>
      </c>
      <c r="C89" s="434"/>
      <c r="D89" s="434"/>
      <c r="E89" s="510">
        <v>3500</v>
      </c>
      <c r="F89" s="511"/>
      <c r="G89" s="511"/>
      <c r="H89" s="510">
        <v>3642</v>
      </c>
      <c r="I89" s="511"/>
      <c r="J89" s="511"/>
      <c r="K89" s="510">
        <v>3500</v>
      </c>
      <c r="L89" s="511"/>
      <c r="M89" s="511"/>
      <c r="N89" s="510">
        <v>3680</v>
      </c>
      <c r="O89" s="511"/>
      <c r="P89" s="872"/>
      <c r="Q89" s="873">
        <f>+Q90</f>
        <v>4680</v>
      </c>
      <c r="R89" s="872"/>
      <c r="S89" s="872"/>
      <c r="T89" s="873">
        <f>+T90</f>
        <v>4680</v>
      </c>
    </row>
    <row r="90" spans="1:20" x14ac:dyDescent="0.25">
      <c r="A90" s="435"/>
      <c r="B90" s="418" t="s">
        <v>292</v>
      </c>
      <c r="C90" s="437"/>
      <c r="D90" s="437"/>
      <c r="E90" s="512">
        <v>3500</v>
      </c>
      <c r="F90" s="513"/>
      <c r="G90" s="513"/>
      <c r="H90" s="512">
        <v>3642</v>
      </c>
      <c r="I90" s="513"/>
      <c r="J90" s="513"/>
      <c r="K90" s="512">
        <v>3500</v>
      </c>
      <c r="L90" s="513"/>
      <c r="M90" s="513"/>
      <c r="N90" s="575">
        <v>3680</v>
      </c>
      <c r="O90" s="513"/>
      <c r="P90" s="871"/>
      <c r="Q90" s="870">
        <f>3680+1000</f>
        <v>4680</v>
      </c>
      <c r="R90" s="871"/>
      <c r="S90" s="871"/>
      <c r="T90" s="870">
        <f>3680+1000</f>
        <v>4680</v>
      </c>
    </row>
    <row r="91" spans="1:20" s="442" customFormat="1" x14ac:dyDescent="0.25">
      <c r="A91" s="431" t="s">
        <v>564</v>
      </c>
      <c r="B91" s="439" t="s">
        <v>713</v>
      </c>
      <c r="C91" s="440"/>
      <c r="D91" s="440"/>
      <c r="E91" s="516">
        <v>1000</v>
      </c>
      <c r="F91" s="517"/>
      <c r="G91" s="517"/>
      <c r="H91" s="516">
        <v>1000</v>
      </c>
      <c r="I91" s="517"/>
      <c r="J91" s="517"/>
      <c r="K91" s="516">
        <v>1000</v>
      </c>
      <c r="L91" s="517"/>
      <c r="M91" s="517"/>
      <c r="N91" s="516">
        <v>630</v>
      </c>
      <c r="O91" s="517"/>
      <c r="P91" s="874"/>
      <c r="Q91" s="875">
        <f>+Q92</f>
        <v>1372</v>
      </c>
      <c r="R91" s="874"/>
      <c r="S91" s="874"/>
      <c r="T91" s="875">
        <f>+T92</f>
        <v>1372</v>
      </c>
    </row>
    <row r="92" spans="1:20" s="443" customFormat="1" x14ac:dyDescent="0.25">
      <c r="A92" s="435"/>
      <c r="B92" s="438" t="s">
        <v>292</v>
      </c>
      <c r="C92" s="415"/>
      <c r="D92" s="415"/>
      <c r="E92" s="514">
        <v>1000</v>
      </c>
      <c r="F92" s="515"/>
      <c r="G92" s="515"/>
      <c r="H92" s="514">
        <v>1000</v>
      </c>
      <c r="I92" s="515"/>
      <c r="J92" s="515"/>
      <c r="K92" s="514">
        <v>1000</v>
      </c>
      <c r="L92" s="515"/>
      <c r="M92" s="515"/>
      <c r="N92" s="665">
        <v>630</v>
      </c>
      <c r="O92" s="515"/>
      <c r="P92" s="876"/>
      <c r="Q92" s="877">
        <v>1372</v>
      </c>
      <c r="R92" s="876"/>
      <c r="S92" s="876"/>
      <c r="T92" s="877">
        <v>1372</v>
      </c>
    </row>
    <row r="93" spans="1:20" s="441" customFormat="1" x14ac:dyDescent="0.25">
      <c r="A93" s="431" t="s">
        <v>565</v>
      </c>
      <c r="B93" s="432" t="s">
        <v>714</v>
      </c>
      <c r="C93" s="434"/>
      <c r="D93" s="434"/>
      <c r="E93" s="510">
        <v>1750</v>
      </c>
      <c r="F93" s="511"/>
      <c r="G93" s="511"/>
      <c r="H93" s="510">
        <v>875</v>
      </c>
      <c r="I93" s="511"/>
      <c r="J93" s="511"/>
      <c r="K93" s="510">
        <v>1750</v>
      </c>
      <c r="L93" s="511"/>
      <c r="M93" s="511"/>
      <c r="N93" s="510">
        <v>875</v>
      </c>
      <c r="O93" s="511"/>
      <c r="P93" s="872"/>
      <c r="Q93" s="873">
        <v>0</v>
      </c>
      <c r="R93" s="872"/>
      <c r="S93" s="872"/>
      <c r="T93" s="873">
        <v>0</v>
      </c>
    </row>
    <row r="94" spans="1:20" x14ac:dyDescent="0.25">
      <c r="A94" s="435"/>
      <c r="B94" s="418" t="s">
        <v>292</v>
      </c>
      <c r="C94" s="437"/>
      <c r="D94" s="437"/>
      <c r="E94" s="512">
        <v>1750</v>
      </c>
      <c r="F94" s="513"/>
      <c r="G94" s="513"/>
      <c r="H94" s="512">
        <v>875</v>
      </c>
      <c r="I94" s="513"/>
      <c r="J94" s="513"/>
      <c r="K94" s="512">
        <v>1750</v>
      </c>
      <c r="L94" s="513"/>
      <c r="M94" s="513"/>
      <c r="N94" s="575">
        <v>875</v>
      </c>
      <c r="O94" s="513"/>
      <c r="P94" s="871"/>
      <c r="Q94" s="870">
        <v>0</v>
      </c>
      <c r="R94" s="871"/>
      <c r="S94" s="871"/>
      <c r="T94" s="870">
        <v>0</v>
      </c>
    </row>
    <row r="95" spans="1:20" s="441" customFormat="1" x14ac:dyDescent="0.25">
      <c r="A95" s="431" t="s">
        <v>567</v>
      </c>
      <c r="B95" s="432" t="s">
        <v>715</v>
      </c>
      <c r="C95" s="434"/>
      <c r="D95" s="434"/>
      <c r="E95" s="510">
        <v>1829</v>
      </c>
      <c r="F95" s="511"/>
      <c r="G95" s="511"/>
      <c r="H95" s="510">
        <v>1829</v>
      </c>
      <c r="I95" s="511"/>
      <c r="J95" s="511"/>
      <c r="K95" s="510">
        <v>1829</v>
      </c>
      <c r="L95" s="511"/>
      <c r="M95" s="511"/>
      <c r="N95" s="510">
        <v>1829</v>
      </c>
      <c r="O95" s="511"/>
      <c r="P95" s="872"/>
      <c r="Q95" s="873">
        <v>1829</v>
      </c>
      <c r="R95" s="872"/>
      <c r="S95" s="872"/>
      <c r="T95" s="873">
        <v>1829</v>
      </c>
    </row>
    <row r="96" spans="1:20" x14ac:dyDescent="0.25">
      <c r="A96" s="435"/>
      <c r="B96" s="418" t="s">
        <v>292</v>
      </c>
      <c r="C96" s="437"/>
      <c r="D96" s="437"/>
      <c r="E96" s="512">
        <v>1829</v>
      </c>
      <c r="F96" s="513"/>
      <c r="G96" s="513"/>
      <c r="H96" s="512">
        <v>1829</v>
      </c>
      <c r="I96" s="513"/>
      <c r="J96" s="513"/>
      <c r="K96" s="512">
        <v>1829</v>
      </c>
      <c r="L96" s="513"/>
      <c r="M96" s="513"/>
      <c r="N96" s="575">
        <v>1829</v>
      </c>
      <c r="O96" s="513"/>
      <c r="P96" s="513"/>
      <c r="Q96" s="512">
        <v>1829</v>
      </c>
      <c r="R96" s="513"/>
      <c r="S96" s="513"/>
      <c r="T96" s="512">
        <v>1829</v>
      </c>
    </row>
    <row r="97" spans="1:20" s="441" customFormat="1" x14ac:dyDescent="0.25">
      <c r="A97" s="431" t="s">
        <v>569</v>
      </c>
      <c r="B97" s="432" t="s">
        <v>716</v>
      </c>
      <c r="C97" s="434"/>
      <c r="D97" s="434"/>
      <c r="E97" s="510">
        <v>2421</v>
      </c>
      <c r="F97" s="511"/>
      <c r="G97" s="511"/>
      <c r="H97" s="510">
        <v>2421</v>
      </c>
      <c r="I97" s="511"/>
      <c r="J97" s="511"/>
      <c r="K97" s="510">
        <v>2421</v>
      </c>
      <c r="L97" s="511"/>
      <c r="M97" s="511"/>
      <c r="N97" s="510">
        <v>2420</v>
      </c>
      <c r="O97" s="511"/>
      <c r="P97" s="511"/>
      <c r="Q97" s="510">
        <v>2420</v>
      </c>
      <c r="R97" s="511"/>
      <c r="S97" s="511"/>
      <c r="T97" s="510">
        <v>2420</v>
      </c>
    </row>
    <row r="98" spans="1:20" x14ac:dyDescent="0.25">
      <c r="A98" s="435"/>
      <c r="B98" s="418" t="s">
        <v>292</v>
      </c>
      <c r="C98" s="437"/>
      <c r="D98" s="437"/>
      <c r="E98" s="512">
        <v>2421</v>
      </c>
      <c r="F98" s="513"/>
      <c r="G98" s="513"/>
      <c r="H98" s="512">
        <v>2421</v>
      </c>
      <c r="I98" s="513"/>
      <c r="J98" s="513"/>
      <c r="K98" s="512">
        <v>2421</v>
      </c>
      <c r="L98" s="513"/>
      <c r="M98" s="513"/>
      <c r="N98" s="575">
        <v>2420</v>
      </c>
      <c r="O98" s="513"/>
      <c r="P98" s="513"/>
      <c r="Q98" s="512">
        <v>2420</v>
      </c>
      <c r="R98" s="513"/>
      <c r="S98" s="513"/>
      <c r="T98" s="512">
        <v>2420</v>
      </c>
    </row>
    <row r="99" spans="1:20" s="659" customFormat="1" x14ac:dyDescent="0.25">
      <c r="A99" s="431" t="s">
        <v>570</v>
      </c>
      <c r="B99" s="667" t="s">
        <v>717</v>
      </c>
      <c r="C99" s="668"/>
      <c r="D99" s="668"/>
      <c r="E99" s="664">
        <v>2400</v>
      </c>
      <c r="F99" s="669"/>
      <c r="G99" s="669"/>
      <c r="H99" s="664">
        <v>2400</v>
      </c>
      <c r="I99" s="669"/>
      <c r="J99" s="669"/>
      <c r="K99" s="664">
        <v>2400</v>
      </c>
      <c r="L99" s="669"/>
      <c r="M99" s="669"/>
      <c r="N99" s="664">
        <v>1008</v>
      </c>
      <c r="O99" s="669"/>
      <c r="P99" s="669"/>
      <c r="Q99" s="664">
        <v>2400</v>
      </c>
      <c r="R99" s="669"/>
      <c r="S99" s="669"/>
      <c r="T99" s="664">
        <v>2400</v>
      </c>
    </row>
    <row r="100" spans="1:20" s="660" customFormat="1" x14ac:dyDescent="0.25">
      <c r="A100" s="661"/>
      <c r="B100" s="672" t="s">
        <v>292</v>
      </c>
      <c r="C100" s="673"/>
      <c r="D100" s="673"/>
      <c r="E100" s="575">
        <v>2400</v>
      </c>
      <c r="F100" s="576"/>
      <c r="G100" s="576"/>
      <c r="H100" s="575">
        <v>2400</v>
      </c>
      <c r="I100" s="576"/>
      <c r="J100" s="576"/>
      <c r="K100" s="575">
        <v>2400</v>
      </c>
      <c r="L100" s="576"/>
      <c r="M100" s="576"/>
      <c r="N100" s="575">
        <v>1008</v>
      </c>
      <c r="O100" s="576"/>
      <c r="P100" s="576"/>
      <c r="Q100" s="575">
        <v>2400</v>
      </c>
      <c r="R100" s="576"/>
      <c r="S100" s="576"/>
      <c r="T100" s="575">
        <v>2400</v>
      </c>
    </row>
    <row r="101" spans="1:20" s="441" customFormat="1" x14ac:dyDescent="0.25">
      <c r="A101" s="431" t="s">
        <v>572</v>
      </c>
      <c r="B101" s="667" t="s">
        <v>718</v>
      </c>
      <c r="C101" s="668"/>
      <c r="D101" s="668"/>
      <c r="E101" s="664">
        <v>1500</v>
      </c>
      <c r="F101" s="669"/>
      <c r="G101" s="669"/>
      <c r="H101" s="664">
        <v>1500</v>
      </c>
      <c r="I101" s="669"/>
      <c r="J101" s="669"/>
      <c r="K101" s="664">
        <v>1500</v>
      </c>
      <c r="L101" s="669"/>
      <c r="M101" s="669"/>
      <c r="N101" s="664">
        <v>1178</v>
      </c>
      <c r="O101" s="669"/>
      <c r="P101" s="669"/>
      <c r="Q101" s="664">
        <v>2540</v>
      </c>
      <c r="R101" s="669"/>
      <c r="S101" s="669"/>
      <c r="T101" s="664">
        <v>2540</v>
      </c>
    </row>
    <row r="102" spans="1:20" s="441" customFormat="1" x14ac:dyDescent="0.25">
      <c r="A102" s="431"/>
      <c r="B102" s="418" t="s">
        <v>286</v>
      </c>
      <c r="C102" s="668"/>
      <c r="D102" s="668"/>
      <c r="E102" s="664"/>
      <c r="F102" s="669"/>
      <c r="G102" s="669"/>
      <c r="H102" s="664"/>
      <c r="I102" s="669"/>
      <c r="J102" s="669"/>
      <c r="K102" s="664"/>
      <c r="L102" s="669"/>
      <c r="M102" s="669"/>
      <c r="N102" s="575">
        <v>330</v>
      </c>
      <c r="O102" s="669"/>
      <c r="P102" s="669"/>
      <c r="Q102" s="575">
        <v>0</v>
      </c>
      <c r="R102" s="669"/>
      <c r="S102" s="669"/>
      <c r="T102" s="575">
        <v>0</v>
      </c>
    </row>
    <row r="103" spans="1:20" s="441" customFormat="1" x14ac:dyDescent="0.25">
      <c r="A103" s="431"/>
      <c r="B103" s="418" t="s">
        <v>287</v>
      </c>
      <c r="C103" s="668"/>
      <c r="D103" s="668"/>
      <c r="E103" s="664"/>
      <c r="F103" s="669"/>
      <c r="G103" s="669"/>
      <c r="H103" s="664"/>
      <c r="I103" s="669"/>
      <c r="J103" s="669"/>
      <c r="K103" s="664"/>
      <c r="L103" s="669"/>
      <c r="M103" s="669"/>
      <c r="N103" s="575">
        <v>58</v>
      </c>
      <c r="O103" s="669"/>
      <c r="P103" s="669"/>
      <c r="Q103" s="575">
        <v>0</v>
      </c>
      <c r="R103" s="669"/>
      <c r="S103" s="669"/>
      <c r="T103" s="575">
        <v>0</v>
      </c>
    </row>
    <row r="104" spans="1:20" x14ac:dyDescent="0.25">
      <c r="A104" s="435"/>
      <c r="B104" s="672" t="s">
        <v>292</v>
      </c>
      <c r="C104" s="673"/>
      <c r="D104" s="673"/>
      <c r="E104" s="575">
        <v>1500</v>
      </c>
      <c r="F104" s="576"/>
      <c r="G104" s="576"/>
      <c r="H104" s="575">
        <v>1500</v>
      </c>
      <c r="I104" s="576"/>
      <c r="J104" s="576"/>
      <c r="K104" s="575">
        <v>1500</v>
      </c>
      <c r="L104" s="576"/>
      <c r="M104" s="576"/>
      <c r="N104" s="575">
        <v>790</v>
      </c>
      <c r="O104" s="576"/>
      <c r="P104" s="576"/>
      <c r="Q104" s="575">
        <v>2540</v>
      </c>
      <c r="R104" s="576"/>
      <c r="S104" s="576"/>
      <c r="T104" s="575">
        <v>2540</v>
      </c>
    </row>
    <row r="105" spans="1:20" s="659" customFormat="1" x14ac:dyDescent="0.25">
      <c r="A105" s="431" t="s">
        <v>573</v>
      </c>
      <c r="B105" s="667" t="s">
        <v>719</v>
      </c>
      <c r="C105" s="668"/>
      <c r="D105" s="668"/>
      <c r="E105" s="664">
        <v>37260</v>
      </c>
      <c r="F105" s="669"/>
      <c r="G105" s="669"/>
      <c r="H105" s="664">
        <v>43185</v>
      </c>
      <c r="I105" s="669"/>
      <c r="J105" s="669"/>
      <c r="K105" s="664">
        <v>43185</v>
      </c>
      <c r="L105" s="669"/>
      <c r="M105" s="669"/>
      <c r="N105" s="664">
        <v>46077</v>
      </c>
      <c r="O105" s="669"/>
      <c r="P105" s="669"/>
      <c r="Q105" s="664">
        <v>34285</v>
      </c>
      <c r="R105" s="669"/>
      <c r="S105" s="669"/>
      <c r="T105" s="664">
        <f>SUM(T106:T109)</f>
        <v>36537</v>
      </c>
    </row>
    <row r="106" spans="1:20" s="660" customFormat="1" x14ac:dyDescent="0.25">
      <c r="A106" s="661"/>
      <c r="B106" s="672" t="s">
        <v>286</v>
      </c>
      <c r="C106" s="673"/>
      <c r="D106" s="673"/>
      <c r="E106" s="575"/>
      <c r="F106" s="576"/>
      <c r="G106" s="576"/>
      <c r="H106" s="575">
        <v>0</v>
      </c>
      <c r="I106" s="576"/>
      <c r="J106" s="576"/>
      <c r="K106" s="575">
        <v>0</v>
      </c>
      <c r="L106" s="576"/>
      <c r="M106" s="576"/>
      <c r="N106" s="575">
        <v>3856</v>
      </c>
      <c r="O106" s="576"/>
      <c r="P106" s="576"/>
      <c r="Q106" s="575">
        <v>0</v>
      </c>
      <c r="R106" s="576"/>
      <c r="S106" s="576"/>
      <c r="T106" s="575">
        <v>0</v>
      </c>
    </row>
    <row r="107" spans="1:20" s="660" customFormat="1" x14ac:dyDescent="0.25">
      <c r="A107" s="661"/>
      <c r="B107" s="672" t="s">
        <v>287</v>
      </c>
      <c r="C107" s="673"/>
      <c r="D107" s="673"/>
      <c r="E107" s="575">
        <v>0</v>
      </c>
      <c r="F107" s="576"/>
      <c r="G107" s="576"/>
      <c r="H107" s="575">
        <v>0</v>
      </c>
      <c r="I107" s="576"/>
      <c r="J107" s="576"/>
      <c r="K107" s="575">
        <v>0</v>
      </c>
      <c r="L107" s="576"/>
      <c r="M107" s="576"/>
      <c r="N107" s="575">
        <v>686</v>
      </c>
      <c r="O107" s="576"/>
      <c r="P107" s="576"/>
      <c r="Q107" s="575">
        <v>0</v>
      </c>
      <c r="R107" s="576"/>
      <c r="S107" s="576"/>
      <c r="T107" s="575">
        <v>0</v>
      </c>
    </row>
    <row r="108" spans="1:20" s="660" customFormat="1" x14ac:dyDescent="0.25">
      <c r="A108" s="661"/>
      <c r="B108" s="672" t="s">
        <v>292</v>
      </c>
      <c r="C108" s="673"/>
      <c r="D108" s="673"/>
      <c r="E108" s="575">
        <v>37260</v>
      </c>
      <c r="F108" s="576"/>
      <c r="G108" s="576"/>
      <c r="H108" s="575">
        <v>43185</v>
      </c>
      <c r="I108" s="576"/>
      <c r="J108" s="576"/>
      <c r="K108" s="575">
        <v>43185</v>
      </c>
      <c r="L108" s="576"/>
      <c r="M108" s="576"/>
      <c r="N108" s="575">
        <v>41535</v>
      </c>
      <c r="O108" s="576"/>
      <c r="P108" s="576"/>
      <c r="Q108" s="575">
        <v>34285</v>
      </c>
      <c r="R108" s="576"/>
      <c r="S108" s="576"/>
      <c r="T108" s="575">
        <f>34285+2252</f>
        <v>36537</v>
      </c>
    </row>
    <row r="109" spans="1:20" s="660" customFormat="1" x14ac:dyDescent="0.25">
      <c r="A109" s="661"/>
      <c r="B109" s="672" t="s">
        <v>351</v>
      </c>
      <c r="C109" s="673"/>
      <c r="D109" s="673"/>
      <c r="E109" s="575">
        <v>0</v>
      </c>
      <c r="F109" s="576"/>
      <c r="G109" s="576"/>
      <c r="H109" s="575">
        <v>0</v>
      </c>
      <c r="I109" s="576"/>
      <c r="J109" s="576"/>
      <c r="K109" s="575">
        <v>0</v>
      </c>
      <c r="L109" s="576"/>
      <c r="M109" s="576"/>
      <c r="N109" s="575"/>
      <c r="O109" s="576"/>
      <c r="P109" s="576"/>
      <c r="Q109" s="575">
        <v>0</v>
      </c>
      <c r="R109" s="576"/>
      <c r="S109" s="576"/>
      <c r="T109" s="575">
        <v>0</v>
      </c>
    </row>
    <row r="110" spans="1:20" s="442" customFormat="1" ht="28.55" x14ac:dyDescent="0.25">
      <c r="A110" s="431" t="s">
        <v>574</v>
      </c>
      <c r="B110" s="677" t="s">
        <v>1281</v>
      </c>
      <c r="C110" s="678"/>
      <c r="D110" s="678"/>
      <c r="E110" s="679">
        <v>8163</v>
      </c>
      <c r="F110" s="680"/>
      <c r="G110" s="680"/>
      <c r="H110" s="679">
        <v>8163</v>
      </c>
      <c r="I110" s="680"/>
      <c r="J110" s="680"/>
      <c r="K110" s="679">
        <v>8163</v>
      </c>
      <c r="L110" s="680"/>
      <c r="M110" s="680"/>
      <c r="N110" s="679">
        <v>8163</v>
      </c>
      <c r="O110" s="680"/>
      <c r="P110" s="680"/>
      <c r="Q110" s="679">
        <v>8163</v>
      </c>
      <c r="R110" s="680"/>
      <c r="S110" s="680"/>
      <c r="T110" s="679">
        <v>8163</v>
      </c>
    </row>
    <row r="111" spans="1:20" x14ac:dyDescent="0.25">
      <c r="A111" s="435"/>
      <c r="B111" s="418" t="s">
        <v>1282</v>
      </c>
      <c r="C111" s="437"/>
      <c r="D111" s="437"/>
      <c r="E111" s="512">
        <v>8163</v>
      </c>
      <c r="F111" s="513"/>
      <c r="G111" s="513"/>
      <c r="H111" s="512">
        <v>8163</v>
      </c>
      <c r="I111" s="513"/>
      <c r="J111" s="513"/>
      <c r="K111" s="512">
        <v>8163</v>
      </c>
      <c r="L111" s="513"/>
      <c r="M111" s="513"/>
      <c r="N111" s="575">
        <v>8163</v>
      </c>
      <c r="O111" s="513"/>
      <c r="P111" s="513"/>
      <c r="Q111" s="512">
        <v>8163</v>
      </c>
      <c r="R111" s="513"/>
      <c r="S111" s="513"/>
      <c r="T111" s="512">
        <v>8163</v>
      </c>
    </row>
    <row r="112" spans="1:20" s="441" customFormat="1" x14ac:dyDescent="0.25">
      <c r="A112" s="431" t="s">
        <v>720</v>
      </c>
      <c r="B112" s="432" t="s">
        <v>722</v>
      </c>
      <c r="C112" s="434"/>
      <c r="D112" s="434"/>
      <c r="E112" s="510">
        <v>360</v>
      </c>
      <c r="F112" s="511"/>
      <c r="G112" s="511"/>
      <c r="H112" s="510">
        <v>360</v>
      </c>
      <c r="I112" s="511"/>
      <c r="J112" s="511"/>
      <c r="K112" s="510">
        <v>360</v>
      </c>
      <c r="L112" s="511"/>
      <c r="M112" s="511"/>
      <c r="N112" s="510">
        <v>147</v>
      </c>
      <c r="O112" s="511"/>
      <c r="P112" s="511"/>
      <c r="Q112" s="510">
        <v>360</v>
      </c>
      <c r="R112" s="511"/>
      <c r="S112" s="511"/>
      <c r="T112" s="510">
        <v>360</v>
      </c>
    </row>
    <row r="113" spans="1:20" x14ac:dyDescent="0.25">
      <c r="A113" s="435"/>
      <c r="B113" s="672" t="s">
        <v>292</v>
      </c>
      <c r="C113" s="437"/>
      <c r="D113" s="437"/>
      <c r="E113" s="512"/>
      <c r="F113" s="513"/>
      <c r="G113" s="513"/>
      <c r="H113" s="512">
        <v>147</v>
      </c>
      <c r="I113" s="513"/>
      <c r="J113" s="513"/>
      <c r="K113" s="512"/>
      <c r="L113" s="513"/>
      <c r="M113" s="513"/>
      <c r="N113" s="512">
        <v>147</v>
      </c>
      <c r="O113" s="513"/>
      <c r="P113" s="513"/>
      <c r="Q113" s="512">
        <v>0</v>
      </c>
      <c r="R113" s="513"/>
      <c r="S113" s="513"/>
      <c r="T113" s="512">
        <v>0</v>
      </c>
    </row>
    <row r="114" spans="1:20" x14ac:dyDescent="0.25">
      <c r="A114" s="435"/>
      <c r="B114" s="418" t="s">
        <v>1282</v>
      </c>
      <c r="C114" s="437"/>
      <c r="D114" s="437"/>
      <c r="E114" s="512">
        <v>360</v>
      </c>
      <c r="F114" s="513"/>
      <c r="G114" s="513"/>
      <c r="H114" s="512">
        <v>213</v>
      </c>
      <c r="I114" s="513"/>
      <c r="J114" s="513"/>
      <c r="K114" s="512">
        <v>360</v>
      </c>
      <c r="L114" s="513"/>
      <c r="M114" s="513"/>
      <c r="N114" s="575"/>
      <c r="O114" s="513"/>
      <c r="P114" s="513"/>
      <c r="Q114" s="512">
        <v>360</v>
      </c>
      <c r="R114" s="513"/>
      <c r="S114" s="513"/>
      <c r="T114" s="512">
        <v>360</v>
      </c>
    </row>
    <row r="115" spans="1:20" s="441" customFormat="1" x14ac:dyDescent="0.25">
      <c r="A115" s="431" t="s">
        <v>723</v>
      </c>
      <c r="B115" s="432" t="s">
        <v>724</v>
      </c>
      <c r="C115" s="434"/>
      <c r="D115" s="434"/>
      <c r="E115" s="510">
        <v>0</v>
      </c>
      <c r="F115" s="511"/>
      <c r="G115" s="511"/>
      <c r="H115" s="510">
        <v>0</v>
      </c>
      <c r="I115" s="511"/>
      <c r="J115" s="511"/>
      <c r="K115" s="510">
        <v>0</v>
      </c>
      <c r="L115" s="511"/>
      <c r="M115" s="511"/>
      <c r="N115" s="510">
        <v>0</v>
      </c>
      <c r="O115" s="511"/>
      <c r="P115" s="511"/>
      <c r="Q115" s="510">
        <v>0</v>
      </c>
      <c r="R115" s="511"/>
      <c r="S115" s="511"/>
      <c r="T115" s="510">
        <v>0</v>
      </c>
    </row>
    <row r="116" spans="1:20" x14ac:dyDescent="0.25">
      <c r="A116" s="435"/>
      <c r="B116" s="418" t="s">
        <v>292</v>
      </c>
      <c r="C116" s="437"/>
      <c r="D116" s="437"/>
      <c r="E116" s="512">
        <v>0</v>
      </c>
      <c r="F116" s="513"/>
      <c r="G116" s="513"/>
      <c r="H116" s="512">
        <v>0</v>
      </c>
      <c r="I116" s="513"/>
      <c r="J116" s="513"/>
      <c r="K116" s="512">
        <v>0</v>
      </c>
      <c r="L116" s="513"/>
      <c r="M116" s="513"/>
      <c r="N116" s="575">
        <v>0</v>
      </c>
      <c r="O116" s="513"/>
      <c r="P116" s="513"/>
      <c r="Q116" s="512">
        <v>0</v>
      </c>
      <c r="R116" s="513"/>
      <c r="S116" s="513"/>
      <c r="T116" s="512">
        <v>0</v>
      </c>
    </row>
    <row r="117" spans="1:20" s="441" customFormat="1" ht="28.55" x14ac:dyDescent="0.25">
      <c r="A117" s="431" t="s">
        <v>721</v>
      </c>
      <c r="B117" s="444" t="s">
        <v>1359</v>
      </c>
      <c r="C117" s="434"/>
      <c r="D117" s="434"/>
      <c r="E117" s="510">
        <v>31064</v>
      </c>
      <c r="F117" s="511"/>
      <c r="G117" s="511"/>
      <c r="H117" s="510">
        <v>26224</v>
      </c>
      <c r="I117" s="511"/>
      <c r="J117" s="511"/>
      <c r="K117" s="510">
        <v>30683</v>
      </c>
      <c r="L117" s="511"/>
      <c r="M117" s="511"/>
      <c r="N117" s="510">
        <v>26224</v>
      </c>
      <c r="O117" s="511"/>
      <c r="P117" s="511"/>
      <c r="Q117" s="510">
        <v>32000</v>
      </c>
      <c r="R117" s="511"/>
      <c r="S117" s="511"/>
      <c r="T117" s="510">
        <v>32000</v>
      </c>
    </row>
    <row r="118" spans="1:20" x14ac:dyDescent="0.25">
      <c r="A118" s="435"/>
      <c r="B118" s="418" t="s">
        <v>1282</v>
      </c>
      <c r="C118" s="437"/>
      <c r="D118" s="437"/>
      <c r="E118" s="512">
        <v>31064</v>
      </c>
      <c r="F118" s="513"/>
      <c r="G118" s="513"/>
      <c r="H118" s="512">
        <v>26224</v>
      </c>
      <c r="I118" s="513"/>
      <c r="J118" s="513"/>
      <c r="K118" s="512">
        <v>30683</v>
      </c>
      <c r="L118" s="513"/>
      <c r="M118" s="513"/>
      <c r="N118" s="575">
        <v>26224</v>
      </c>
      <c r="O118" s="513"/>
      <c r="P118" s="513"/>
      <c r="Q118" s="512">
        <v>32000</v>
      </c>
      <c r="R118" s="513"/>
      <c r="S118" s="513"/>
      <c r="T118" s="512">
        <v>32000</v>
      </c>
    </row>
    <row r="119" spans="1:20" x14ac:dyDescent="0.25">
      <c r="A119" s="435"/>
      <c r="B119" s="418" t="s">
        <v>1352</v>
      </c>
      <c r="C119" s="437"/>
      <c r="D119" s="437"/>
      <c r="E119" s="512">
        <v>5000</v>
      </c>
      <c r="F119" s="513"/>
      <c r="G119" s="513"/>
      <c r="H119" s="512">
        <v>5000</v>
      </c>
      <c r="I119" s="513"/>
      <c r="J119" s="513"/>
      <c r="K119" s="512">
        <v>5000</v>
      </c>
      <c r="L119" s="513"/>
      <c r="M119" s="513"/>
      <c r="N119" s="512"/>
      <c r="O119" s="513"/>
      <c r="P119" s="513"/>
      <c r="Q119" s="512">
        <v>5000</v>
      </c>
      <c r="R119" s="513"/>
      <c r="S119" s="513"/>
      <c r="T119" s="512">
        <v>5000</v>
      </c>
    </row>
    <row r="120" spans="1:20" x14ac:dyDescent="0.25">
      <c r="A120" s="435"/>
      <c r="B120" s="418" t="s">
        <v>1353</v>
      </c>
      <c r="C120" s="437"/>
      <c r="D120" s="437"/>
      <c r="E120" s="512">
        <v>26064</v>
      </c>
      <c r="F120" s="513"/>
      <c r="G120" s="513"/>
      <c r="H120" s="512">
        <v>21224</v>
      </c>
      <c r="I120" s="513"/>
      <c r="J120" s="513"/>
      <c r="K120" s="512">
        <v>21224</v>
      </c>
      <c r="L120" s="513"/>
      <c r="M120" s="513"/>
      <c r="N120" s="512"/>
      <c r="O120" s="513"/>
      <c r="P120" s="513"/>
      <c r="Q120" s="512">
        <v>27000</v>
      </c>
      <c r="R120" s="513"/>
      <c r="S120" s="513"/>
      <c r="T120" s="512">
        <v>27000</v>
      </c>
    </row>
    <row r="121" spans="1:20" s="441" customFormat="1" x14ac:dyDescent="0.25">
      <c r="A121" s="431" t="s">
        <v>723</v>
      </c>
      <c r="B121" s="432" t="s">
        <v>727</v>
      </c>
      <c r="C121" s="434"/>
      <c r="D121" s="434"/>
      <c r="E121" s="510">
        <v>2000</v>
      </c>
      <c r="F121" s="511"/>
      <c r="G121" s="511"/>
      <c r="H121" s="510">
        <v>2100</v>
      </c>
      <c r="I121" s="511"/>
      <c r="J121" s="511"/>
      <c r="K121" s="510">
        <v>2100</v>
      </c>
      <c r="L121" s="511"/>
      <c r="M121" s="511"/>
      <c r="N121" s="510">
        <v>2100</v>
      </c>
      <c r="O121" s="511"/>
      <c r="P121" s="511"/>
      <c r="Q121" s="510">
        <v>2000</v>
      </c>
      <c r="R121" s="511"/>
      <c r="S121" s="511"/>
      <c r="T121" s="510">
        <v>2000</v>
      </c>
    </row>
    <row r="122" spans="1:20" x14ac:dyDescent="0.25">
      <c r="A122" s="435"/>
      <c r="B122" s="418" t="s">
        <v>1282</v>
      </c>
      <c r="C122" s="437"/>
      <c r="D122" s="437"/>
      <c r="E122" s="512">
        <v>2000</v>
      </c>
      <c r="F122" s="513"/>
      <c r="G122" s="513"/>
      <c r="H122" s="512">
        <v>2100</v>
      </c>
      <c r="I122" s="513"/>
      <c r="J122" s="513"/>
      <c r="K122" s="512">
        <v>2100</v>
      </c>
      <c r="L122" s="513"/>
      <c r="M122" s="513"/>
      <c r="N122" s="575">
        <v>2100</v>
      </c>
      <c r="O122" s="513"/>
      <c r="P122" s="513"/>
      <c r="Q122" s="512">
        <v>2000</v>
      </c>
      <c r="R122" s="513"/>
      <c r="S122" s="513"/>
      <c r="T122" s="512">
        <v>2000</v>
      </c>
    </row>
    <row r="123" spans="1:20" s="441" customFormat="1" x14ac:dyDescent="0.25">
      <c r="A123" s="431" t="s">
        <v>725</v>
      </c>
      <c r="B123" s="432" t="s">
        <v>729</v>
      </c>
      <c r="C123" s="434"/>
      <c r="D123" s="434"/>
      <c r="E123" s="510">
        <v>200</v>
      </c>
      <c r="F123" s="511"/>
      <c r="G123" s="511"/>
      <c r="H123" s="510">
        <v>200</v>
      </c>
      <c r="I123" s="511"/>
      <c r="J123" s="511"/>
      <c r="K123" s="510">
        <v>200</v>
      </c>
      <c r="L123" s="511"/>
      <c r="M123" s="511"/>
      <c r="N123" s="510">
        <v>200</v>
      </c>
      <c r="O123" s="511"/>
      <c r="P123" s="511"/>
      <c r="Q123" s="510">
        <f>+Q124</f>
        <v>200</v>
      </c>
      <c r="R123" s="511"/>
      <c r="S123" s="511"/>
      <c r="T123" s="510">
        <f>+T124</f>
        <v>200</v>
      </c>
    </row>
    <row r="124" spans="1:20" x14ac:dyDescent="0.25">
      <c r="A124" s="435"/>
      <c r="B124" s="418" t="s">
        <v>1282</v>
      </c>
      <c r="C124" s="437"/>
      <c r="D124" s="437"/>
      <c r="E124" s="512">
        <v>200</v>
      </c>
      <c r="F124" s="513"/>
      <c r="G124" s="513"/>
      <c r="H124" s="512">
        <v>200</v>
      </c>
      <c r="I124" s="513"/>
      <c r="J124" s="513"/>
      <c r="K124" s="512">
        <v>200</v>
      </c>
      <c r="L124" s="513"/>
      <c r="M124" s="513"/>
      <c r="N124" s="575">
        <v>200</v>
      </c>
      <c r="O124" s="513"/>
      <c r="P124" s="513"/>
      <c r="Q124" s="512">
        <v>200</v>
      </c>
      <c r="R124" s="513"/>
      <c r="S124" s="513"/>
      <c r="T124" s="512">
        <v>200</v>
      </c>
    </row>
    <row r="125" spans="1:20" s="441" customFormat="1" x14ac:dyDescent="0.25">
      <c r="A125" s="431" t="s">
        <v>730</v>
      </c>
      <c r="B125" s="432" t="s">
        <v>731</v>
      </c>
      <c r="C125" s="434"/>
      <c r="D125" s="434"/>
      <c r="E125" s="510">
        <v>0</v>
      </c>
      <c r="F125" s="511"/>
      <c r="G125" s="511"/>
      <c r="H125" s="510">
        <v>0</v>
      </c>
      <c r="I125" s="511"/>
      <c r="J125" s="511"/>
      <c r="K125" s="510">
        <v>0</v>
      </c>
      <c r="L125" s="511"/>
      <c r="M125" s="511"/>
      <c r="N125" s="664">
        <v>0</v>
      </c>
      <c r="O125" s="511"/>
      <c r="P125" s="511"/>
      <c r="Q125" s="510">
        <v>0</v>
      </c>
      <c r="R125" s="511"/>
      <c r="S125" s="511"/>
      <c r="T125" s="510">
        <v>0</v>
      </c>
    </row>
    <row r="126" spans="1:20" x14ac:dyDescent="0.25">
      <c r="A126" s="435"/>
      <c r="B126" s="418" t="s">
        <v>1282</v>
      </c>
      <c r="C126" s="437"/>
      <c r="D126" s="437"/>
      <c r="E126" s="512">
        <v>0</v>
      </c>
      <c r="F126" s="513"/>
      <c r="G126" s="513"/>
      <c r="H126" s="512">
        <v>0</v>
      </c>
      <c r="I126" s="513"/>
      <c r="J126" s="513"/>
      <c r="K126" s="512">
        <v>0</v>
      </c>
      <c r="L126" s="513"/>
      <c r="M126" s="513"/>
      <c r="N126" s="575">
        <v>0</v>
      </c>
      <c r="O126" s="513"/>
      <c r="P126" s="513"/>
      <c r="Q126" s="512">
        <v>0</v>
      </c>
      <c r="R126" s="513"/>
      <c r="S126" s="513"/>
      <c r="T126" s="512">
        <v>0</v>
      </c>
    </row>
    <row r="127" spans="1:20" s="441" customFormat="1" x14ac:dyDescent="0.25">
      <c r="A127" s="431" t="s">
        <v>726</v>
      </c>
      <c r="B127" s="432" t="s">
        <v>733</v>
      </c>
      <c r="C127" s="434"/>
      <c r="D127" s="434"/>
      <c r="E127" s="510">
        <v>4440</v>
      </c>
      <c r="F127" s="511"/>
      <c r="G127" s="511"/>
      <c r="H127" s="510">
        <v>4440</v>
      </c>
      <c r="I127" s="511"/>
      <c r="J127" s="511"/>
      <c r="K127" s="510">
        <v>4440</v>
      </c>
      <c r="L127" s="511"/>
      <c r="M127" s="511"/>
      <c r="N127" s="510">
        <v>4245</v>
      </c>
      <c r="O127" s="511"/>
      <c r="P127" s="511"/>
      <c r="Q127" s="510">
        <v>4440</v>
      </c>
      <c r="R127" s="511"/>
      <c r="S127" s="511"/>
      <c r="T127" s="510">
        <f>T128</f>
        <v>4620</v>
      </c>
    </row>
    <row r="128" spans="1:20" x14ac:dyDescent="0.25">
      <c r="A128" s="435"/>
      <c r="B128" s="418" t="s">
        <v>1283</v>
      </c>
      <c r="C128" s="437"/>
      <c r="D128" s="437"/>
      <c r="E128" s="512">
        <v>4440</v>
      </c>
      <c r="F128" s="513"/>
      <c r="G128" s="513"/>
      <c r="H128" s="512">
        <v>4440</v>
      </c>
      <c r="I128" s="513"/>
      <c r="J128" s="513"/>
      <c r="K128" s="512">
        <v>4440</v>
      </c>
      <c r="L128" s="513"/>
      <c r="M128" s="513"/>
      <c r="N128" s="575">
        <v>4245</v>
      </c>
      <c r="O128" s="513"/>
      <c r="P128" s="513"/>
      <c r="Q128" s="512">
        <v>4440</v>
      </c>
      <c r="R128" s="513"/>
      <c r="S128" s="513"/>
      <c r="T128" s="512">
        <f>4440+180</f>
        <v>4620</v>
      </c>
    </row>
    <row r="129" spans="1:20" s="441" customFormat="1" x14ac:dyDescent="0.25">
      <c r="A129" s="431" t="s">
        <v>728</v>
      </c>
      <c r="B129" s="432" t="s">
        <v>735</v>
      </c>
      <c r="C129" s="434"/>
      <c r="D129" s="434"/>
      <c r="E129" s="510">
        <v>5400</v>
      </c>
      <c r="F129" s="511"/>
      <c r="G129" s="511"/>
      <c r="H129" s="510">
        <v>5400</v>
      </c>
      <c r="I129" s="511"/>
      <c r="J129" s="511"/>
      <c r="K129" s="510">
        <v>5400</v>
      </c>
      <c r="L129" s="511"/>
      <c r="M129" s="511"/>
      <c r="N129" s="510">
        <v>5400</v>
      </c>
      <c r="O129" s="511"/>
      <c r="P129" s="511"/>
      <c r="Q129" s="510">
        <v>5400</v>
      </c>
      <c r="R129" s="511"/>
      <c r="S129" s="511"/>
      <c r="T129" s="510">
        <v>5400</v>
      </c>
    </row>
    <row r="130" spans="1:20" x14ac:dyDescent="0.25">
      <c r="A130" s="435"/>
      <c r="B130" s="418" t="s">
        <v>1283</v>
      </c>
      <c r="C130" s="437"/>
      <c r="D130" s="437"/>
      <c r="E130" s="512">
        <v>5400</v>
      </c>
      <c r="F130" s="513"/>
      <c r="G130" s="513"/>
      <c r="H130" s="512">
        <v>5400</v>
      </c>
      <c r="I130" s="513"/>
      <c r="J130" s="513"/>
      <c r="K130" s="512">
        <v>5400</v>
      </c>
      <c r="L130" s="513"/>
      <c r="M130" s="513"/>
      <c r="N130" s="575">
        <v>5400</v>
      </c>
      <c r="O130" s="513"/>
      <c r="P130" s="513"/>
      <c r="Q130" s="512">
        <v>5400</v>
      </c>
      <c r="R130" s="513"/>
      <c r="S130" s="513"/>
      <c r="T130" s="512">
        <v>5400</v>
      </c>
    </row>
    <row r="131" spans="1:20" s="441" customFormat="1" x14ac:dyDescent="0.25">
      <c r="A131" s="431" t="s">
        <v>730</v>
      </c>
      <c r="B131" s="432" t="s">
        <v>737</v>
      </c>
      <c r="C131" s="434"/>
      <c r="D131" s="434"/>
      <c r="E131" s="510">
        <v>400</v>
      </c>
      <c r="F131" s="511"/>
      <c r="G131" s="511"/>
      <c r="H131" s="510">
        <v>400</v>
      </c>
      <c r="I131" s="511"/>
      <c r="J131" s="511"/>
      <c r="K131" s="510">
        <v>400</v>
      </c>
      <c r="L131" s="511"/>
      <c r="M131" s="511"/>
      <c r="N131" s="510">
        <v>400</v>
      </c>
      <c r="O131" s="511"/>
      <c r="P131" s="511"/>
      <c r="Q131" s="510">
        <v>400</v>
      </c>
      <c r="R131" s="511"/>
      <c r="S131" s="511"/>
      <c r="T131" s="510">
        <v>400</v>
      </c>
    </row>
    <row r="132" spans="1:20" x14ac:dyDescent="0.25">
      <c r="A132" s="435"/>
      <c r="B132" s="418" t="s">
        <v>1283</v>
      </c>
      <c r="C132" s="437"/>
      <c r="D132" s="437"/>
      <c r="E132" s="512">
        <v>400</v>
      </c>
      <c r="F132" s="513"/>
      <c r="G132" s="513"/>
      <c r="H132" s="512">
        <v>400</v>
      </c>
      <c r="I132" s="513"/>
      <c r="J132" s="513"/>
      <c r="K132" s="512">
        <v>400</v>
      </c>
      <c r="L132" s="513"/>
      <c r="M132" s="513"/>
      <c r="N132" s="575">
        <v>400</v>
      </c>
      <c r="O132" s="513"/>
      <c r="P132" s="513"/>
      <c r="Q132" s="512">
        <v>400</v>
      </c>
      <c r="R132" s="513"/>
      <c r="S132" s="513"/>
      <c r="T132" s="512">
        <v>400</v>
      </c>
    </row>
    <row r="133" spans="1:20" s="441" customFormat="1" x14ac:dyDescent="0.25">
      <c r="A133" s="431" t="s">
        <v>732</v>
      </c>
      <c r="B133" s="432" t="s">
        <v>1388</v>
      </c>
      <c r="C133" s="434"/>
      <c r="D133" s="434"/>
      <c r="E133" s="510">
        <v>81292</v>
      </c>
      <c r="F133" s="511"/>
      <c r="G133" s="511"/>
      <c r="H133" s="510">
        <v>81292</v>
      </c>
      <c r="I133" s="511"/>
      <c r="J133" s="511"/>
      <c r="K133" s="510">
        <v>81292</v>
      </c>
      <c r="L133" s="511"/>
      <c r="M133" s="511"/>
      <c r="N133" s="510">
        <v>94798</v>
      </c>
      <c r="O133" s="511"/>
      <c r="P133" s="511"/>
      <c r="Q133" s="510">
        <v>81300</v>
      </c>
      <c r="R133" s="511"/>
      <c r="S133" s="511"/>
      <c r="T133" s="510">
        <v>81300</v>
      </c>
    </row>
    <row r="134" spans="1:20" x14ac:dyDescent="0.25">
      <c r="A134" s="435"/>
      <c r="B134" s="418" t="s">
        <v>292</v>
      </c>
      <c r="C134" s="437"/>
      <c r="D134" s="437"/>
      <c r="E134" s="512">
        <v>0</v>
      </c>
      <c r="F134" s="513"/>
      <c r="G134" s="513"/>
      <c r="H134" s="512">
        <v>0</v>
      </c>
      <c r="I134" s="513"/>
      <c r="J134" s="513"/>
      <c r="K134" s="512">
        <v>0</v>
      </c>
      <c r="L134" s="513"/>
      <c r="M134" s="513"/>
      <c r="N134" s="575">
        <v>0</v>
      </c>
      <c r="O134" s="513"/>
      <c r="P134" s="871"/>
      <c r="Q134" s="870"/>
      <c r="R134" s="871"/>
      <c r="S134" s="871"/>
      <c r="T134" s="870"/>
    </row>
    <row r="135" spans="1:20" x14ac:dyDescent="0.25">
      <c r="A135" s="435"/>
      <c r="B135" s="418" t="s">
        <v>1283</v>
      </c>
      <c r="C135" s="437"/>
      <c r="D135" s="437"/>
      <c r="E135" s="512">
        <v>81292</v>
      </c>
      <c r="F135" s="513"/>
      <c r="G135" s="513"/>
      <c r="H135" s="512">
        <v>81292</v>
      </c>
      <c r="I135" s="513"/>
      <c r="J135" s="513"/>
      <c r="K135" s="512">
        <v>81292</v>
      </c>
      <c r="L135" s="513"/>
      <c r="M135" s="513"/>
      <c r="N135" s="575">
        <v>94798</v>
      </c>
      <c r="O135" s="513"/>
      <c r="P135" s="871"/>
      <c r="Q135" s="870">
        <v>81300</v>
      </c>
      <c r="R135" s="871"/>
      <c r="S135" s="871"/>
      <c r="T135" s="870">
        <v>81300</v>
      </c>
    </row>
    <row r="136" spans="1:20" s="662" customFormat="1" x14ac:dyDescent="0.25">
      <c r="A136" s="431" t="s">
        <v>734</v>
      </c>
      <c r="B136" s="432" t="s">
        <v>740</v>
      </c>
      <c r="C136" s="434"/>
      <c r="D136" s="434"/>
      <c r="E136" s="510">
        <v>34000</v>
      </c>
      <c r="F136" s="511"/>
      <c r="G136" s="511"/>
      <c r="H136" s="510">
        <v>58907</v>
      </c>
      <c r="I136" s="511"/>
      <c r="J136" s="511"/>
      <c r="K136" s="510">
        <v>58907</v>
      </c>
      <c r="L136" s="511"/>
      <c r="M136" s="511"/>
      <c r="N136" s="510">
        <v>45358</v>
      </c>
      <c r="O136" s="511"/>
      <c r="P136" s="872"/>
      <c r="Q136" s="873">
        <f>SUM(Q137:Q138)</f>
        <v>37992</v>
      </c>
      <c r="R136" s="872"/>
      <c r="S136" s="872"/>
      <c r="T136" s="873">
        <f>SUM(T137:T138)</f>
        <v>37992</v>
      </c>
    </row>
    <row r="137" spans="1:20" s="663" customFormat="1" x14ac:dyDescent="0.25">
      <c r="A137" s="435"/>
      <c r="B137" s="418" t="s">
        <v>1283</v>
      </c>
      <c r="C137" s="437"/>
      <c r="D137" s="437"/>
      <c r="E137" s="512">
        <v>34000</v>
      </c>
      <c r="F137" s="513"/>
      <c r="G137" s="513"/>
      <c r="H137" s="512">
        <v>58907</v>
      </c>
      <c r="I137" s="513"/>
      <c r="J137" s="513"/>
      <c r="K137" s="512">
        <v>58907</v>
      </c>
      <c r="L137" s="513"/>
      <c r="M137" s="513"/>
      <c r="N137" s="575">
        <v>45358</v>
      </c>
      <c r="O137" s="513"/>
      <c r="P137" s="871"/>
      <c r="Q137" s="870">
        <v>37992</v>
      </c>
      <c r="R137" s="871"/>
      <c r="S137" s="871"/>
      <c r="T137" s="870">
        <v>37992</v>
      </c>
    </row>
    <row r="138" spans="1:20" s="663" customFormat="1" x14ac:dyDescent="0.25">
      <c r="A138" s="435"/>
      <c r="B138" s="418" t="s">
        <v>292</v>
      </c>
      <c r="C138" s="437"/>
      <c r="D138" s="437"/>
      <c r="E138" s="512">
        <v>0</v>
      </c>
      <c r="F138" s="513"/>
      <c r="G138" s="513"/>
      <c r="H138" s="512">
        <v>0</v>
      </c>
      <c r="I138" s="513"/>
      <c r="J138" s="513"/>
      <c r="K138" s="512">
        <v>0</v>
      </c>
      <c r="L138" s="513"/>
      <c r="M138" s="513"/>
      <c r="N138" s="575">
        <v>0</v>
      </c>
      <c r="O138" s="513"/>
      <c r="P138" s="871"/>
      <c r="Q138" s="870">
        <f>62027-62027</f>
        <v>0</v>
      </c>
      <c r="R138" s="871"/>
      <c r="S138" s="871"/>
      <c r="T138" s="870">
        <f>62027-62027</f>
        <v>0</v>
      </c>
    </row>
    <row r="139" spans="1:20" s="441" customFormat="1" x14ac:dyDescent="0.25">
      <c r="A139" s="431" t="s">
        <v>736</v>
      </c>
      <c r="B139" s="432" t="s">
        <v>743</v>
      </c>
      <c r="C139" s="434"/>
      <c r="D139" s="434"/>
      <c r="E139" s="510">
        <v>6500</v>
      </c>
      <c r="F139" s="511"/>
      <c r="G139" s="511"/>
      <c r="H139" s="510">
        <v>11700</v>
      </c>
      <c r="I139" s="511"/>
      <c r="J139" s="511"/>
      <c r="K139" s="510">
        <v>19303</v>
      </c>
      <c r="L139" s="511"/>
      <c r="M139" s="511"/>
      <c r="N139" s="510">
        <v>12200</v>
      </c>
      <c r="O139" s="511"/>
      <c r="P139" s="872"/>
      <c r="Q139" s="873">
        <v>6500</v>
      </c>
      <c r="R139" s="872"/>
      <c r="S139" s="872"/>
      <c r="T139" s="873">
        <f>T140</f>
        <v>7460</v>
      </c>
    </row>
    <row r="140" spans="1:20" x14ac:dyDescent="0.25">
      <c r="A140" s="435"/>
      <c r="B140" s="418" t="s">
        <v>1283</v>
      </c>
      <c r="C140" s="437"/>
      <c r="D140" s="437"/>
      <c r="E140" s="512">
        <v>6500</v>
      </c>
      <c r="F140" s="513"/>
      <c r="G140" s="513"/>
      <c r="H140" s="512">
        <v>11700</v>
      </c>
      <c r="I140" s="513"/>
      <c r="J140" s="513"/>
      <c r="K140" s="512">
        <v>19303</v>
      </c>
      <c r="L140" s="513"/>
      <c r="M140" s="513"/>
      <c r="N140" s="575">
        <v>12200</v>
      </c>
      <c r="O140" s="513"/>
      <c r="P140" s="871"/>
      <c r="Q140" s="870">
        <v>6500</v>
      </c>
      <c r="R140" s="871"/>
      <c r="S140" s="871"/>
      <c r="T140" s="870">
        <f>6500+110+400+150+100+200</f>
        <v>7460</v>
      </c>
    </row>
    <row r="141" spans="1:20" s="441" customFormat="1" x14ac:dyDescent="0.25">
      <c r="A141" s="431" t="s">
        <v>738</v>
      </c>
      <c r="B141" s="432" t="s">
        <v>745</v>
      </c>
      <c r="C141" s="434"/>
      <c r="D141" s="434"/>
      <c r="E141" s="510">
        <v>2000</v>
      </c>
      <c r="F141" s="511"/>
      <c r="G141" s="511"/>
      <c r="H141" s="510">
        <v>3080</v>
      </c>
      <c r="I141" s="511"/>
      <c r="J141" s="511"/>
      <c r="K141" s="510">
        <v>1450</v>
      </c>
      <c r="L141" s="511"/>
      <c r="M141" s="511"/>
      <c r="N141" s="510">
        <v>3080</v>
      </c>
      <c r="O141" s="511"/>
      <c r="P141" s="872"/>
      <c r="Q141" s="873">
        <v>2000</v>
      </c>
      <c r="R141" s="872"/>
      <c r="S141" s="872"/>
      <c r="T141" s="873">
        <v>2000</v>
      </c>
    </row>
    <row r="142" spans="1:20" x14ac:dyDescent="0.25">
      <c r="A142" s="435"/>
      <c r="B142" s="418" t="s">
        <v>1283</v>
      </c>
      <c r="C142" s="437"/>
      <c r="D142" s="437"/>
      <c r="E142" s="512">
        <v>2000</v>
      </c>
      <c r="F142" s="513"/>
      <c r="G142" s="513"/>
      <c r="H142" s="512">
        <v>3080</v>
      </c>
      <c r="I142" s="513"/>
      <c r="J142" s="513"/>
      <c r="K142" s="512">
        <v>1450</v>
      </c>
      <c r="L142" s="513"/>
      <c r="M142" s="513"/>
      <c r="N142" s="575">
        <v>3080</v>
      </c>
      <c r="O142" s="513"/>
      <c r="P142" s="513"/>
      <c r="Q142" s="512">
        <v>2000</v>
      </c>
      <c r="R142" s="513"/>
      <c r="S142" s="513"/>
      <c r="T142" s="512">
        <v>2000</v>
      </c>
    </row>
    <row r="143" spans="1:20" s="659" customFormat="1" x14ac:dyDescent="0.25">
      <c r="A143" s="431" t="s">
        <v>739</v>
      </c>
      <c r="B143" s="432" t="s">
        <v>747</v>
      </c>
      <c r="C143" s="434"/>
      <c r="D143" s="434"/>
      <c r="E143" s="510">
        <v>41500</v>
      </c>
      <c r="F143" s="511"/>
      <c r="G143" s="511"/>
      <c r="H143" s="510">
        <v>43860</v>
      </c>
      <c r="I143" s="511"/>
      <c r="J143" s="511"/>
      <c r="K143" s="510">
        <v>50080</v>
      </c>
      <c r="L143" s="511"/>
      <c r="M143" s="511"/>
      <c r="N143" s="510">
        <v>43810</v>
      </c>
      <c r="O143" s="511"/>
      <c r="P143" s="511"/>
      <c r="Q143" s="510">
        <v>41500</v>
      </c>
      <c r="R143" s="511"/>
      <c r="S143" s="511"/>
      <c r="T143" s="510">
        <v>41500</v>
      </c>
    </row>
    <row r="144" spans="1:20" x14ac:dyDescent="0.25">
      <c r="A144" s="435"/>
      <c r="B144" s="418" t="s">
        <v>1283</v>
      </c>
      <c r="C144" s="437"/>
      <c r="D144" s="437"/>
      <c r="E144" s="512">
        <v>41500</v>
      </c>
      <c r="F144" s="513"/>
      <c r="G144" s="513"/>
      <c r="H144" s="512">
        <v>43860</v>
      </c>
      <c r="I144" s="513"/>
      <c r="J144" s="513"/>
      <c r="K144" s="512">
        <v>50080</v>
      </c>
      <c r="L144" s="513"/>
      <c r="M144" s="513"/>
      <c r="N144" s="575">
        <v>43810</v>
      </c>
      <c r="O144" s="513"/>
      <c r="P144" s="513"/>
      <c r="Q144" s="512">
        <v>41500</v>
      </c>
      <c r="R144" s="513"/>
      <c r="S144" s="513"/>
      <c r="T144" s="512">
        <v>41500</v>
      </c>
    </row>
    <row r="145" spans="1:20" s="441" customFormat="1" x14ac:dyDescent="0.25">
      <c r="A145" s="431" t="s">
        <v>741</v>
      </c>
      <c r="B145" s="432" t="s">
        <v>749</v>
      </c>
      <c r="C145" s="434"/>
      <c r="D145" s="434"/>
      <c r="E145" s="510">
        <v>12200</v>
      </c>
      <c r="F145" s="511"/>
      <c r="G145" s="511"/>
      <c r="H145" s="510">
        <v>13160</v>
      </c>
      <c r="I145" s="511"/>
      <c r="J145" s="511"/>
      <c r="K145" s="510">
        <v>12000</v>
      </c>
      <c r="L145" s="511"/>
      <c r="M145" s="511"/>
      <c r="N145" s="510">
        <v>12184</v>
      </c>
      <c r="O145" s="511"/>
      <c r="P145" s="511"/>
      <c r="Q145" s="510">
        <v>12600</v>
      </c>
      <c r="R145" s="511"/>
      <c r="S145" s="511"/>
      <c r="T145" s="510">
        <v>12600</v>
      </c>
    </row>
    <row r="146" spans="1:20" x14ac:dyDescent="0.25">
      <c r="A146" s="435"/>
      <c r="B146" s="418" t="s">
        <v>1283</v>
      </c>
      <c r="C146" s="437"/>
      <c r="D146" s="437"/>
      <c r="E146" s="512">
        <v>12200</v>
      </c>
      <c r="F146" s="513"/>
      <c r="G146" s="513"/>
      <c r="H146" s="512">
        <v>13160</v>
      </c>
      <c r="I146" s="513"/>
      <c r="J146" s="513"/>
      <c r="K146" s="512">
        <v>12000</v>
      </c>
      <c r="L146" s="513"/>
      <c r="M146" s="513"/>
      <c r="N146" s="575">
        <v>12184</v>
      </c>
      <c r="O146" s="513"/>
      <c r="P146" s="513"/>
      <c r="Q146" s="512">
        <v>12600</v>
      </c>
      <c r="R146" s="513"/>
      <c r="S146" s="513"/>
      <c r="T146" s="512">
        <v>12600</v>
      </c>
    </row>
    <row r="147" spans="1:20" s="441" customFormat="1" x14ac:dyDescent="0.25">
      <c r="A147" s="431" t="s">
        <v>742</v>
      </c>
      <c r="B147" s="432" t="s">
        <v>750</v>
      </c>
      <c r="C147" s="434"/>
      <c r="D147" s="434"/>
      <c r="E147" s="510">
        <v>2470</v>
      </c>
      <c r="F147" s="511"/>
      <c r="G147" s="511"/>
      <c r="H147" s="510">
        <v>2470</v>
      </c>
      <c r="I147" s="511"/>
      <c r="J147" s="511"/>
      <c r="K147" s="510">
        <v>2470</v>
      </c>
      <c r="L147" s="511"/>
      <c r="M147" s="511"/>
      <c r="N147" s="510">
        <v>1862</v>
      </c>
      <c r="O147" s="511"/>
      <c r="P147" s="511"/>
      <c r="Q147" s="510">
        <v>3190</v>
      </c>
      <c r="R147" s="511"/>
      <c r="S147" s="511"/>
      <c r="T147" s="510">
        <f>T148</f>
        <v>3798</v>
      </c>
    </row>
    <row r="148" spans="1:20" x14ac:dyDescent="0.25">
      <c r="A148" s="435"/>
      <c r="B148" s="418" t="s">
        <v>292</v>
      </c>
      <c r="C148" s="437"/>
      <c r="D148" s="437"/>
      <c r="E148" s="512">
        <v>2470</v>
      </c>
      <c r="F148" s="513"/>
      <c r="G148" s="513"/>
      <c r="H148" s="512">
        <v>2470</v>
      </c>
      <c r="I148" s="513"/>
      <c r="J148" s="513"/>
      <c r="K148" s="512">
        <v>2470</v>
      </c>
      <c r="L148" s="513"/>
      <c r="M148" s="513"/>
      <c r="N148" s="575">
        <v>1862</v>
      </c>
      <c r="O148" s="513"/>
      <c r="P148" s="513"/>
      <c r="Q148" s="512">
        <v>3190</v>
      </c>
      <c r="R148" s="513"/>
      <c r="S148" s="513"/>
      <c r="T148" s="512">
        <f>3190+608</f>
        <v>3798</v>
      </c>
    </row>
    <row r="149" spans="1:20" s="441" customFormat="1" x14ac:dyDescent="0.25">
      <c r="A149" s="431" t="s">
        <v>744</v>
      </c>
      <c r="B149" s="432" t="s">
        <v>752</v>
      </c>
      <c r="C149" s="434"/>
      <c r="D149" s="434"/>
      <c r="E149" s="510">
        <v>30000</v>
      </c>
      <c r="F149" s="511"/>
      <c r="G149" s="511"/>
      <c r="H149" s="510">
        <v>30823</v>
      </c>
      <c r="I149" s="511"/>
      <c r="J149" s="511"/>
      <c r="K149" s="510">
        <v>30823</v>
      </c>
      <c r="L149" s="511"/>
      <c r="M149" s="511"/>
      <c r="N149" s="510">
        <v>11767</v>
      </c>
      <c r="O149" s="511"/>
      <c r="P149" s="511"/>
      <c r="Q149" s="510">
        <v>16000</v>
      </c>
      <c r="R149" s="511"/>
      <c r="S149" s="511"/>
      <c r="T149" s="510">
        <v>16000</v>
      </c>
    </row>
    <row r="150" spans="1:20" x14ac:dyDescent="0.25">
      <c r="A150" s="435"/>
      <c r="B150" s="418" t="s">
        <v>1332</v>
      </c>
      <c r="C150" s="437"/>
      <c r="D150" s="437"/>
      <c r="E150" s="512"/>
      <c r="F150" s="513"/>
      <c r="G150" s="513"/>
      <c r="H150" s="512">
        <v>600</v>
      </c>
      <c r="I150" s="513"/>
      <c r="J150" s="513"/>
      <c r="K150" s="512">
        <v>600</v>
      </c>
      <c r="L150" s="513"/>
      <c r="M150" s="513"/>
      <c r="N150" s="512"/>
      <c r="O150" s="513"/>
      <c r="P150" s="513"/>
      <c r="Q150" s="512">
        <v>0</v>
      </c>
      <c r="R150" s="513"/>
      <c r="S150" s="513"/>
      <c r="T150" s="512">
        <v>0</v>
      </c>
    </row>
    <row r="151" spans="1:20" x14ac:dyDescent="0.25">
      <c r="A151" s="435"/>
      <c r="B151" s="418" t="s">
        <v>337</v>
      </c>
      <c r="C151" s="437"/>
      <c r="D151" s="437"/>
      <c r="E151" s="512">
        <v>30000</v>
      </c>
      <c r="F151" s="513"/>
      <c r="G151" s="513"/>
      <c r="H151" s="512">
        <v>30223</v>
      </c>
      <c r="I151" s="513"/>
      <c r="J151" s="513"/>
      <c r="K151" s="512">
        <v>30223</v>
      </c>
      <c r="L151" s="513"/>
      <c r="M151" s="513"/>
      <c r="N151" s="512">
        <v>11767</v>
      </c>
      <c r="O151" s="513"/>
      <c r="P151" s="513"/>
      <c r="Q151" s="512">
        <v>16000</v>
      </c>
      <c r="R151" s="513"/>
      <c r="S151" s="513"/>
      <c r="T151" s="512">
        <v>16000</v>
      </c>
    </row>
    <row r="152" spans="1:20" s="441" customFormat="1" x14ac:dyDescent="0.25">
      <c r="A152" s="431" t="s">
        <v>746</v>
      </c>
      <c r="B152" s="432" t="s">
        <v>754</v>
      </c>
      <c r="C152" s="434"/>
      <c r="D152" s="434"/>
      <c r="E152" s="510">
        <v>96502</v>
      </c>
      <c r="F152" s="511"/>
      <c r="G152" s="511"/>
      <c r="H152" s="510">
        <v>129188</v>
      </c>
      <c r="I152" s="511"/>
      <c r="J152" s="511"/>
      <c r="K152" s="510">
        <v>129188</v>
      </c>
      <c r="L152" s="511"/>
      <c r="M152" s="511"/>
      <c r="N152" s="510">
        <v>83360</v>
      </c>
      <c r="O152" s="511"/>
      <c r="P152" s="511"/>
      <c r="Q152" s="510">
        <v>96465</v>
      </c>
      <c r="R152" s="511"/>
      <c r="S152" s="511"/>
      <c r="T152" s="510">
        <f>SUM(T153:T158)</f>
        <v>107940</v>
      </c>
    </row>
    <row r="153" spans="1:20" x14ac:dyDescent="0.25">
      <c r="A153" s="435"/>
      <c r="B153" s="418" t="s">
        <v>286</v>
      </c>
      <c r="C153" s="437"/>
      <c r="D153" s="437"/>
      <c r="E153" s="512">
        <v>26153</v>
      </c>
      <c r="F153" s="513"/>
      <c r="G153" s="513"/>
      <c r="H153" s="512">
        <v>27649</v>
      </c>
      <c r="I153" s="513"/>
      <c r="J153" s="513"/>
      <c r="K153" s="512">
        <v>27649</v>
      </c>
      <c r="L153" s="513"/>
      <c r="M153" s="513"/>
      <c r="N153" s="512">
        <v>14948</v>
      </c>
      <c r="O153" s="513"/>
      <c r="P153" s="513"/>
      <c r="Q153" s="512">
        <v>30400</v>
      </c>
      <c r="R153" s="513"/>
      <c r="S153" s="513"/>
      <c r="T153" s="512">
        <f>30400+175+23-1</f>
        <v>30597</v>
      </c>
    </row>
    <row r="154" spans="1:20" x14ac:dyDescent="0.25">
      <c r="A154" s="435"/>
      <c r="B154" s="418" t="s">
        <v>287</v>
      </c>
      <c r="C154" s="437"/>
      <c r="D154" s="437"/>
      <c r="E154" s="512">
        <v>10473</v>
      </c>
      <c r="F154" s="513"/>
      <c r="G154" s="513"/>
      <c r="H154" s="512">
        <v>10701</v>
      </c>
      <c r="I154" s="513"/>
      <c r="J154" s="513"/>
      <c r="K154" s="512">
        <v>10701</v>
      </c>
      <c r="L154" s="513"/>
      <c r="M154" s="513"/>
      <c r="N154" s="512">
        <v>5299</v>
      </c>
      <c r="O154" s="513"/>
      <c r="P154" s="513"/>
      <c r="Q154" s="512">
        <v>5168</v>
      </c>
      <c r="R154" s="513"/>
      <c r="S154" s="513"/>
      <c r="T154" s="512">
        <f>5168+113+10</f>
        <v>5291</v>
      </c>
    </row>
    <row r="155" spans="1:20" x14ac:dyDescent="0.25">
      <c r="A155" s="435"/>
      <c r="B155" s="418" t="s">
        <v>292</v>
      </c>
      <c r="C155" s="437"/>
      <c r="D155" s="437"/>
      <c r="E155" s="512">
        <v>59876</v>
      </c>
      <c r="F155" s="513"/>
      <c r="G155" s="513"/>
      <c r="H155" s="512">
        <v>85838</v>
      </c>
      <c r="I155" s="513"/>
      <c r="J155" s="513"/>
      <c r="K155" s="512">
        <v>85838</v>
      </c>
      <c r="L155" s="513"/>
      <c r="M155" s="513"/>
      <c r="N155" s="575">
        <v>58013</v>
      </c>
      <c r="O155" s="513"/>
      <c r="P155" s="513"/>
      <c r="Q155" s="512">
        <v>60896.880000000005</v>
      </c>
      <c r="R155" s="513"/>
      <c r="S155" s="513"/>
      <c r="T155" s="512">
        <f>60897+47+6+50+5000+3440+1924+540+146+2</f>
        <v>72052</v>
      </c>
    </row>
    <row r="156" spans="1:20" x14ac:dyDescent="0.25">
      <c r="A156" s="435"/>
      <c r="B156" s="418" t="s">
        <v>339</v>
      </c>
      <c r="C156" s="437"/>
      <c r="D156" s="437"/>
      <c r="E156" s="512">
        <v>0</v>
      </c>
      <c r="F156" s="513"/>
      <c r="G156" s="513"/>
      <c r="H156" s="512">
        <v>4000</v>
      </c>
      <c r="I156" s="513"/>
      <c r="J156" s="513"/>
      <c r="K156" s="512">
        <v>4000</v>
      </c>
      <c r="L156" s="513"/>
      <c r="M156" s="513"/>
      <c r="N156" s="575">
        <v>4100</v>
      </c>
      <c r="O156" s="513"/>
      <c r="P156" s="513"/>
      <c r="Q156" s="512">
        <v>0</v>
      </c>
      <c r="R156" s="513"/>
      <c r="S156" s="513"/>
      <c r="T156" s="512">
        <v>0</v>
      </c>
    </row>
    <row r="157" spans="1:20" x14ac:dyDescent="0.25">
      <c r="A157" s="435"/>
      <c r="B157" s="418" t="s">
        <v>1470</v>
      </c>
      <c r="C157" s="437"/>
      <c r="D157" s="437"/>
      <c r="E157" s="512"/>
      <c r="F157" s="513"/>
      <c r="G157" s="513"/>
      <c r="H157" s="512">
        <v>1000</v>
      </c>
      <c r="I157" s="513"/>
      <c r="J157" s="513"/>
      <c r="K157" s="512">
        <v>1000</v>
      </c>
      <c r="L157" s="513"/>
      <c r="M157" s="513"/>
      <c r="N157" s="575">
        <v>1000</v>
      </c>
      <c r="O157" s="513"/>
      <c r="P157" s="513"/>
      <c r="Q157" s="512"/>
      <c r="R157" s="513"/>
      <c r="S157" s="513"/>
      <c r="T157" s="512"/>
    </row>
    <row r="158" spans="1:20" x14ac:dyDescent="0.25">
      <c r="A158" s="435"/>
      <c r="B158" s="418" t="s">
        <v>351</v>
      </c>
      <c r="C158" s="437"/>
      <c r="D158" s="437"/>
      <c r="E158" s="512">
        <v>0</v>
      </c>
      <c r="F158" s="513"/>
      <c r="G158" s="513"/>
      <c r="H158" s="512">
        <v>0</v>
      </c>
      <c r="I158" s="513"/>
      <c r="J158" s="513"/>
      <c r="K158" s="512">
        <v>0</v>
      </c>
      <c r="L158" s="513"/>
      <c r="M158" s="513"/>
      <c r="N158" s="512">
        <v>0</v>
      </c>
      <c r="O158" s="513"/>
      <c r="P158" s="513"/>
      <c r="Q158" s="512">
        <v>0</v>
      </c>
      <c r="R158" s="513"/>
      <c r="S158" s="513"/>
      <c r="T158" s="512">
        <v>0</v>
      </c>
    </row>
    <row r="159" spans="1:20" s="441" customFormat="1" x14ac:dyDescent="0.25">
      <c r="A159" s="431" t="s">
        <v>748</v>
      </c>
      <c r="B159" s="432" t="s">
        <v>756</v>
      </c>
      <c r="C159" s="434"/>
      <c r="D159" s="434"/>
      <c r="E159" s="510">
        <v>631095.5</v>
      </c>
      <c r="F159" s="511"/>
      <c r="G159" s="511"/>
      <c r="H159" s="510">
        <v>540904.5</v>
      </c>
      <c r="I159" s="511"/>
      <c r="J159" s="511"/>
      <c r="K159" s="510">
        <v>607215</v>
      </c>
      <c r="L159" s="511"/>
      <c r="M159" s="511"/>
      <c r="N159" s="510">
        <v>199584</v>
      </c>
      <c r="O159" s="511"/>
      <c r="P159" s="511"/>
      <c r="Q159" s="510">
        <f>SUM(Q160:Q164)</f>
        <v>319700</v>
      </c>
      <c r="R159" s="511"/>
      <c r="S159" s="511"/>
      <c r="T159" s="510">
        <f>SUM(T160:T164)</f>
        <v>392313</v>
      </c>
    </row>
    <row r="160" spans="1:20" s="441" customFormat="1" x14ac:dyDescent="0.25">
      <c r="A160" s="431"/>
      <c r="B160" s="418" t="s">
        <v>286</v>
      </c>
      <c r="C160" s="434"/>
      <c r="D160" s="434"/>
      <c r="E160" s="510"/>
      <c r="F160" s="511"/>
      <c r="G160" s="511"/>
      <c r="H160" s="510"/>
      <c r="I160" s="511"/>
      <c r="J160" s="511"/>
      <c r="K160" s="510"/>
      <c r="L160" s="511"/>
      <c r="M160" s="511"/>
      <c r="N160" s="510"/>
      <c r="O160" s="511"/>
      <c r="P160" s="511"/>
      <c r="Q160" s="512">
        <v>0</v>
      </c>
      <c r="R160" s="511"/>
      <c r="S160" s="511"/>
      <c r="T160" s="512">
        <v>0</v>
      </c>
    </row>
    <row r="161" spans="1:20" s="441" customFormat="1" x14ac:dyDescent="0.25">
      <c r="A161" s="431"/>
      <c r="B161" s="418" t="s">
        <v>287</v>
      </c>
      <c r="C161" s="434"/>
      <c r="D161" s="434"/>
      <c r="E161" s="510"/>
      <c r="F161" s="511"/>
      <c r="G161" s="511"/>
      <c r="H161" s="510"/>
      <c r="I161" s="511"/>
      <c r="J161" s="511"/>
      <c r="K161" s="510"/>
      <c r="L161" s="511"/>
      <c r="M161" s="511"/>
      <c r="N161" s="510"/>
      <c r="O161" s="511"/>
      <c r="P161" s="511"/>
      <c r="Q161" s="512">
        <v>0</v>
      </c>
      <c r="R161" s="511"/>
      <c r="S161" s="511"/>
      <c r="T161" s="512">
        <v>0</v>
      </c>
    </row>
    <row r="162" spans="1:20" s="441" customFormat="1" x14ac:dyDescent="0.25">
      <c r="A162" s="431"/>
      <c r="B162" s="418" t="s">
        <v>292</v>
      </c>
      <c r="C162" s="434"/>
      <c r="D162" s="434"/>
      <c r="E162" s="510"/>
      <c r="F162" s="511"/>
      <c r="G162" s="511"/>
      <c r="H162" s="510"/>
      <c r="I162" s="511"/>
      <c r="J162" s="511"/>
      <c r="K162" s="510"/>
      <c r="L162" s="511"/>
      <c r="M162" s="511"/>
      <c r="N162" s="510"/>
      <c r="O162" s="511"/>
      <c r="P162" s="511"/>
      <c r="Q162" s="512">
        <v>0</v>
      </c>
      <c r="R162" s="511"/>
      <c r="S162" s="511"/>
      <c r="T162" s="512">
        <f>0+10385+444</f>
        <v>10829</v>
      </c>
    </row>
    <row r="163" spans="1:20" x14ac:dyDescent="0.25">
      <c r="A163" s="435"/>
      <c r="B163" s="418" t="s">
        <v>351</v>
      </c>
      <c r="C163" s="437"/>
      <c r="D163" s="437"/>
      <c r="E163" s="512">
        <v>611095.5</v>
      </c>
      <c r="F163" s="513"/>
      <c r="G163" s="513"/>
      <c r="H163" s="512">
        <v>516165.5</v>
      </c>
      <c r="I163" s="513"/>
      <c r="J163" s="513"/>
      <c r="K163" s="512">
        <v>556148</v>
      </c>
      <c r="L163" s="513"/>
      <c r="M163" s="513"/>
      <c r="N163" s="512">
        <v>174781</v>
      </c>
      <c r="O163" s="513"/>
      <c r="P163" s="513"/>
      <c r="Q163" s="512">
        <v>250500</v>
      </c>
      <c r="R163" s="513"/>
      <c r="S163" s="513"/>
      <c r="T163" s="512">
        <f>250500+775+18520+28572</f>
        <v>298367</v>
      </c>
    </row>
    <row r="164" spans="1:20" x14ac:dyDescent="0.25">
      <c r="A164" s="435"/>
      <c r="B164" s="418" t="s">
        <v>342</v>
      </c>
      <c r="C164" s="437"/>
      <c r="D164" s="437"/>
      <c r="E164" s="512">
        <v>20000</v>
      </c>
      <c r="F164" s="513"/>
      <c r="G164" s="513"/>
      <c r="H164" s="512">
        <v>24739</v>
      </c>
      <c r="I164" s="513"/>
      <c r="J164" s="513"/>
      <c r="K164" s="512">
        <v>51067</v>
      </c>
      <c r="L164" s="513"/>
      <c r="M164" s="513"/>
      <c r="N164" s="512">
        <v>24803</v>
      </c>
      <c r="O164" s="513"/>
      <c r="P164" s="513"/>
      <c r="Q164" s="512">
        <v>69200</v>
      </c>
      <c r="R164" s="513"/>
      <c r="S164" s="513"/>
      <c r="T164" s="512">
        <f>69200+10126+3791</f>
        <v>83117</v>
      </c>
    </row>
    <row r="165" spans="1:20" s="441" customFormat="1" x14ac:dyDescent="0.25">
      <c r="A165" s="431" t="s">
        <v>1356</v>
      </c>
      <c r="B165" s="432" t="s">
        <v>1700</v>
      </c>
      <c r="C165" s="434"/>
      <c r="D165" s="434"/>
      <c r="E165" s="510">
        <v>3905</v>
      </c>
      <c r="F165" s="511"/>
      <c r="G165" s="511"/>
      <c r="H165" s="510">
        <v>3949</v>
      </c>
      <c r="I165" s="511"/>
      <c r="J165" s="511"/>
      <c r="K165" s="510">
        <v>3949</v>
      </c>
      <c r="L165" s="511"/>
      <c r="M165" s="511"/>
      <c r="N165" s="510">
        <v>3938</v>
      </c>
      <c r="O165" s="511"/>
      <c r="P165" s="511"/>
      <c r="Q165" s="510">
        <v>0</v>
      </c>
      <c r="R165" s="511"/>
      <c r="S165" s="511"/>
      <c r="T165" s="510">
        <f>SUM(T166:T171)</f>
        <v>14404</v>
      </c>
    </row>
    <row r="166" spans="1:20" x14ac:dyDescent="0.25">
      <c r="A166" s="435"/>
      <c r="B166" s="418" t="s">
        <v>286</v>
      </c>
      <c r="C166" s="437"/>
      <c r="D166" s="437"/>
      <c r="E166" s="512"/>
      <c r="F166" s="513"/>
      <c r="G166" s="513"/>
      <c r="H166" s="512">
        <v>0</v>
      </c>
      <c r="I166" s="513"/>
      <c r="J166" s="513"/>
      <c r="K166" s="512">
        <v>0</v>
      </c>
      <c r="L166" s="513"/>
      <c r="M166" s="513"/>
      <c r="N166" s="512"/>
      <c r="O166" s="513"/>
      <c r="P166" s="513"/>
      <c r="Q166" s="512">
        <v>0</v>
      </c>
      <c r="R166" s="513"/>
      <c r="S166" s="513"/>
      <c r="T166" s="512">
        <v>0</v>
      </c>
    </row>
    <row r="167" spans="1:20" x14ac:dyDescent="0.25">
      <c r="A167" s="435"/>
      <c r="B167" s="418" t="s">
        <v>287</v>
      </c>
      <c r="C167" s="437"/>
      <c r="D167" s="437"/>
      <c r="E167" s="512"/>
      <c r="F167" s="513"/>
      <c r="G167" s="513"/>
      <c r="H167" s="512">
        <v>0</v>
      </c>
      <c r="I167" s="513"/>
      <c r="J167" s="513"/>
      <c r="K167" s="512">
        <v>0</v>
      </c>
      <c r="L167" s="513"/>
      <c r="M167" s="513"/>
      <c r="N167" s="512"/>
      <c r="O167" s="513"/>
      <c r="P167" s="513"/>
      <c r="Q167" s="512">
        <v>0</v>
      </c>
      <c r="R167" s="513"/>
      <c r="S167" s="513"/>
      <c r="T167" s="512">
        <v>0</v>
      </c>
    </row>
    <row r="168" spans="1:20" x14ac:dyDescent="0.25">
      <c r="A168" s="435"/>
      <c r="B168" s="418" t="s">
        <v>1332</v>
      </c>
      <c r="C168" s="437"/>
      <c r="D168" s="437"/>
      <c r="E168" s="512">
        <v>3905</v>
      </c>
      <c r="F168" s="513"/>
      <c r="G168" s="513"/>
      <c r="H168" s="512">
        <v>55</v>
      </c>
      <c r="I168" s="513"/>
      <c r="J168" s="513"/>
      <c r="K168" s="512">
        <v>55</v>
      </c>
      <c r="L168" s="513"/>
      <c r="M168" s="513"/>
      <c r="N168" s="575">
        <v>44</v>
      </c>
      <c r="O168" s="513"/>
      <c r="P168" s="513"/>
      <c r="Q168" s="512"/>
      <c r="R168" s="513"/>
      <c r="S168" s="513"/>
      <c r="T168" s="512">
        <v>1797</v>
      </c>
    </row>
    <row r="169" spans="1:20" x14ac:dyDescent="0.25">
      <c r="A169" s="435"/>
      <c r="B169" s="418" t="s">
        <v>1725</v>
      </c>
      <c r="C169" s="437"/>
      <c r="D169" s="437"/>
      <c r="E169" s="512"/>
      <c r="F169" s="513"/>
      <c r="G169" s="513"/>
      <c r="H169" s="512">
        <v>3894</v>
      </c>
      <c r="I169" s="513"/>
      <c r="J169" s="513"/>
      <c r="K169" s="512">
        <v>3894</v>
      </c>
      <c r="L169" s="513"/>
      <c r="M169" s="513"/>
      <c r="N169" s="575">
        <v>3894</v>
      </c>
      <c r="O169" s="513"/>
      <c r="P169" s="513"/>
      <c r="Q169" s="512"/>
      <c r="R169" s="513"/>
      <c r="S169" s="513"/>
      <c r="T169" s="512">
        <v>12607</v>
      </c>
    </row>
    <row r="170" spans="1:20" x14ac:dyDescent="0.25">
      <c r="A170" s="435"/>
      <c r="B170" s="418" t="s">
        <v>351</v>
      </c>
      <c r="C170" s="437"/>
      <c r="D170" s="437"/>
      <c r="E170" s="512">
        <v>0</v>
      </c>
      <c r="F170" s="513"/>
      <c r="G170" s="513"/>
      <c r="H170" s="512">
        <v>0</v>
      </c>
      <c r="I170" s="513"/>
      <c r="J170" s="513"/>
      <c r="K170" s="512">
        <v>0</v>
      </c>
      <c r="L170" s="513"/>
      <c r="M170" s="513"/>
      <c r="N170" s="512"/>
      <c r="O170" s="513"/>
      <c r="P170" s="513"/>
      <c r="Q170" s="512">
        <v>0</v>
      </c>
      <c r="R170" s="513"/>
      <c r="S170" s="513"/>
      <c r="T170" s="512">
        <v>0</v>
      </c>
    </row>
    <row r="171" spans="1:20" x14ac:dyDescent="0.25">
      <c r="A171" s="435"/>
      <c r="B171" s="418" t="s">
        <v>342</v>
      </c>
      <c r="C171" s="437"/>
      <c r="D171" s="437"/>
      <c r="E171" s="512">
        <v>0</v>
      </c>
      <c r="F171" s="513"/>
      <c r="G171" s="513"/>
      <c r="H171" s="575">
        <v>0</v>
      </c>
      <c r="I171" s="576"/>
      <c r="J171" s="576"/>
      <c r="K171" s="575">
        <v>0</v>
      </c>
      <c r="L171" s="576"/>
      <c r="M171" s="576"/>
      <c r="N171" s="575"/>
      <c r="O171" s="576"/>
      <c r="P171" s="576"/>
      <c r="Q171" s="575">
        <v>0</v>
      </c>
      <c r="R171" s="576"/>
      <c r="S171" s="576"/>
      <c r="T171" s="575">
        <v>0</v>
      </c>
    </row>
    <row r="172" spans="1:20" s="441" customFormat="1" x14ac:dyDescent="0.25">
      <c r="A172" s="431" t="s">
        <v>751</v>
      </c>
      <c r="B172" s="432" t="s">
        <v>758</v>
      </c>
      <c r="C172" s="434"/>
      <c r="D172" s="434"/>
      <c r="E172" s="510">
        <v>23314</v>
      </c>
      <c r="F172" s="511"/>
      <c r="G172" s="511"/>
      <c r="H172" s="510">
        <v>23314</v>
      </c>
      <c r="I172" s="511"/>
      <c r="J172" s="511"/>
      <c r="K172" s="510">
        <v>23314</v>
      </c>
      <c r="L172" s="511"/>
      <c r="M172" s="511"/>
      <c r="N172" s="510">
        <v>19680</v>
      </c>
      <c r="O172" s="511"/>
      <c r="P172" s="511"/>
      <c r="Q172" s="510">
        <v>23314</v>
      </c>
      <c r="R172" s="511"/>
      <c r="S172" s="511"/>
      <c r="T172" s="510">
        <v>23314</v>
      </c>
    </row>
    <row r="173" spans="1:20" x14ac:dyDescent="0.25">
      <c r="A173" s="435"/>
      <c r="B173" s="418" t="s">
        <v>286</v>
      </c>
      <c r="C173" s="437"/>
      <c r="D173" s="437"/>
      <c r="E173" s="512">
        <v>23314</v>
      </c>
      <c r="F173" s="513"/>
      <c r="G173" s="513"/>
      <c r="H173" s="512">
        <v>23314</v>
      </c>
      <c r="I173" s="513"/>
      <c r="J173" s="513"/>
      <c r="K173" s="512">
        <v>23314</v>
      </c>
      <c r="L173" s="513"/>
      <c r="M173" s="513"/>
      <c r="N173" s="512">
        <v>19680</v>
      </c>
      <c r="O173" s="513"/>
      <c r="P173" s="513"/>
      <c r="Q173" s="512">
        <v>23314</v>
      </c>
      <c r="R173" s="513"/>
      <c r="S173" s="513"/>
      <c r="T173" s="512">
        <v>23314</v>
      </c>
    </row>
    <row r="174" spans="1:20" x14ac:dyDescent="0.25">
      <c r="A174" s="435"/>
      <c r="B174" s="418" t="s">
        <v>287</v>
      </c>
      <c r="C174" s="437"/>
      <c r="D174" s="437"/>
      <c r="E174" s="512">
        <v>0</v>
      </c>
      <c r="F174" s="513"/>
      <c r="G174" s="513"/>
      <c r="H174" s="512">
        <v>0</v>
      </c>
      <c r="I174" s="513"/>
      <c r="J174" s="513"/>
      <c r="K174" s="512">
        <v>0</v>
      </c>
      <c r="L174" s="513"/>
      <c r="M174" s="513"/>
      <c r="N174" s="512"/>
      <c r="O174" s="513"/>
      <c r="P174" s="513"/>
      <c r="Q174" s="512">
        <v>0</v>
      </c>
      <c r="R174" s="513"/>
      <c r="S174" s="513"/>
      <c r="T174" s="512">
        <v>0</v>
      </c>
    </row>
    <row r="175" spans="1:20" x14ac:dyDescent="0.25">
      <c r="A175" s="435"/>
      <c r="B175" s="418" t="s">
        <v>1389</v>
      </c>
      <c r="C175" s="437"/>
      <c r="D175" s="437"/>
      <c r="E175" s="512"/>
      <c r="F175" s="513"/>
      <c r="G175" s="513"/>
      <c r="H175" s="512"/>
      <c r="I175" s="513"/>
      <c r="J175" s="513"/>
      <c r="K175" s="512"/>
      <c r="L175" s="513"/>
      <c r="M175" s="513"/>
      <c r="N175" s="575"/>
      <c r="O175" s="513"/>
      <c r="P175" s="513"/>
      <c r="Q175" s="512">
        <v>0</v>
      </c>
      <c r="R175" s="513"/>
      <c r="S175" s="513"/>
      <c r="T175" s="512">
        <v>0</v>
      </c>
    </row>
    <row r="176" spans="1:20" s="441" customFormat="1" x14ac:dyDescent="0.25">
      <c r="A176" s="431" t="s">
        <v>753</v>
      </c>
      <c r="B176" s="432" t="s">
        <v>1160</v>
      </c>
      <c r="C176" s="434"/>
      <c r="D176" s="434"/>
      <c r="E176" s="510">
        <v>0</v>
      </c>
      <c r="F176" s="511"/>
      <c r="G176" s="511"/>
      <c r="H176" s="510">
        <v>5517</v>
      </c>
      <c r="I176" s="511"/>
      <c r="J176" s="511"/>
      <c r="K176" s="510">
        <v>5517</v>
      </c>
      <c r="L176" s="511"/>
      <c r="M176" s="511"/>
      <c r="N176" s="510">
        <v>5311</v>
      </c>
      <c r="O176" s="511"/>
      <c r="P176" s="511"/>
      <c r="Q176" s="510">
        <v>5300</v>
      </c>
      <c r="R176" s="511"/>
      <c r="S176" s="511"/>
      <c r="T176" s="510">
        <v>5300</v>
      </c>
    </row>
    <row r="177" spans="1:20" x14ac:dyDescent="0.25">
      <c r="A177" s="435"/>
      <c r="B177" s="418" t="s">
        <v>292</v>
      </c>
      <c r="C177" s="437"/>
      <c r="D177" s="437"/>
      <c r="E177" s="512">
        <v>0</v>
      </c>
      <c r="F177" s="513"/>
      <c r="G177" s="513"/>
      <c r="H177" s="512">
        <v>5517</v>
      </c>
      <c r="I177" s="513"/>
      <c r="J177" s="513"/>
      <c r="K177" s="512">
        <v>5517</v>
      </c>
      <c r="L177" s="513"/>
      <c r="M177" s="513"/>
      <c r="N177" s="575">
        <v>5311</v>
      </c>
      <c r="O177" s="513"/>
      <c r="P177" s="513"/>
      <c r="Q177" s="512">
        <v>5300</v>
      </c>
      <c r="R177" s="513"/>
      <c r="S177" s="513"/>
      <c r="T177" s="512">
        <v>5300</v>
      </c>
    </row>
    <row r="178" spans="1:20" s="660" customFormat="1" x14ac:dyDescent="0.25">
      <c r="A178" s="431" t="s">
        <v>755</v>
      </c>
      <c r="B178" s="432" t="s">
        <v>659</v>
      </c>
      <c r="C178" s="434"/>
      <c r="D178" s="434"/>
      <c r="E178" s="510">
        <v>10000</v>
      </c>
      <c r="F178" s="511"/>
      <c r="G178" s="511"/>
      <c r="H178" s="510">
        <v>10000</v>
      </c>
      <c r="I178" s="511"/>
      <c r="J178" s="511"/>
      <c r="K178" s="510">
        <v>15290</v>
      </c>
      <c r="L178" s="511"/>
      <c r="M178" s="511"/>
      <c r="N178" s="510">
        <v>120000</v>
      </c>
      <c r="O178" s="511"/>
      <c r="P178" s="511"/>
      <c r="Q178" s="510">
        <v>8650</v>
      </c>
      <c r="R178" s="511"/>
      <c r="S178" s="511"/>
      <c r="T178" s="510">
        <v>8650</v>
      </c>
    </row>
    <row r="179" spans="1:20" x14ac:dyDescent="0.25">
      <c r="A179" s="435"/>
      <c r="B179" s="418" t="s">
        <v>286</v>
      </c>
      <c r="C179" s="437"/>
      <c r="D179" s="437"/>
      <c r="E179" s="512">
        <v>7800</v>
      </c>
      <c r="F179" s="513"/>
      <c r="G179" s="513"/>
      <c r="H179" s="512">
        <v>7800</v>
      </c>
      <c r="I179" s="513"/>
      <c r="J179" s="513"/>
      <c r="K179" s="512">
        <v>12000</v>
      </c>
      <c r="L179" s="513"/>
      <c r="M179" s="513"/>
      <c r="N179" s="512">
        <v>120000</v>
      </c>
      <c r="O179" s="513"/>
      <c r="P179" s="513"/>
      <c r="Q179" s="512">
        <v>8000</v>
      </c>
      <c r="R179" s="513"/>
      <c r="S179" s="513"/>
      <c r="T179" s="512">
        <v>8000</v>
      </c>
    </row>
    <row r="180" spans="1:20" x14ac:dyDescent="0.25">
      <c r="A180" s="435"/>
      <c r="B180" s="418" t="s">
        <v>287</v>
      </c>
      <c r="C180" s="437"/>
      <c r="D180" s="437"/>
      <c r="E180" s="512">
        <v>1550</v>
      </c>
      <c r="F180" s="513"/>
      <c r="G180" s="513"/>
      <c r="H180" s="512">
        <v>1550</v>
      </c>
      <c r="I180" s="513"/>
      <c r="J180" s="513"/>
      <c r="K180" s="512">
        <v>2640</v>
      </c>
      <c r="L180" s="513"/>
      <c r="M180" s="513"/>
      <c r="N180" s="512"/>
      <c r="O180" s="513"/>
      <c r="P180" s="513"/>
      <c r="Q180" s="512">
        <v>0</v>
      </c>
      <c r="R180" s="513"/>
      <c r="S180" s="513"/>
      <c r="T180" s="512">
        <v>0</v>
      </c>
    </row>
    <row r="181" spans="1:20" x14ac:dyDescent="0.25">
      <c r="A181" s="435"/>
      <c r="B181" s="418" t="s">
        <v>292</v>
      </c>
      <c r="C181" s="437"/>
      <c r="D181" s="437"/>
      <c r="E181" s="512">
        <v>650</v>
      </c>
      <c r="F181" s="513"/>
      <c r="G181" s="513"/>
      <c r="H181" s="512">
        <v>650</v>
      </c>
      <c r="I181" s="513"/>
      <c r="J181" s="513"/>
      <c r="K181" s="512">
        <v>650</v>
      </c>
      <c r="L181" s="513"/>
      <c r="M181" s="513"/>
      <c r="N181" s="575"/>
      <c r="O181" s="513"/>
      <c r="P181" s="513"/>
      <c r="Q181" s="512">
        <v>650.24</v>
      </c>
      <c r="R181" s="513"/>
      <c r="S181" s="513"/>
      <c r="T181" s="512">
        <v>650</v>
      </c>
    </row>
    <row r="182" spans="1:20" s="441" customFormat="1" x14ac:dyDescent="0.25">
      <c r="A182" s="431" t="s">
        <v>757</v>
      </c>
      <c r="B182" s="432" t="s">
        <v>1423</v>
      </c>
      <c r="C182" s="434"/>
      <c r="D182" s="434"/>
      <c r="E182" s="510">
        <v>60000</v>
      </c>
      <c r="F182" s="511"/>
      <c r="G182" s="511"/>
      <c r="H182" s="510">
        <v>140000</v>
      </c>
      <c r="I182" s="511"/>
      <c r="J182" s="511"/>
      <c r="K182" s="510">
        <v>140000</v>
      </c>
      <c r="L182" s="511"/>
      <c r="M182" s="511"/>
      <c r="N182" s="510">
        <v>120000</v>
      </c>
      <c r="O182" s="511"/>
      <c r="P182" s="511"/>
      <c r="Q182" s="510">
        <v>80000</v>
      </c>
      <c r="R182" s="511"/>
      <c r="S182" s="511"/>
      <c r="T182" s="510">
        <f>SUM(T183:T185)</f>
        <v>93674</v>
      </c>
    </row>
    <row r="183" spans="1:20" x14ac:dyDescent="0.25">
      <c r="A183" s="435"/>
      <c r="B183" s="418" t="s">
        <v>1283</v>
      </c>
      <c r="C183" s="437"/>
      <c r="D183" s="437"/>
      <c r="E183" s="512">
        <v>60000</v>
      </c>
      <c r="F183" s="513"/>
      <c r="G183" s="513"/>
      <c r="H183" s="512">
        <v>120000</v>
      </c>
      <c r="I183" s="513"/>
      <c r="J183" s="513"/>
      <c r="K183" s="512">
        <v>120000</v>
      </c>
      <c r="L183" s="513"/>
      <c r="M183" s="513"/>
      <c r="N183" s="575">
        <v>120000</v>
      </c>
      <c r="O183" s="513"/>
      <c r="P183" s="513"/>
      <c r="Q183" s="512">
        <v>60000</v>
      </c>
      <c r="R183" s="513"/>
      <c r="S183" s="513"/>
      <c r="T183" s="512">
        <f>60000+11000</f>
        <v>71000</v>
      </c>
    </row>
    <row r="184" spans="1:20" x14ac:dyDescent="0.25">
      <c r="A184" s="435"/>
      <c r="B184" s="418" t="s">
        <v>1332</v>
      </c>
      <c r="C184" s="437"/>
      <c r="D184" s="437"/>
      <c r="E184" s="512"/>
      <c r="F184" s="513"/>
      <c r="G184" s="513"/>
      <c r="H184" s="512">
        <v>20000</v>
      </c>
      <c r="I184" s="513"/>
      <c r="J184" s="513"/>
      <c r="K184" s="512">
        <v>20000</v>
      </c>
      <c r="L184" s="513"/>
      <c r="M184" s="513"/>
      <c r="N184" s="575">
        <v>20000</v>
      </c>
      <c r="O184" s="513"/>
      <c r="P184" s="513"/>
      <c r="Q184" s="512">
        <v>20000</v>
      </c>
      <c r="R184" s="513"/>
      <c r="S184" s="513"/>
      <c r="T184" s="512">
        <f>20000+2674</f>
        <v>22674</v>
      </c>
    </row>
    <row r="185" spans="1:20" x14ac:dyDescent="0.25">
      <c r="A185" s="435"/>
      <c r="B185" s="418" t="s">
        <v>351</v>
      </c>
      <c r="C185" s="437"/>
      <c r="D185" s="437"/>
      <c r="E185" s="512">
        <v>0</v>
      </c>
      <c r="F185" s="513"/>
      <c r="G185" s="513"/>
      <c r="H185" s="512">
        <v>0</v>
      </c>
      <c r="I185" s="513"/>
      <c r="J185" s="513"/>
      <c r="K185" s="512">
        <v>0</v>
      </c>
      <c r="L185" s="513"/>
      <c r="M185" s="513"/>
      <c r="N185" s="512">
        <v>0</v>
      </c>
      <c r="O185" s="513"/>
      <c r="P185" s="513"/>
      <c r="Q185" s="512">
        <v>0</v>
      </c>
      <c r="R185" s="513"/>
      <c r="S185" s="513"/>
      <c r="T185" s="512">
        <v>0</v>
      </c>
    </row>
    <row r="186" spans="1:20" x14ac:dyDescent="0.25">
      <c r="A186" s="431" t="s">
        <v>1370</v>
      </c>
      <c r="B186" s="432" t="s">
        <v>1371</v>
      </c>
      <c r="C186" s="434"/>
      <c r="D186" s="434"/>
      <c r="E186" s="510">
        <v>113083</v>
      </c>
      <c r="F186" s="511"/>
      <c r="G186" s="511"/>
      <c r="H186" s="510">
        <v>89599</v>
      </c>
      <c r="I186" s="511"/>
      <c r="J186" s="511"/>
      <c r="K186" s="510">
        <v>158845</v>
      </c>
      <c r="L186" s="511"/>
      <c r="M186" s="511"/>
      <c r="N186" s="510">
        <v>88892</v>
      </c>
      <c r="O186" s="511"/>
      <c r="P186" s="511"/>
      <c r="Q186" s="510">
        <v>0</v>
      </c>
      <c r="R186" s="511"/>
      <c r="S186" s="511"/>
      <c r="T186" s="510">
        <v>0</v>
      </c>
    </row>
    <row r="187" spans="1:20" x14ac:dyDescent="0.25">
      <c r="A187" s="435"/>
      <c r="B187" s="418" t="s">
        <v>292</v>
      </c>
      <c r="C187" s="437"/>
      <c r="D187" s="437"/>
      <c r="E187" s="512"/>
      <c r="F187" s="513"/>
      <c r="G187" s="513"/>
      <c r="H187" s="512"/>
      <c r="I187" s="513"/>
      <c r="J187" s="513"/>
      <c r="K187" s="512">
        <v>17953</v>
      </c>
      <c r="L187" s="513"/>
      <c r="M187" s="513"/>
      <c r="N187" s="575">
        <v>3085</v>
      </c>
      <c r="O187" s="513"/>
      <c r="P187" s="513"/>
      <c r="Q187" s="512"/>
      <c r="R187" s="513"/>
      <c r="S187" s="513"/>
      <c r="T187" s="512"/>
    </row>
    <row r="188" spans="1:20" x14ac:dyDescent="0.25">
      <c r="A188" s="435"/>
      <c r="B188" s="418" t="s">
        <v>342</v>
      </c>
      <c r="C188" s="437"/>
      <c r="D188" s="437"/>
      <c r="E188" s="512">
        <v>113083</v>
      </c>
      <c r="F188" s="513"/>
      <c r="G188" s="513"/>
      <c r="H188" s="512">
        <v>89599</v>
      </c>
      <c r="I188" s="513"/>
      <c r="J188" s="513"/>
      <c r="K188" s="512">
        <v>140892</v>
      </c>
      <c r="L188" s="513"/>
      <c r="M188" s="513"/>
      <c r="N188" s="512">
        <v>85807</v>
      </c>
      <c r="O188" s="513"/>
      <c r="P188" s="513"/>
      <c r="Q188" s="512"/>
      <c r="R188" s="513"/>
      <c r="S188" s="513"/>
      <c r="T188" s="512"/>
    </row>
    <row r="189" spans="1:20" s="441" customFormat="1" x14ac:dyDescent="0.25">
      <c r="A189" s="431" t="s">
        <v>1413</v>
      </c>
      <c r="B189" s="432" t="s">
        <v>1414</v>
      </c>
      <c r="C189" s="434"/>
      <c r="D189" s="434"/>
      <c r="E189" s="510"/>
      <c r="F189" s="511"/>
      <c r="G189" s="511"/>
      <c r="H189" s="510">
        <v>71483</v>
      </c>
      <c r="I189" s="511"/>
      <c r="J189" s="511"/>
      <c r="K189" s="510">
        <v>19138</v>
      </c>
      <c r="L189" s="511"/>
      <c r="M189" s="511"/>
      <c r="N189" s="510">
        <v>19091</v>
      </c>
      <c r="O189" s="511"/>
      <c r="P189" s="511"/>
      <c r="Q189" s="510">
        <v>0</v>
      </c>
      <c r="R189" s="511"/>
      <c r="S189" s="511"/>
      <c r="T189" s="510">
        <v>0</v>
      </c>
    </row>
    <row r="190" spans="1:20" x14ac:dyDescent="0.25">
      <c r="A190" s="435"/>
      <c r="B190" s="418" t="s">
        <v>292</v>
      </c>
      <c r="C190" s="437"/>
      <c r="D190" s="437"/>
      <c r="E190" s="512"/>
      <c r="F190" s="513"/>
      <c r="G190" s="513"/>
      <c r="H190" s="512">
        <v>19138</v>
      </c>
      <c r="I190" s="513"/>
      <c r="J190" s="513"/>
      <c r="K190" s="512">
        <v>19138</v>
      </c>
      <c r="L190" s="513"/>
      <c r="M190" s="513"/>
      <c r="N190" s="512">
        <v>19091</v>
      </c>
      <c r="O190" s="513"/>
      <c r="P190" s="513"/>
      <c r="Q190" s="512"/>
      <c r="R190" s="513"/>
      <c r="S190" s="513"/>
      <c r="T190" s="512"/>
    </row>
    <row r="191" spans="1:20" x14ac:dyDescent="0.25">
      <c r="A191" s="435"/>
      <c r="B191" s="418" t="s">
        <v>351</v>
      </c>
      <c r="C191" s="437"/>
      <c r="D191" s="437"/>
      <c r="E191" s="512"/>
      <c r="F191" s="513"/>
      <c r="G191" s="513"/>
      <c r="H191" s="512">
        <v>52345</v>
      </c>
      <c r="I191" s="513"/>
      <c r="J191" s="513"/>
      <c r="K191" s="512">
        <v>0</v>
      </c>
      <c r="L191" s="513"/>
      <c r="M191" s="513"/>
      <c r="N191" s="512">
        <v>47899</v>
      </c>
      <c r="O191" s="513"/>
      <c r="P191" s="513"/>
      <c r="Q191" s="512"/>
      <c r="R191" s="513"/>
      <c r="S191" s="513"/>
      <c r="T191" s="512"/>
    </row>
    <row r="192" spans="1:20" x14ac:dyDescent="0.25">
      <c r="A192" s="435"/>
      <c r="B192" s="418" t="s">
        <v>342</v>
      </c>
      <c r="C192" s="437"/>
      <c r="D192" s="437"/>
      <c r="E192" s="512"/>
      <c r="F192" s="513"/>
      <c r="G192" s="513"/>
      <c r="H192" s="512"/>
      <c r="I192" s="513"/>
      <c r="J192" s="513"/>
      <c r="K192" s="512"/>
      <c r="L192" s="513"/>
      <c r="M192" s="513"/>
      <c r="N192" s="512"/>
      <c r="O192" s="513"/>
      <c r="P192" s="513"/>
      <c r="Q192" s="512"/>
      <c r="R192" s="513"/>
      <c r="S192" s="513"/>
      <c r="T192" s="512"/>
    </row>
    <row r="193" spans="1:20" x14ac:dyDescent="0.25">
      <c r="A193" s="431" t="s">
        <v>1370</v>
      </c>
      <c r="B193" s="432" t="s">
        <v>1480</v>
      </c>
      <c r="C193" s="434"/>
      <c r="D193" s="434"/>
      <c r="E193" s="510"/>
      <c r="F193" s="511"/>
      <c r="G193" s="511"/>
      <c r="H193" s="510">
        <v>8148</v>
      </c>
      <c r="I193" s="511"/>
      <c r="J193" s="511"/>
      <c r="K193" s="510">
        <v>8148</v>
      </c>
      <c r="L193" s="511"/>
      <c r="M193" s="511"/>
      <c r="N193" s="510">
        <v>8065</v>
      </c>
      <c r="O193" s="511"/>
      <c r="P193" s="511"/>
      <c r="Q193" s="510">
        <v>0</v>
      </c>
      <c r="R193" s="511"/>
      <c r="S193" s="511"/>
      <c r="T193" s="510">
        <v>0</v>
      </c>
    </row>
    <row r="194" spans="1:20" x14ac:dyDescent="0.25">
      <c r="A194" s="435"/>
      <c r="B194" s="418" t="s">
        <v>286</v>
      </c>
      <c r="C194" s="437"/>
      <c r="D194" s="437"/>
      <c r="E194" s="512"/>
      <c r="F194" s="513"/>
      <c r="G194" s="513"/>
      <c r="H194" s="512">
        <v>6416</v>
      </c>
      <c r="I194" s="513"/>
      <c r="J194" s="513"/>
      <c r="K194" s="512">
        <v>6416</v>
      </c>
      <c r="L194" s="513"/>
      <c r="M194" s="513"/>
      <c r="N194" s="512">
        <v>1115</v>
      </c>
      <c r="O194" s="513"/>
      <c r="P194" s="513"/>
      <c r="Q194" s="512"/>
      <c r="R194" s="513"/>
      <c r="S194" s="513"/>
      <c r="T194" s="512"/>
    </row>
    <row r="195" spans="1:20" x14ac:dyDescent="0.25">
      <c r="A195" s="435"/>
      <c r="B195" s="418" t="s">
        <v>287</v>
      </c>
      <c r="C195" s="437"/>
      <c r="D195" s="437"/>
      <c r="E195" s="512"/>
      <c r="F195" s="513"/>
      <c r="G195" s="513"/>
      <c r="H195" s="512"/>
      <c r="I195" s="513"/>
      <c r="J195" s="513"/>
      <c r="K195" s="512"/>
      <c r="L195" s="513"/>
      <c r="M195" s="513"/>
      <c r="N195" s="512">
        <v>505</v>
      </c>
      <c r="O195" s="513"/>
      <c r="P195" s="513"/>
      <c r="Q195" s="512"/>
      <c r="R195" s="513"/>
      <c r="S195" s="513"/>
      <c r="T195" s="512"/>
    </row>
    <row r="196" spans="1:20" x14ac:dyDescent="0.25">
      <c r="A196" s="435"/>
      <c r="B196" s="418" t="s">
        <v>1332</v>
      </c>
      <c r="C196" s="437"/>
      <c r="D196" s="437"/>
      <c r="E196" s="512"/>
      <c r="F196" s="513"/>
      <c r="G196" s="513"/>
      <c r="H196" s="512">
        <v>1732</v>
      </c>
      <c r="I196" s="513"/>
      <c r="J196" s="513"/>
      <c r="K196" s="512">
        <v>1732</v>
      </c>
      <c r="L196" s="513"/>
      <c r="M196" s="513"/>
      <c r="N196" s="512">
        <v>6445</v>
      </c>
      <c r="O196" s="513"/>
      <c r="P196" s="513"/>
      <c r="Q196" s="512"/>
      <c r="R196" s="513"/>
      <c r="S196" s="513"/>
      <c r="T196" s="512"/>
    </row>
    <row r="197" spans="1:20" x14ac:dyDescent="0.25">
      <c r="A197" s="537" t="s">
        <v>328</v>
      </c>
      <c r="B197" s="538" t="s">
        <v>660</v>
      </c>
      <c r="C197" s="430"/>
      <c r="D197" s="430"/>
      <c r="E197" s="430">
        <v>0</v>
      </c>
      <c r="F197" s="430">
        <v>0</v>
      </c>
      <c r="G197" s="430"/>
      <c r="H197" s="430">
        <v>0</v>
      </c>
      <c r="I197" s="513"/>
      <c r="J197" s="513"/>
      <c r="K197" s="512"/>
      <c r="L197" s="430"/>
      <c r="M197" s="430"/>
      <c r="N197" s="430">
        <v>0</v>
      </c>
      <c r="O197" s="430"/>
      <c r="P197" s="430"/>
      <c r="Q197" s="430">
        <v>0</v>
      </c>
      <c r="R197" s="430"/>
      <c r="S197" s="430"/>
      <c r="T197" s="430">
        <v>0</v>
      </c>
    </row>
    <row r="198" spans="1:20" s="441" customFormat="1" x14ac:dyDescent="0.25">
      <c r="A198" s="364" t="s">
        <v>1136</v>
      </c>
      <c r="B198" s="429" t="s">
        <v>596</v>
      </c>
      <c r="C198" s="430"/>
      <c r="D198" s="430"/>
      <c r="E198" s="508">
        <v>2822366.2</v>
      </c>
      <c r="F198" s="509"/>
      <c r="G198" s="509"/>
      <c r="H198" s="508">
        <v>3161860</v>
      </c>
      <c r="I198" s="509"/>
      <c r="J198" s="509"/>
      <c r="K198" s="508" t="e">
        <v>#REF!</v>
      </c>
      <c r="L198" s="509"/>
      <c r="M198" s="509"/>
      <c r="N198" s="508">
        <v>2553407</v>
      </c>
      <c r="O198" s="509"/>
      <c r="P198" s="509"/>
      <c r="Q198" s="508">
        <f>+Q199+Q200+Q201</f>
        <v>2758280.1093543307</v>
      </c>
      <c r="R198" s="509"/>
      <c r="S198" s="509"/>
      <c r="T198" s="508">
        <f>+T199+T200+T201</f>
        <v>2956287.33</v>
      </c>
    </row>
    <row r="199" spans="1:20" x14ac:dyDescent="0.25">
      <c r="A199" s="435"/>
      <c r="B199" s="418" t="s">
        <v>759</v>
      </c>
      <c r="C199" s="437"/>
      <c r="D199" s="437"/>
      <c r="E199" s="512">
        <v>2411936.2000000002</v>
      </c>
      <c r="F199" s="513"/>
      <c r="G199" s="513"/>
      <c r="H199" s="512">
        <v>2449987</v>
      </c>
      <c r="I199" s="513"/>
      <c r="J199" s="513"/>
      <c r="K199" s="512" t="e">
        <v>#REF!</v>
      </c>
      <c r="L199" s="513"/>
      <c r="M199" s="513"/>
      <c r="N199" s="512">
        <v>2241534</v>
      </c>
      <c r="O199" s="513"/>
      <c r="P199" s="513"/>
      <c r="Q199" s="512">
        <f>+'3A PH'!V37+'4A Walla'!Q34+'4B Nyitnikék'!Q34+'4C Bóbita'!Q34+'4D MMMH'!Q34+'4E Könyvtár'!Q34+'4F Segítő Kéz'!Q34+'4G Szérüskert'!Q34+'4H VG bev kiad'!Q34+1</f>
        <v>2560572.1093543307</v>
      </c>
      <c r="R199" s="513"/>
      <c r="S199" s="513"/>
      <c r="T199" s="512">
        <f>+'3A PH'!Z37+'4A Walla'!T34+'4B Nyitnikék'!T34+'4C Bóbita'!T34+'4D MMMH'!T34+'4E Könyvtár'!T34+'4F Segítő Kéz'!T34+'4G Szérüskert'!T34+'4H VG bev kiad'!T34</f>
        <v>2626281.33</v>
      </c>
    </row>
    <row r="200" spans="1:20" x14ac:dyDescent="0.25">
      <c r="A200" s="435"/>
      <c r="B200" s="418" t="s">
        <v>760</v>
      </c>
      <c r="C200" s="437"/>
      <c r="D200" s="437"/>
      <c r="E200" s="512">
        <v>10430</v>
      </c>
      <c r="F200" s="513"/>
      <c r="G200" s="513"/>
      <c r="H200" s="512">
        <v>311873</v>
      </c>
      <c r="I200" s="513"/>
      <c r="J200" s="513"/>
      <c r="K200" s="512">
        <v>11619</v>
      </c>
      <c r="L200" s="513"/>
      <c r="M200" s="513"/>
      <c r="N200" s="512">
        <v>311873</v>
      </c>
      <c r="O200" s="513"/>
      <c r="P200" s="513"/>
      <c r="Q200" s="512">
        <v>17063</v>
      </c>
      <c r="R200" s="513"/>
      <c r="S200" s="513"/>
      <c r="T200" s="512">
        <f>17063+105077+27221</f>
        <v>149361</v>
      </c>
    </row>
    <row r="201" spans="1:20" x14ac:dyDescent="0.25">
      <c r="A201" s="435"/>
      <c r="B201" s="418" t="s">
        <v>761</v>
      </c>
      <c r="C201" s="437"/>
      <c r="D201" s="437"/>
      <c r="E201" s="512"/>
      <c r="F201" s="513"/>
      <c r="G201" s="513"/>
      <c r="H201" s="512"/>
      <c r="I201" s="513"/>
      <c r="J201" s="513"/>
      <c r="K201" s="512"/>
      <c r="L201" s="513"/>
      <c r="M201" s="513"/>
      <c r="N201" s="512"/>
      <c r="O201" s="513"/>
      <c r="P201" s="513"/>
      <c r="Q201" s="512">
        <v>180645</v>
      </c>
      <c r="R201" s="513"/>
      <c r="S201" s="513"/>
      <c r="T201" s="512">
        <v>180645</v>
      </c>
    </row>
    <row r="202" spans="1:20" x14ac:dyDescent="0.25">
      <c r="A202" s="435"/>
      <c r="B202" s="418" t="s">
        <v>762</v>
      </c>
      <c r="C202" s="437"/>
      <c r="D202" s="437"/>
      <c r="E202" s="512">
        <v>400000</v>
      </c>
      <c r="F202" s="513"/>
      <c r="G202" s="513"/>
      <c r="H202" s="512">
        <v>400000</v>
      </c>
      <c r="I202" s="513"/>
      <c r="J202" s="513"/>
      <c r="K202" s="512">
        <v>400000</v>
      </c>
      <c r="L202" s="513"/>
      <c r="M202" s="513"/>
      <c r="N202" s="512"/>
      <c r="O202" s="513"/>
      <c r="P202" s="513"/>
      <c r="Q202" s="512"/>
      <c r="R202" s="513"/>
      <c r="S202" s="513"/>
      <c r="T202" s="512"/>
    </row>
    <row r="204" spans="1:20" x14ac:dyDescent="0.25">
      <c r="B204" s="421" t="s">
        <v>286</v>
      </c>
      <c r="E204" s="422">
        <v>237227</v>
      </c>
      <c r="H204" s="422">
        <v>241968</v>
      </c>
      <c r="I204" s="422"/>
      <c r="K204" s="422">
        <v>246168</v>
      </c>
      <c r="N204" s="422">
        <v>161112</v>
      </c>
      <c r="Q204" s="422">
        <f>Q15+Q20+Q29+Q44+Q52+Q63+Q78+Q82+Q102+Q106+Q153+Q160+Q166+Q173+Q179+Q194</f>
        <v>238716</v>
      </c>
      <c r="T204" s="422">
        <f>T15+T20+T29+T44+T52+T63+T78+T82+T102+T106+T153+T160+T166+T173+T179+T194</f>
        <v>238913</v>
      </c>
    </row>
    <row r="205" spans="1:20" x14ac:dyDescent="0.25">
      <c r="B205" s="421" t="s">
        <v>287</v>
      </c>
      <c r="E205" s="422">
        <v>47393</v>
      </c>
      <c r="H205" s="422">
        <v>46449</v>
      </c>
      <c r="K205" s="422">
        <v>47539</v>
      </c>
      <c r="N205" s="422">
        <v>6656</v>
      </c>
      <c r="Q205" s="422">
        <f>Q16+Q21+Q30+Q45+Q53+Q64+Q79+Q83+Q103+Q107+Q154+Q161+Q167+Q174+Q180+Q195</f>
        <v>38669</v>
      </c>
      <c r="T205" s="422">
        <f>T16+T21+T30+T45+T53+T64+T79+T83+T103+T107+T154+T161+T167+T174+T180+T195</f>
        <v>38792</v>
      </c>
    </row>
    <row r="206" spans="1:20" x14ac:dyDescent="0.25">
      <c r="B206" s="421" t="s">
        <v>292</v>
      </c>
      <c r="E206" s="422">
        <v>479365</v>
      </c>
      <c r="H206" s="422">
        <v>1141174</v>
      </c>
      <c r="K206" s="422">
        <v>1159726</v>
      </c>
      <c r="N206" s="422">
        <v>921961</v>
      </c>
      <c r="Q206" s="422">
        <f>Q8+Q12+Q17+Q22+Q25+Q27+Q31+Q34+Q37+Q40+Q46+Q54+Q58+Q60+Q67+Q72+Q75+Q80+Q86+Q88+Q90+Q92+Q94+Q96+Q98+Q100+Q104+Q108+Q113+Q116+Q138+Q134+Q148+Q150+Q155+Q162+Q168+Q175+Q177+Q181+Q184+Q187+Q190+Q196</f>
        <v>389397.7349606299</v>
      </c>
      <c r="T206" s="422">
        <f>T8+T12+T17+T22+T25+T27+T31+T34+T37+T40+T46+T54+T58+T60+T67+T72+T75+T80+T86+T88+T90+T92+T94+T96+T98+T100+T104+T108+T113+T116+T138+T134+T148+T150+T155+T162+T168+T175+T177+T181+T184+T187+T190+T196</f>
        <v>550343</v>
      </c>
    </row>
    <row r="207" spans="1:20" x14ac:dyDescent="0.25">
      <c r="B207" s="421" t="s">
        <v>337</v>
      </c>
      <c r="E207" s="422">
        <v>30000</v>
      </c>
      <c r="H207" s="422">
        <v>30223</v>
      </c>
      <c r="K207" s="422">
        <v>30223</v>
      </c>
      <c r="N207" s="422">
        <v>30094</v>
      </c>
      <c r="Q207" s="422">
        <f>Q61+Q151</f>
        <v>34000</v>
      </c>
      <c r="T207" s="422">
        <f>T61+T151</f>
        <v>36455</v>
      </c>
    </row>
    <row r="208" spans="1:20" x14ac:dyDescent="0.25">
      <c r="B208" s="421" t="s">
        <v>1717</v>
      </c>
      <c r="E208" s="422">
        <v>807881</v>
      </c>
      <c r="H208" s="422">
        <v>702549</v>
      </c>
      <c r="K208" s="422">
        <v>805559</v>
      </c>
      <c r="N208" s="422">
        <v>644365</v>
      </c>
      <c r="Q208" s="422">
        <f>Q47+Q65+Q156+Q48</f>
        <v>510505</v>
      </c>
      <c r="T208" s="422">
        <f>T47+T65+T156+T48</f>
        <v>474348</v>
      </c>
    </row>
    <row r="209" spans="2:20" x14ac:dyDescent="0.25">
      <c r="B209" s="421" t="s">
        <v>351</v>
      </c>
      <c r="E209" s="422">
        <v>1500084.24</v>
      </c>
      <c r="H209" s="422">
        <v>1707630.5</v>
      </c>
      <c r="K209" s="422">
        <v>1934807.4</v>
      </c>
      <c r="N209" s="422">
        <v>1603072</v>
      </c>
      <c r="Q209" s="422">
        <f>Q9+Q13+Q18+Q23+Q32+Q35+Q38+Q42+Q49+Q55+Q68+Q73+Q76+Q109+Q158+Q163+Q170+Q185+Q191</f>
        <v>904481</v>
      </c>
      <c r="T209" s="422">
        <f>T9+T13+T18+T23+T32+T35+T38+T42+T49+T55+T68+T73+T76+T109+T158+T163+T170+T185+T191</f>
        <v>1121947</v>
      </c>
    </row>
    <row r="210" spans="2:20" x14ac:dyDescent="0.25">
      <c r="B210" s="421" t="s">
        <v>1303</v>
      </c>
      <c r="E210" s="422">
        <v>294748</v>
      </c>
      <c r="H210" s="422">
        <v>247922</v>
      </c>
      <c r="K210" s="422">
        <v>320604</v>
      </c>
      <c r="N210" s="422">
        <v>197683</v>
      </c>
      <c r="Q210" s="422">
        <f>Q50+Q69+Q56+Q164+Q171+Q188+Q192</f>
        <v>433382</v>
      </c>
      <c r="T210" s="422">
        <f>T50+T69+T56+T164+T171+T188+T192</f>
        <v>408341</v>
      </c>
    </row>
    <row r="211" spans="2:20" ht="15.8" customHeight="1" x14ac:dyDescent="0.25">
      <c r="B211" s="421" t="s">
        <v>343</v>
      </c>
      <c r="E211" s="422">
        <v>700</v>
      </c>
      <c r="H211" s="422">
        <v>2272</v>
      </c>
      <c r="K211" s="422">
        <v>2272</v>
      </c>
      <c r="N211" s="422">
        <v>572</v>
      </c>
      <c r="Q211" s="422">
        <f>Q10</f>
        <v>700</v>
      </c>
      <c r="T211" s="422">
        <f>T10</f>
        <v>1419</v>
      </c>
    </row>
    <row r="212" spans="2:20" ht="15.8" customHeight="1" x14ac:dyDescent="0.25">
      <c r="B212" s="421" t="s">
        <v>1471</v>
      </c>
      <c r="E212" s="422">
        <v>0</v>
      </c>
      <c r="H212" s="422">
        <v>1000</v>
      </c>
      <c r="K212" s="422">
        <v>1000</v>
      </c>
      <c r="N212" s="422">
        <v>1000</v>
      </c>
      <c r="Q212" s="422">
        <f>Q157</f>
        <v>0</v>
      </c>
      <c r="T212" s="422">
        <f>T157</f>
        <v>0</v>
      </c>
    </row>
    <row r="213" spans="2:20" ht="15.8" customHeight="1" x14ac:dyDescent="0.25">
      <c r="B213" s="421" t="s">
        <v>1715</v>
      </c>
      <c r="E213" s="422"/>
      <c r="H213" s="422"/>
      <c r="K213" s="422"/>
      <c r="N213" s="422"/>
      <c r="Q213" s="422">
        <f>Q84+Q111+Q114+Q118+Q122+Q124+Q126</f>
        <v>45223</v>
      </c>
      <c r="T213" s="422">
        <f>T84+T111+T114+T118+T122+T124+T126</f>
        <v>45223</v>
      </c>
    </row>
    <row r="214" spans="2:20" ht="15.8" customHeight="1" x14ac:dyDescent="0.25">
      <c r="B214" s="421" t="s">
        <v>1716</v>
      </c>
      <c r="E214" s="422"/>
      <c r="H214" s="422"/>
      <c r="K214" s="422"/>
      <c r="N214" s="422"/>
      <c r="Q214" s="422">
        <f>Q41+Q128+Q130+Q132+Q135+Q137+Q140+Q142+Q144+Q146+Q169+Q183</f>
        <v>252132</v>
      </c>
      <c r="T214" s="422">
        <f>T41+T128+T130+T132+T135+T137+T140+T142+T144+T146+T169+T183</f>
        <v>276879</v>
      </c>
    </row>
    <row r="215" spans="2:20" x14ac:dyDescent="0.25">
      <c r="B215" s="421" t="s">
        <v>982</v>
      </c>
      <c r="E215" s="422">
        <v>2822366.2</v>
      </c>
      <c r="H215" s="422">
        <v>3161860</v>
      </c>
      <c r="K215" s="422" t="e">
        <v>#REF!</v>
      </c>
      <c r="N215" s="422">
        <v>2553407</v>
      </c>
      <c r="Q215" s="422">
        <f>Q198</f>
        <v>2758280.1093543307</v>
      </c>
      <c r="T215" s="422">
        <f>T198</f>
        <v>2956287.33</v>
      </c>
    </row>
    <row r="216" spans="2:20" x14ac:dyDescent="0.25">
      <c r="B216" s="421" t="s">
        <v>1302</v>
      </c>
      <c r="E216" s="422">
        <v>6219764.4400000004</v>
      </c>
      <c r="H216" s="422">
        <v>7283047.5</v>
      </c>
      <c r="K216" s="422" t="e">
        <v>#REF!</v>
      </c>
      <c r="N216" s="422">
        <v>6119922</v>
      </c>
      <c r="Q216" s="422">
        <f>SUM(Q204:Q215)</f>
        <v>5605485.8443149608</v>
      </c>
      <c r="T216" s="422">
        <f>SUBTOTAL(9,T204:T215)</f>
        <v>6148947.3300000001</v>
      </c>
    </row>
    <row r="219" spans="2:20" x14ac:dyDescent="0.25">
      <c r="N219" s="422"/>
    </row>
    <row r="220" spans="2:20" x14ac:dyDescent="0.25">
      <c r="N220" s="422"/>
    </row>
    <row r="222" spans="2:20" x14ac:dyDescent="0.25">
      <c r="N222" s="422"/>
    </row>
    <row r="223" spans="2:20" x14ac:dyDescent="0.25">
      <c r="N223" s="422"/>
    </row>
    <row r="226" spans="14:14" x14ac:dyDescent="0.25">
      <c r="N226" s="422"/>
    </row>
  </sheetData>
  <mergeCells count="26">
    <mergeCell ref="A2:A4"/>
    <mergeCell ref="B2:B4"/>
    <mergeCell ref="C2:C3"/>
    <mergeCell ref="D2:D3"/>
    <mergeCell ref="N2:N3"/>
    <mergeCell ref="L4:N4"/>
    <mergeCell ref="E2:E3"/>
    <mergeCell ref="C4:E4"/>
    <mergeCell ref="I2:I3"/>
    <mergeCell ref="J2:J3"/>
    <mergeCell ref="K2:K3"/>
    <mergeCell ref="I4:K4"/>
    <mergeCell ref="F2:F3"/>
    <mergeCell ref="H2:H3"/>
    <mergeCell ref="G2:G3"/>
    <mergeCell ref="F4:H4"/>
    <mergeCell ref="L2:L3"/>
    <mergeCell ref="M2:M3"/>
    <mergeCell ref="T2:T3"/>
    <mergeCell ref="R4:T4"/>
    <mergeCell ref="P2:P3"/>
    <mergeCell ref="Q2:Q3"/>
    <mergeCell ref="O4:Q4"/>
    <mergeCell ref="R2:R3"/>
    <mergeCell ref="S2:S3"/>
    <mergeCell ref="O2:O3"/>
  </mergeCells>
  <printOptions horizontalCentered="1"/>
  <pageMargins left="0.23622047244094491" right="0.23622047244094491" top="0.63" bottom="0.31496062992125984" header="0.15748031496062992" footer="0.15748031496062992"/>
  <pageSetup paperSize="9" scale="85" fitToWidth="2" fitToHeight="6" pageOrder="overThenDown" orientation="portrait" copies="4" r:id="rId1"/>
  <headerFooter>
    <oddHeader>&amp;L2/C.  melléklet a ...../2019. (.......) önkormányzati rendelethez&amp;C&amp;"-,Félkövér"&amp;16
Az Önkormányzat 2019. évi kiadásai feladatonként részletes bontásban</oddHeader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I170"/>
  <sheetViews>
    <sheetView showZeros="0" tabSelected="1" view="pageBreakPreview" zoomScale="75" zoomScaleNormal="100" zoomScaleSheetLayoutView="75" workbookViewId="0">
      <selection activeCell="G5" sqref="G5"/>
    </sheetView>
  </sheetViews>
  <sheetFormatPr defaultColWidth="11.875" defaultRowHeight="15.65" x14ac:dyDescent="0.25"/>
  <cols>
    <col min="1" max="1" width="73.125" style="207" customWidth="1"/>
    <col min="2" max="5" width="13.125" style="207" hidden="1" customWidth="1"/>
    <col min="6" max="6" width="13.125" style="207" customWidth="1"/>
    <col min="7" max="16384" width="11.875" style="207"/>
  </cols>
  <sheetData>
    <row r="1" spans="1:243" ht="14.95" x14ac:dyDescent="0.25">
      <c r="B1" s="208"/>
      <c r="D1" s="208"/>
      <c r="E1" s="208"/>
      <c r="F1" s="208"/>
      <c r="G1" s="208" t="s">
        <v>302</v>
      </c>
    </row>
    <row r="2" spans="1:243" s="210" customFormat="1" ht="70.5" customHeight="1" x14ac:dyDescent="0.25">
      <c r="A2" s="43" t="s">
        <v>306</v>
      </c>
      <c r="B2" s="209" t="s">
        <v>1461</v>
      </c>
      <c r="C2" s="209" t="s">
        <v>1506</v>
      </c>
      <c r="D2" s="209" t="s">
        <v>1507</v>
      </c>
      <c r="E2" s="209" t="s">
        <v>1498</v>
      </c>
      <c r="F2" s="209" t="s">
        <v>1501</v>
      </c>
      <c r="G2" s="209" t="s">
        <v>1713</v>
      </c>
      <c r="HR2" s="211"/>
      <c r="HS2" s="211"/>
      <c r="HT2" s="211"/>
      <c r="HU2" s="211"/>
      <c r="HV2" s="211"/>
      <c r="HW2" s="211"/>
      <c r="HX2" s="211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</row>
    <row r="3" spans="1:243" s="210" customFormat="1" ht="27.7" customHeight="1" x14ac:dyDescent="0.25">
      <c r="A3" s="212" t="s">
        <v>1011</v>
      </c>
      <c r="B3" s="213">
        <v>50000</v>
      </c>
      <c r="C3" s="213">
        <f t="shared" ref="C3:D3" si="0">57021-4667+65+1384+428+160-7500-97-3810-12607-318-635-1905-5987-236-8893</f>
        <v>12403</v>
      </c>
      <c r="D3" s="213">
        <f t="shared" si="0"/>
        <v>12403</v>
      </c>
      <c r="E3" s="213">
        <v>0</v>
      </c>
      <c r="F3" s="213">
        <f>31790+18210</f>
        <v>50000</v>
      </c>
      <c r="G3" s="213">
        <f>50000-11000-1000-116-559-953-2984+4414+890+1953+6134-667-199-3000</f>
        <v>42913</v>
      </c>
      <c r="HR3" s="211"/>
      <c r="HS3" s="211"/>
      <c r="HT3" s="211"/>
      <c r="HU3" s="211"/>
      <c r="HV3" s="211"/>
      <c r="HW3" s="211"/>
      <c r="HX3" s="211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</row>
    <row r="4" spans="1:243" s="214" customFormat="1" ht="23.95" customHeight="1" x14ac:dyDescent="0.25">
      <c r="A4" s="212" t="s">
        <v>1012</v>
      </c>
      <c r="B4" s="213">
        <f>SUM(B5:B24)</f>
        <v>196034</v>
      </c>
      <c r="C4" s="213">
        <f>SUM(C5:C24)</f>
        <v>36251</v>
      </c>
      <c r="D4" s="213">
        <f>SUM(D5:D24)</f>
        <v>36251</v>
      </c>
      <c r="E4" s="213">
        <f>SUM(E5:E23)</f>
        <v>0</v>
      </c>
      <c r="F4" s="213">
        <f>SUM(F5:F24)</f>
        <v>118841</v>
      </c>
      <c r="G4" s="213">
        <f>SUM(G5:G25)</f>
        <v>89771</v>
      </c>
      <c r="HR4" s="215"/>
      <c r="HS4" s="215"/>
      <c r="HT4" s="215"/>
      <c r="HU4" s="215"/>
      <c r="HV4" s="215"/>
      <c r="HW4" s="215"/>
      <c r="HX4" s="215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07"/>
    </row>
    <row r="5" spans="1:243" s="220" customFormat="1" ht="23.95" customHeight="1" x14ac:dyDescent="0.25">
      <c r="A5" s="217" t="s">
        <v>1013</v>
      </c>
      <c r="B5" s="218">
        <f>28500-9966</f>
        <v>18534</v>
      </c>
      <c r="C5" s="218">
        <f t="shared" ref="C5:D5" si="1">18534-18534</f>
        <v>0</v>
      </c>
      <c r="D5" s="218">
        <f t="shared" si="1"/>
        <v>0</v>
      </c>
      <c r="E5" s="218"/>
      <c r="F5" s="218">
        <v>6841</v>
      </c>
      <c r="G5" s="218">
        <v>6841</v>
      </c>
      <c r="HN5" s="221"/>
      <c r="HO5" s="221"/>
      <c r="HP5" s="221"/>
      <c r="HQ5" s="221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</row>
    <row r="6" spans="1:243" s="220" customFormat="1" ht="23.95" customHeight="1" x14ac:dyDescent="0.25">
      <c r="A6" s="217" t="s">
        <v>1014</v>
      </c>
      <c r="B6" s="218">
        <v>4000</v>
      </c>
      <c r="C6" s="218">
        <f t="shared" ref="C6:D6" si="2">1792-150-248-200-750-28-178</f>
        <v>238</v>
      </c>
      <c r="D6" s="218">
        <f t="shared" si="2"/>
        <v>238</v>
      </c>
      <c r="E6" s="218"/>
      <c r="F6" s="218">
        <v>4000</v>
      </c>
      <c r="G6" s="218">
        <f>4000-335-110-400-100-200</f>
        <v>2855</v>
      </c>
      <c r="HN6" s="221"/>
      <c r="HO6" s="221"/>
      <c r="HP6" s="221"/>
      <c r="HQ6" s="221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</row>
    <row r="7" spans="1:243" s="220" customFormat="1" ht="23.95" customHeight="1" x14ac:dyDescent="0.25">
      <c r="A7" s="217" t="s">
        <v>1015</v>
      </c>
      <c r="B7" s="218">
        <v>3500</v>
      </c>
      <c r="C7" s="218">
        <f t="shared" ref="C7:D7" si="3">1438-83-100-100-200-100</f>
        <v>855</v>
      </c>
      <c r="D7" s="218">
        <f t="shared" si="3"/>
        <v>855</v>
      </c>
      <c r="E7" s="218"/>
      <c r="F7" s="218">
        <v>3500</v>
      </c>
      <c r="G7" s="218">
        <f>3500-39-50-150-540-146</f>
        <v>2575</v>
      </c>
      <c r="HN7" s="221"/>
      <c r="HO7" s="221"/>
      <c r="HP7" s="221"/>
      <c r="HQ7" s="221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</row>
    <row r="8" spans="1:243" s="220" customFormat="1" ht="23.95" hidden="1" customHeight="1" x14ac:dyDescent="0.25">
      <c r="A8" s="217" t="s">
        <v>1016</v>
      </c>
      <c r="B8" s="218"/>
      <c r="C8" s="218"/>
      <c r="D8" s="218"/>
      <c r="E8" s="218"/>
      <c r="F8" s="218"/>
      <c r="G8" s="218"/>
      <c r="HN8" s="221"/>
      <c r="HO8" s="221"/>
      <c r="HP8" s="221"/>
      <c r="HQ8" s="221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</row>
    <row r="9" spans="1:243" s="220" customFormat="1" ht="23.95" customHeight="1" x14ac:dyDescent="0.25">
      <c r="A9" s="217" t="s">
        <v>1242</v>
      </c>
      <c r="B9" s="218">
        <v>2000</v>
      </c>
      <c r="C9" s="218">
        <f t="shared" ref="C9:D9" si="4">550-400-100</f>
        <v>50</v>
      </c>
      <c r="D9" s="218">
        <f t="shared" si="4"/>
        <v>50</v>
      </c>
      <c r="E9" s="218"/>
      <c r="F9" s="218">
        <v>0</v>
      </c>
      <c r="G9" s="218">
        <v>0</v>
      </c>
      <c r="HN9" s="221"/>
      <c r="HO9" s="221"/>
      <c r="HP9" s="221"/>
      <c r="HQ9" s="221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</row>
    <row r="10" spans="1:243" s="220" customFormat="1" ht="23.95" customHeight="1" x14ac:dyDescent="0.25">
      <c r="A10" s="217" t="s">
        <v>1243</v>
      </c>
      <c r="B10" s="218">
        <v>2000</v>
      </c>
      <c r="C10" s="218">
        <f t="shared" ref="C10:D10" si="5">2000-430-570</f>
        <v>1000</v>
      </c>
      <c r="D10" s="218">
        <f t="shared" si="5"/>
        <v>1000</v>
      </c>
      <c r="E10" s="218"/>
      <c r="F10" s="218"/>
      <c r="G10" s="218"/>
      <c r="HN10" s="221"/>
      <c r="HO10" s="221"/>
      <c r="HP10" s="221"/>
      <c r="HQ10" s="221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</row>
    <row r="11" spans="1:243" s="220" customFormat="1" ht="23.95" customHeight="1" x14ac:dyDescent="0.25">
      <c r="A11" s="217" t="s">
        <v>1244</v>
      </c>
      <c r="B11" s="218">
        <v>2000</v>
      </c>
      <c r="C11" s="218">
        <f t="shared" ref="C11:D11" si="6">1450-120-730-600</f>
        <v>0</v>
      </c>
      <c r="D11" s="218">
        <f t="shared" si="6"/>
        <v>0</v>
      </c>
      <c r="E11" s="218"/>
      <c r="F11" s="218"/>
      <c r="G11" s="218"/>
      <c r="HN11" s="221"/>
      <c r="HO11" s="221"/>
      <c r="HP11" s="221"/>
      <c r="HQ11" s="221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</row>
    <row r="12" spans="1:243" s="220" customFormat="1" ht="23.95" customHeight="1" x14ac:dyDescent="0.25">
      <c r="A12" s="222" t="s">
        <v>1245</v>
      </c>
      <c r="B12" s="218">
        <v>30000</v>
      </c>
      <c r="C12" s="218">
        <f t="shared" ref="C12:D12" si="7">30000-30000</f>
        <v>0</v>
      </c>
      <c r="D12" s="218">
        <f t="shared" si="7"/>
        <v>0</v>
      </c>
      <c r="E12" s="218"/>
      <c r="F12" s="218">
        <v>30000</v>
      </c>
      <c r="G12" s="218">
        <f>30000-30000</f>
        <v>0</v>
      </c>
      <c r="HN12" s="221"/>
      <c r="HO12" s="221"/>
      <c r="HP12" s="221"/>
      <c r="HQ12" s="221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</row>
    <row r="13" spans="1:243" s="220" customFormat="1" ht="23.95" hidden="1" customHeight="1" x14ac:dyDescent="0.25">
      <c r="A13" s="222" t="s">
        <v>1017</v>
      </c>
      <c r="B13" s="218"/>
      <c r="C13" s="218"/>
      <c r="D13" s="218"/>
      <c r="E13" s="218"/>
      <c r="F13" s="218"/>
      <c r="G13" s="218"/>
      <c r="HN13" s="221"/>
      <c r="HO13" s="221"/>
      <c r="HP13" s="221"/>
      <c r="HQ13" s="221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</row>
    <row r="14" spans="1:243" s="220" customFormat="1" ht="23.95" hidden="1" customHeight="1" x14ac:dyDescent="0.25">
      <c r="A14" s="222" t="s">
        <v>1018</v>
      </c>
      <c r="B14" s="218"/>
      <c r="C14" s="218"/>
      <c r="D14" s="218"/>
      <c r="E14" s="218"/>
      <c r="F14" s="218"/>
      <c r="G14" s="218"/>
      <c r="HN14" s="221"/>
      <c r="HO14" s="221"/>
      <c r="HP14" s="221"/>
      <c r="HQ14" s="221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</row>
    <row r="15" spans="1:243" s="220" customFormat="1" ht="23.95" customHeight="1" x14ac:dyDescent="0.25">
      <c r="A15" s="222" t="s">
        <v>1246</v>
      </c>
      <c r="B15" s="218">
        <v>5000</v>
      </c>
      <c r="C15" s="218">
        <f t="shared" ref="C15:D15" si="8">5000-4918-82</f>
        <v>0</v>
      </c>
      <c r="D15" s="218">
        <f t="shared" si="8"/>
        <v>0</v>
      </c>
      <c r="E15" s="218"/>
      <c r="F15" s="218">
        <v>5500</v>
      </c>
      <c r="G15" s="218">
        <v>5500</v>
      </c>
      <c r="HN15" s="221"/>
      <c r="HO15" s="221"/>
      <c r="HP15" s="221"/>
      <c r="HQ15" s="221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</row>
    <row r="16" spans="1:243" s="220" customFormat="1" ht="23.95" customHeight="1" x14ac:dyDescent="0.25">
      <c r="A16" s="222" t="s">
        <v>1247</v>
      </c>
      <c r="B16" s="218">
        <v>3000</v>
      </c>
      <c r="C16" s="218">
        <f t="shared" ref="C16:D16" si="9">2142-650-900-42-500-50</f>
        <v>0</v>
      </c>
      <c r="D16" s="218">
        <f t="shared" si="9"/>
        <v>0</v>
      </c>
      <c r="E16" s="218"/>
      <c r="F16" s="218">
        <v>3000</v>
      </c>
      <c r="G16" s="218">
        <v>3000</v>
      </c>
      <c r="HN16" s="221"/>
      <c r="HO16" s="221"/>
      <c r="HP16" s="221"/>
      <c r="HQ16" s="221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</row>
    <row r="17" spans="1:243" s="220" customFormat="1" ht="23.95" customHeight="1" x14ac:dyDescent="0.25">
      <c r="A17" s="222" t="s">
        <v>1248</v>
      </c>
      <c r="B17" s="218">
        <v>1000</v>
      </c>
      <c r="C17" s="218">
        <v>1000</v>
      </c>
      <c r="D17" s="218">
        <v>1000</v>
      </c>
      <c r="E17" s="218"/>
      <c r="F17" s="218">
        <v>1000</v>
      </c>
      <c r="G17" s="218">
        <v>1000</v>
      </c>
      <c r="HN17" s="221"/>
      <c r="HO17" s="221"/>
      <c r="HP17" s="221"/>
      <c r="HQ17" s="221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</row>
    <row r="18" spans="1:243" s="220" customFormat="1" ht="23.95" customHeight="1" x14ac:dyDescent="0.25">
      <c r="A18" s="223" t="s">
        <v>1417</v>
      </c>
      <c r="B18" s="218">
        <f>20000-10000</f>
        <v>10000</v>
      </c>
      <c r="C18" s="218">
        <f t="shared" ref="C18:D18" si="10">10000-5975</f>
        <v>4025</v>
      </c>
      <c r="D18" s="218">
        <f t="shared" si="10"/>
        <v>4025</v>
      </c>
      <c r="E18" s="218"/>
      <c r="F18" s="218">
        <v>5000</v>
      </c>
      <c r="G18" s="218">
        <v>5000</v>
      </c>
      <c r="HN18" s="221"/>
      <c r="HO18" s="221"/>
      <c r="HP18" s="221"/>
      <c r="HQ18" s="221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</row>
    <row r="19" spans="1:243" s="220" customFormat="1" ht="23.95" customHeight="1" x14ac:dyDescent="0.25">
      <c r="A19" s="223" t="s">
        <v>1308</v>
      </c>
      <c r="B19" s="218">
        <f>2000-2000</f>
        <v>0</v>
      </c>
      <c r="C19" s="218">
        <f t="shared" ref="C19:D19" si="11">2000-2000</f>
        <v>0</v>
      </c>
      <c r="D19" s="218">
        <f t="shared" si="11"/>
        <v>0</v>
      </c>
      <c r="E19" s="218"/>
      <c r="F19" s="218"/>
      <c r="G19" s="218"/>
      <c r="HN19" s="221"/>
      <c r="HO19" s="221"/>
      <c r="HP19" s="221"/>
      <c r="HQ19" s="221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</row>
    <row r="20" spans="1:243" s="220" customFormat="1" ht="23.95" customHeight="1" x14ac:dyDescent="0.25">
      <c r="A20" s="223" t="s">
        <v>1309</v>
      </c>
      <c r="B20" s="218">
        <v>5000</v>
      </c>
      <c r="C20" s="218">
        <f t="shared" ref="C20:D20" si="12">5000-5000</f>
        <v>0</v>
      </c>
      <c r="D20" s="218">
        <f t="shared" si="12"/>
        <v>0</v>
      </c>
      <c r="E20" s="218"/>
      <c r="F20" s="218"/>
      <c r="G20" s="218"/>
      <c r="HN20" s="221"/>
      <c r="HO20" s="221"/>
      <c r="HP20" s="221"/>
      <c r="HQ20" s="221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</row>
    <row r="21" spans="1:243" s="220" customFormat="1" ht="23.95" customHeight="1" x14ac:dyDescent="0.25">
      <c r="A21" s="223" t="s">
        <v>1311</v>
      </c>
      <c r="B21" s="218">
        <f t="shared" ref="B21" si="13">52490-1294-51196</f>
        <v>0</v>
      </c>
      <c r="C21" s="218">
        <f t="shared" ref="C21:D21" si="14">52490-1294-51196</f>
        <v>0</v>
      </c>
      <c r="D21" s="218">
        <f t="shared" si="14"/>
        <v>0</v>
      </c>
      <c r="E21" s="218"/>
      <c r="F21" s="218"/>
      <c r="G21" s="218"/>
      <c r="HN21" s="221"/>
      <c r="HO21" s="221"/>
      <c r="HP21" s="221"/>
      <c r="HQ21" s="221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</row>
    <row r="22" spans="1:243" s="220" customFormat="1" ht="23.95" customHeight="1" x14ac:dyDescent="0.25">
      <c r="A22" s="223" t="s">
        <v>1312</v>
      </c>
      <c r="B22" s="218">
        <v>60000</v>
      </c>
      <c r="C22" s="218">
        <f t="shared" ref="C22:D22" si="15">30000-30000</f>
        <v>0</v>
      </c>
      <c r="D22" s="218">
        <f t="shared" si="15"/>
        <v>0</v>
      </c>
      <c r="E22" s="218"/>
      <c r="F22" s="218">
        <v>60000</v>
      </c>
      <c r="G22" s="218">
        <v>60000</v>
      </c>
      <c r="HN22" s="221"/>
      <c r="HO22" s="221"/>
      <c r="HP22" s="221"/>
      <c r="HQ22" s="221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</row>
    <row r="23" spans="1:243" s="220" customFormat="1" ht="23.95" customHeight="1" x14ac:dyDescent="0.25">
      <c r="A23" s="223" t="s">
        <v>1411</v>
      </c>
      <c r="B23" s="218">
        <f>100000-50000-20000</f>
        <v>30000</v>
      </c>
      <c r="C23" s="218">
        <f t="shared" ref="C23:D23" si="16">17114-8031</f>
        <v>9083</v>
      </c>
      <c r="D23" s="218">
        <f t="shared" si="16"/>
        <v>9083</v>
      </c>
      <c r="E23" s="218"/>
      <c r="F23" s="218"/>
      <c r="G23" s="218"/>
      <c r="HN23" s="221"/>
      <c r="HO23" s="221"/>
      <c r="HP23" s="221"/>
      <c r="HQ23" s="221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</row>
    <row r="24" spans="1:243" s="220" customFormat="1" ht="23.95" customHeight="1" x14ac:dyDescent="0.25">
      <c r="A24" s="223" t="s">
        <v>1412</v>
      </c>
      <c r="B24" s="218">
        <v>20000</v>
      </c>
      <c r="C24" s="218">
        <v>20000</v>
      </c>
      <c r="D24" s="218">
        <v>20000</v>
      </c>
      <c r="E24" s="218"/>
      <c r="F24" s="218"/>
      <c r="G24" s="218"/>
      <c r="HN24" s="221"/>
      <c r="HO24" s="221"/>
      <c r="HP24" s="221"/>
      <c r="HQ24" s="221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</row>
    <row r="25" spans="1:243" s="220" customFormat="1" ht="23.95" customHeight="1" x14ac:dyDescent="0.25">
      <c r="A25" s="223" t="s">
        <v>1723</v>
      </c>
      <c r="B25" s="218"/>
      <c r="C25" s="218"/>
      <c r="D25" s="218"/>
      <c r="E25" s="218"/>
      <c r="F25" s="218"/>
      <c r="G25" s="218">
        <v>3000</v>
      </c>
      <c r="HN25" s="221"/>
      <c r="HO25" s="221"/>
      <c r="HP25" s="221"/>
      <c r="HQ25" s="221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</row>
    <row r="26" spans="1:243" s="224" customFormat="1" ht="23.95" customHeight="1" x14ac:dyDescent="0.25">
      <c r="A26" s="212" t="s">
        <v>1019</v>
      </c>
      <c r="B26" s="213">
        <f t="shared" ref="B26:F26" si="17">SUM(B27:B33)</f>
        <v>3000</v>
      </c>
      <c r="C26" s="213">
        <f t="shared" si="17"/>
        <v>1428</v>
      </c>
      <c r="D26" s="213">
        <f t="shared" si="17"/>
        <v>1428</v>
      </c>
      <c r="E26" s="213">
        <f t="shared" si="17"/>
        <v>0</v>
      </c>
      <c r="F26" s="213">
        <f t="shared" si="17"/>
        <v>3000</v>
      </c>
      <c r="G26" s="213">
        <f t="shared" ref="G26" si="18">SUM(G27:G33)</f>
        <v>3000</v>
      </c>
      <c r="HN26" s="225"/>
      <c r="HO26" s="225"/>
      <c r="HP26" s="225"/>
      <c r="HQ26" s="225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07"/>
    </row>
    <row r="27" spans="1:243" s="220" customFormat="1" ht="23.95" hidden="1" customHeight="1" x14ac:dyDescent="0.25">
      <c r="A27" s="217" t="s">
        <v>1020</v>
      </c>
      <c r="B27" s="218"/>
      <c r="C27" s="218"/>
      <c r="D27" s="218"/>
      <c r="E27" s="218"/>
      <c r="F27" s="218"/>
      <c r="G27" s="218"/>
      <c r="HN27" s="221"/>
      <c r="HO27" s="221"/>
      <c r="HP27" s="221"/>
      <c r="HQ27" s="221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</row>
    <row r="28" spans="1:243" s="220" customFormat="1" ht="23.95" hidden="1" customHeight="1" x14ac:dyDescent="0.25">
      <c r="A28" s="222" t="s">
        <v>1021</v>
      </c>
      <c r="B28" s="218"/>
      <c r="C28" s="218"/>
      <c r="D28" s="218"/>
      <c r="E28" s="218"/>
      <c r="F28" s="218"/>
      <c r="G28" s="218"/>
      <c r="HN28" s="221"/>
      <c r="HO28" s="221"/>
      <c r="HP28" s="221"/>
      <c r="HQ28" s="221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</row>
    <row r="29" spans="1:243" s="220" customFormat="1" ht="23.95" hidden="1" customHeight="1" x14ac:dyDescent="0.25">
      <c r="A29" s="222" t="s">
        <v>1022</v>
      </c>
      <c r="B29" s="218"/>
      <c r="C29" s="218"/>
      <c r="D29" s="218"/>
      <c r="E29" s="218"/>
      <c r="F29" s="218"/>
      <c r="G29" s="218"/>
      <c r="HN29" s="221"/>
      <c r="HO29" s="221"/>
      <c r="HP29" s="221"/>
      <c r="HQ29" s="221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</row>
    <row r="30" spans="1:243" s="220" customFormat="1" ht="23.95" hidden="1" customHeight="1" x14ac:dyDescent="0.25">
      <c r="A30" s="222" t="s">
        <v>1023</v>
      </c>
      <c r="B30" s="218"/>
      <c r="C30" s="218"/>
      <c r="D30" s="218"/>
      <c r="E30" s="218"/>
      <c r="F30" s="218"/>
      <c r="G30" s="218"/>
      <c r="HN30" s="221"/>
      <c r="HO30" s="221"/>
      <c r="HP30" s="221"/>
      <c r="HQ30" s="221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</row>
    <row r="31" spans="1:243" s="220" customFormat="1" ht="23.95" hidden="1" customHeight="1" x14ac:dyDescent="0.25">
      <c r="A31" s="222" t="s">
        <v>1024</v>
      </c>
      <c r="B31" s="218"/>
      <c r="C31" s="218"/>
      <c r="D31" s="218"/>
      <c r="E31" s="218"/>
      <c r="F31" s="218"/>
      <c r="G31" s="218"/>
      <c r="HN31" s="221"/>
      <c r="HO31" s="221"/>
      <c r="HP31" s="221"/>
      <c r="HQ31" s="221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</row>
    <row r="32" spans="1:243" s="220" customFormat="1" ht="23.95" hidden="1" customHeight="1" x14ac:dyDescent="0.25">
      <c r="A32" s="222" t="s">
        <v>1025</v>
      </c>
      <c r="B32" s="218"/>
      <c r="C32" s="218"/>
      <c r="D32" s="218"/>
      <c r="E32" s="218"/>
      <c r="F32" s="218"/>
      <c r="G32" s="218"/>
      <c r="HN32" s="221"/>
      <c r="HO32" s="221"/>
      <c r="HP32" s="221"/>
      <c r="HQ32" s="221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</row>
    <row r="33" spans="1:243" s="220" customFormat="1" ht="23.95" customHeight="1" x14ac:dyDescent="0.25">
      <c r="A33" s="222" t="s">
        <v>1280</v>
      </c>
      <c r="B33" s="218">
        <v>3000</v>
      </c>
      <c r="C33" s="218">
        <f t="shared" ref="C33:D33" si="19">2428-1000</f>
        <v>1428</v>
      </c>
      <c r="D33" s="218">
        <f t="shared" si="19"/>
        <v>1428</v>
      </c>
      <c r="E33" s="218"/>
      <c r="F33" s="218">
        <v>3000</v>
      </c>
      <c r="G33" s="218">
        <v>3000</v>
      </c>
      <c r="HN33" s="221"/>
      <c r="HO33" s="221"/>
      <c r="HP33" s="221"/>
      <c r="HQ33" s="221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</row>
    <row r="34" spans="1:243" s="228" customFormat="1" ht="23.95" customHeight="1" x14ac:dyDescent="0.25">
      <c r="A34" s="226" t="s">
        <v>1026</v>
      </c>
      <c r="B34" s="227">
        <f t="shared" ref="B34:G34" si="20">B4+B26+B3</f>
        <v>249034</v>
      </c>
      <c r="C34" s="227">
        <f t="shared" si="20"/>
        <v>50082</v>
      </c>
      <c r="D34" s="227">
        <f t="shared" si="20"/>
        <v>50082</v>
      </c>
      <c r="E34" s="227">
        <f t="shared" si="20"/>
        <v>0</v>
      </c>
      <c r="F34" s="227">
        <f t="shared" si="20"/>
        <v>171841</v>
      </c>
      <c r="G34" s="227">
        <f t="shared" si="20"/>
        <v>135684</v>
      </c>
      <c r="HN34" s="229"/>
      <c r="HO34" s="229"/>
      <c r="HP34" s="229"/>
      <c r="HQ34" s="229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1"/>
      <c r="IE34" s="207"/>
      <c r="IF34" s="207"/>
      <c r="IG34" s="207"/>
      <c r="IH34" s="207"/>
      <c r="II34" s="207"/>
    </row>
    <row r="35" spans="1:243" s="220" customFormat="1" ht="14.95" x14ac:dyDescent="0.25">
      <c r="A35" s="232"/>
      <c r="C35" s="219"/>
      <c r="HN35" s="221"/>
      <c r="HO35" s="221"/>
      <c r="HP35" s="221"/>
      <c r="HQ35" s="221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</row>
    <row r="36" spans="1:243" s="220" customFormat="1" ht="14.95" x14ac:dyDescent="0.25">
      <c r="A36" s="232"/>
      <c r="E36" s="219"/>
      <c r="HN36" s="221"/>
      <c r="HO36" s="221"/>
      <c r="HP36" s="221"/>
      <c r="HQ36" s="221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</row>
    <row r="37" spans="1:243" s="220" customFormat="1" ht="14.95" x14ac:dyDescent="0.25">
      <c r="A37" s="232"/>
      <c r="HN37" s="221"/>
      <c r="HO37" s="221"/>
      <c r="HP37" s="221"/>
      <c r="HQ37" s="221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</row>
    <row r="38" spans="1:243" s="220" customFormat="1" ht="14.95" x14ac:dyDescent="0.25">
      <c r="A38" s="232"/>
      <c r="HN38" s="221"/>
      <c r="HO38" s="221"/>
      <c r="HP38" s="221"/>
      <c r="HQ38" s="221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</row>
    <row r="39" spans="1:243" s="220" customFormat="1" ht="14.95" x14ac:dyDescent="0.25">
      <c r="A39" s="232"/>
      <c r="HN39" s="221"/>
      <c r="HO39" s="221"/>
      <c r="HP39" s="221"/>
      <c r="HQ39" s="221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</row>
    <row r="40" spans="1:243" s="220" customFormat="1" ht="14.95" x14ac:dyDescent="0.25">
      <c r="A40" s="232"/>
      <c r="X40" s="233"/>
      <c r="HN40" s="221"/>
      <c r="HO40" s="221"/>
      <c r="HP40" s="221"/>
      <c r="HQ40" s="221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</row>
    <row r="41" spans="1:243" s="220" customFormat="1" ht="14.95" x14ac:dyDescent="0.25">
      <c r="A41" s="232"/>
      <c r="X41" s="234"/>
      <c r="HN41" s="221"/>
      <c r="HO41" s="221"/>
      <c r="HP41" s="221"/>
      <c r="HQ41" s="221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</row>
    <row r="42" spans="1:243" s="220" customFormat="1" ht="14.95" x14ac:dyDescent="0.25">
      <c r="A42" s="232"/>
      <c r="X42" s="234"/>
      <c r="HN42" s="221"/>
      <c r="HO42" s="221"/>
      <c r="HP42" s="221"/>
      <c r="HQ42" s="221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</row>
    <row r="43" spans="1:243" s="220" customFormat="1" ht="14.95" x14ac:dyDescent="0.25">
      <c r="A43" s="232"/>
      <c r="HN43" s="221"/>
      <c r="HO43" s="221"/>
      <c r="HP43" s="221"/>
      <c r="HQ43" s="221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</row>
    <row r="44" spans="1:243" s="220" customFormat="1" ht="14.95" x14ac:dyDescent="0.25">
      <c r="A44" s="232"/>
      <c r="HN44" s="221"/>
      <c r="HO44" s="221"/>
      <c r="HP44" s="221"/>
      <c r="HQ44" s="221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</row>
    <row r="45" spans="1:243" s="220" customFormat="1" ht="14.95" x14ac:dyDescent="0.25">
      <c r="A45" s="232"/>
      <c r="HN45" s="221"/>
      <c r="HO45" s="221"/>
      <c r="HP45" s="221"/>
      <c r="HQ45" s="221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</row>
    <row r="46" spans="1:243" s="220" customFormat="1" ht="14.95" x14ac:dyDescent="0.25">
      <c r="A46" s="232"/>
      <c r="HN46" s="221"/>
      <c r="HO46" s="221"/>
      <c r="HP46" s="221"/>
      <c r="HQ46" s="221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</row>
    <row r="47" spans="1:243" s="220" customFormat="1" ht="14.95" x14ac:dyDescent="0.25">
      <c r="A47" s="232"/>
      <c r="HN47" s="221"/>
      <c r="HO47" s="221"/>
      <c r="HP47" s="221"/>
      <c r="HQ47" s="221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</row>
    <row r="48" spans="1:243" s="220" customFormat="1" ht="14.95" x14ac:dyDescent="0.25">
      <c r="A48" s="232"/>
      <c r="HN48" s="221"/>
      <c r="HO48" s="221"/>
      <c r="HP48" s="221"/>
      <c r="HQ48" s="221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</row>
    <row r="49" spans="1:243" s="220" customFormat="1" ht="14.95" x14ac:dyDescent="0.25">
      <c r="A49" s="232"/>
      <c r="HN49" s="221"/>
      <c r="HO49" s="221"/>
      <c r="HP49" s="221"/>
      <c r="HQ49" s="221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</row>
    <row r="50" spans="1:243" s="220" customFormat="1" ht="14.95" x14ac:dyDescent="0.25">
      <c r="A50" s="232"/>
      <c r="HN50" s="221"/>
      <c r="HO50" s="221"/>
      <c r="HP50" s="221"/>
      <c r="HQ50" s="221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</row>
    <row r="51" spans="1:243" s="220" customFormat="1" ht="14.95" x14ac:dyDescent="0.25">
      <c r="A51" s="232"/>
      <c r="HN51" s="221"/>
      <c r="HO51" s="221"/>
      <c r="HP51" s="221"/>
      <c r="HQ51" s="221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</row>
    <row r="52" spans="1:243" s="220" customFormat="1" ht="14.95" x14ac:dyDescent="0.25">
      <c r="A52" s="232"/>
      <c r="HN52" s="221"/>
      <c r="HO52" s="221"/>
      <c r="HP52" s="221"/>
      <c r="HQ52" s="221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</row>
    <row r="53" spans="1:243" s="220" customFormat="1" ht="14.95" x14ac:dyDescent="0.25">
      <c r="A53" s="232"/>
      <c r="HN53" s="221"/>
      <c r="HO53" s="221"/>
      <c r="HP53" s="221"/>
      <c r="HQ53" s="221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</row>
    <row r="54" spans="1:243" s="220" customFormat="1" ht="14.95" x14ac:dyDescent="0.25">
      <c r="A54" s="232"/>
      <c r="HN54" s="221"/>
      <c r="HO54" s="221"/>
      <c r="HP54" s="221"/>
      <c r="HQ54" s="221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</row>
    <row r="55" spans="1:243" s="220" customFormat="1" ht="14.95" x14ac:dyDescent="0.25">
      <c r="A55" s="232"/>
      <c r="HN55" s="221"/>
      <c r="HO55" s="221"/>
      <c r="HP55" s="221"/>
      <c r="HQ55" s="221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</row>
    <row r="56" spans="1:243" s="220" customFormat="1" ht="14.95" x14ac:dyDescent="0.25">
      <c r="A56" s="232"/>
      <c r="HN56" s="221"/>
      <c r="HO56" s="221"/>
      <c r="HP56" s="221"/>
      <c r="HQ56" s="221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</row>
    <row r="57" spans="1:243" s="220" customFormat="1" ht="14.95" x14ac:dyDescent="0.25">
      <c r="A57" s="232"/>
      <c r="HN57" s="221"/>
      <c r="HO57" s="221"/>
      <c r="HP57" s="221"/>
      <c r="HQ57" s="221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</row>
    <row r="58" spans="1:243" s="220" customFormat="1" ht="14.95" x14ac:dyDescent="0.25">
      <c r="A58" s="232"/>
      <c r="HN58" s="221"/>
      <c r="HO58" s="221"/>
      <c r="HP58" s="221"/>
      <c r="HQ58" s="221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</row>
    <row r="59" spans="1:243" s="220" customFormat="1" ht="14.95" x14ac:dyDescent="0.25">
      <c r="A59" s="232"/>
      <c r="HN59" s="221"/>
      <c r="HO59" s="221"/>
      <c r="HP59" s="221"/>
      <c r="HQ59" s="221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</row>
    <row r="60" spans="1:243" s="220" customFormat="1" ht="14.95" x14ac:dyDescent="0.25">
      <c r="A60" s="232"/>
      <c r="HN60" s="221"/>
      <c r="HO60" s="221"/>
      <c r="HP60" s="221"/>
      <c r="HQ60" s="221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</row>
    <row r="61" spans="1:243" s="220" customFormat="1" ht="14.95" x14ac:dyDescent="0.25">
      <c r="A61" s="232"/>
      <c r="HN61" s="221"/>
      <c r="HO61" s="221"/>
      <c r="HP61" s="221"/>
      <c r="HQ61" s="221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</row>
    <row r="62" spans="1:243" s="220" customFormat="1" x14ac:dyDescent="0.25">
      <c r="A62" s="232"/>
      <c r="HN62" s="221"/>
      <c r="HO62" s="221"/>
      <c r="HP62" s="221"/>
      <c r="HQ62" s="221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</row>
    <row r="63" spans="1:243" s="220" customFormat="1" x14ac:dyDescent="0.25">
      <c r="A63" s="232"/>
      <c r="HN63" s="221"/>
      <c r="HO63" s="221"/>
      <c r="HP63" s="221"/>
      <c r="HQ63" s="221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</row>
    <row r="64" spans="1:243" s="220" customFormat="1" x14ac:dyDescent="0.25">
      <c r="A64" s="232"/>
      <c r="HN64" s="221"/>
      <c r="HO64" s="221"/>
      <c r="HP64" s="221"/>
      <c r="HQ64" s="221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</row>
    <row r="65" spans="1:243" s="220" customFormat="1" x14ac:dyDescent="0.25">
      <c r="A65" s="232"/>
      <c r="HN65" s="221"/>
      <c r="HO65" s="221"/>
      <c r="HP65" s="221"/>
      <c r="HQ65" s="221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</row>
    <row r="66" spans="1:243" s="220" customFormat="1" x14ac:dyDescent="0.25">
      <c r="A66" s="232"/>
      <c r="HN66" s="221"/>
      <c r="HO66" s="221"/>
      <c r="HP66" s="221"/>
      <c r="HQ66" s="221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</row>
    <row r="67" spans="1:243" s="220" customFormat="1" x14ac:dyDescent="0.25">
      <c r="A67" s="232"/>
      <c r="HN67" s="221"/>
      <c r="HO67" s="221"/>
      <c r="HP67" s="221"/>
      <c r="HQ67" s="221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</row>
    <row r="68" spans="1:243" s="220" customFormat="1" x14ac:dyDescent="0.25">
      <c r="A68" s="232"/>
      <c r="HN68" s="221"/>
      <c r="HO68" s="221"/>
      <c r="HP68" s="221"/>
      <c r="HQ68" s="221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</row>
    <row r="69" spans="1:243" s="220" customFormat="1" x14ac:dyDescent="0.25">
      <c r="A69" s="232"/>
      <c r="HN69" s="221"/>
      <c r="HO69" s="221"/>
      <c r="HP69" s="221"/>
      <c r="HQ69" s="221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</row>
    <row r="70" spans="1:243" s="220" customFormat="1" x14ac:dyDescent="0.25">
      <c r="A70" s="232"/>
      <c r="HN70" s="221"/>
      <c r="HO70" s="221"/>
      <c r="HP70" s="221"/>
      <c r="HQ70" s="221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</row>
    <row r="71" spans="1:243" s="220" customFormat="1" x14ac:dyDescent="0.25">
      <c r="A71" s="232"/>
      <c r="HN71" s="221"/>
      <c r="HO71" s="221"/>
      <c r="HP71" s="221"/>
      <c r="HQ71" s="221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</row>
    <row r="72" spans="1:243" s="220" customFormat="1" x14ac:dyDescent="0.25">
      <c r="A72" s="232"/>
      <c r="HN72" s="221"/>
      <c r="HO72" s="221"/>
      <c r="HP72" s="221"/>
      <c r="HQ72" s="221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</row>
    <row r="73" spans="1:243" s="220" customFormat="1" x14ac:dyDescent="0.25">
      <c r="A73" s="232"/>
      <c r="HN73" s="221"/>
      <c r="HO73" s="221"/>
      <c r="HP73" s="221"/>
      <c r="HQ73" s="221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</row>
    <row r="74" spans="1:243" s="220" customFormat="1" x14ac:dyDescent="0.25">
      <c r="A74" s="232"/>
      <c r="HN74" s="221"/>
      <c r="HO74" s="221"/>
      <c r="HP74" s="221"/>
      <c r="HQ74" s="221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</row>
    <row r="75" spans="1:243" s="220" customFormat="1" x14ac:dyDescent="0.25">
      <c r="A75" s="232"/>
      <c r="HN75" s="221"/>
      <c r="HO75" s="221"/>
      <c r="HP75" s="221"/>
      <c r="HQ75" s="221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</row>
    <row r="76" spans="1:243" s="220" customFormat="1" x14ac:dyDescent="0.25">
      <c r="A76" s="232"/>
      <c r="HN76" s="221"/>
      <c r="HO76" s="221"/>
      <c r="HP76" s="221"/>
      <c r="HQ76" s="221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</row>
    <row r="77" spans="1:243" s="220" customFormat="1" x14ac:dyDescent="0.25">
      <c r="A77" s="232"/>
      <c r="HN77" s="221"/>
      <c r="HO77" s="221"/>
      <c r="HP77" s="221"/>
      <c r="HQ77" s="221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</row>
    <row r="78" spans="1:243" s="220" customFormat="1" x14ac:dyDescent="0.25">
      <c r="A78" s="232"/>
      <c r="HN78" s="221"/>
      <c r="HO78" s="221"/>
      <c r="HP78" s="221"/>
      <c r="HQ78" s="221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</row>
    <row r="79" spans="1:243" s="220" customFormat="1" x14ac:dyDescent="0.25">
      <c r="A79" s="232"/>
      <c r="HN79" s="221"/>
      <c r="HO79" s="221"/>
      <c r="HP79" s="221"/>
      <c r="HQ79" s="221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</row>
    <row r="80" spans="1:243" s="220" customFormat="1" x14ac:dyDescent="0.25">
      <c r="A80" s="232"/>
      <c r="HN80" s="221"/>
      <c r="HO80" s="221"/>
      <c r="HP80" s="221"/>
      <c r="HQ80" s="221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</row>
    <row r="81" spans="1:243" s="220" customFormat="1" x14ac:dyDescent="0.25">
      <c r="A81" s="232"/>
      <c r="HN81" s="221"/>
      <c r="HO81" s="221"/>
      <c r="HP81" s="221"/>
      <c r="HQ81" s="221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</row>
    <row r="82" spans="1:243" s="220" customFormat="1" x14ac:dyDescent="0.25">
      <c r="A82" s="232"/>
      <c r="HN82" s="221"/>
      <c r="HO82" s="221"/>
      <c r="HP82" s="221"/>
      <c r="HQ82" s="221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</row>
    <row r="83" spans="1:243" s="220" customFormat="1" x14ac:dyDescent="0.25">
      <c r="A83" s="232"/>
      <c r="HN83" s="221"/>
      <c r="HO83" s="221"/>
      <c r="HP83" s="221"/>
      <c r="HQ83" s="221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</row>
    <row r="84" spans="1:243" s="220" customFormat="1" x14ac:dyDescent="0.25">
      <c r="A84" s="232"/>
      <c r="HN84" s="221"/>
      <c r="HO84" s="221"/>
      <c r="HP84" s="221"/>
      <c r="HQ84" s="221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</row>
    <row r="85" spans="1:243" s="220" customFormat="1" x14ac:dyDescent="0.25">
      <c r="A85" s="232"/>
      <c r="HN85" s="221"/>
      <c r="HO85" s="221"/>
      <c r="HP85" s="221"/>
      <c r="HQ85" s="221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</row>
    <row r="86" spans="1:243" s="220" customFormat="1" x14ac:dyDescent="0.25">
      <c r="A86" s="232"/>
      <c r="HN86" s="221"/>
      <c r="HO86" s="221"/>
      <c r="HP86" s="221"/>
      <c r="HQ86" s="221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</row>
    <row r="87" spans="1:243" s="220" customFormat="1" x14ac:dyDescent="0.25">
      <c r="A87" s="232"/>
      <c r="HN87" s="221"/>
      <c r="HO87" s="221"/>
      <c r="HP87" s="221"/>
      <c r="HQ87" s="221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</row>
    <row r="88" spans="1:243" s="220" customFormat="1" x14ac:dyDescent="0.25">
      <c r="A88" s="232"/>
      <c r="HN88" s="221"/>
      <c r="HO88" s="221"/>
      <c r="HP88" s="221"/>
      <c r="HQ88" s="221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</row>
    <row r="89" spans="1:243" s="220" customFormat="1" x14ac:dyDescent="0.25">
      <c r="A89" s="232"/>
      <c r="HN89" s="221"/>
      <c r="HO89" s="221"/>
      <c r="HP89" s="221"/>
      <c r="HQ89" s="221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</row>
    <row r="90" spans="1:243" s="220" customFormat="1" x14ac:dyDescent="0.25">
      <c r="A90" s="232"/>
      <c r="HN90" s="221"/>
      <c r="HO90" s="221"/>
      <c r="HP90" s="221"/>
      <c r="HQ90" s="221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</row>
    <row r="91" spans="1:243" s="220" customFormat="1" x14ac:dyDescent="0.25">
      <c r="A91" s="232"/>
      <c r="HN91" s="221"/>
      <c r="HO91" s="221"/>
      <c r="HP91" s="221"/>
      <c r="HQ91" s="221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</row>
    <row r="92" spans="1:243" s="220" customFormat="1" x14ac:dyDescent="0.25">
      <c r="A92" s="232"/>
      <c r="HN92" s="221"/>
      <c r="HO92" s="221"/>
      <c r="HP92" s="221"/>
      <c r="HQ92" s="221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</row>
    <row r="93" spans="1:243" s="220" customFormat="1" x14ac:dyDescent="0.25">
      <c r="A93" s="232"/>
      <c r="HN93" s="221"/>
      <c r="HO93" s="221"/>
      <c r="HP93" s="221"/>
      <c r="HQ93" s="221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</row>
    <row r="94" spans="1:243" s="220" customFormat="1" x14ac:dyDescent="0.25">
      <c r="A94" s="232"/>
      <c r="HN94" s="221"/>
      <c r="HO94" s="221"/>
      <c r="HP94" s="221"/>
      <c r="HQ94" s="221"/>
      <c r="HR94" s="207"/>
      <c r="HS94" s="207"/>
      <c r="HT94" s="207"/>
      <c r="HU94" s="207"/>
      <c r="HV94" s="207"/>
      <c r="HW94" s="207"/>
      <c r="HX94" s="207"/>
      <c r="HY94" s="207"/>
      <c r="HZ94" s="207"/>
      <c r="IA94" s="207"/>
      <c r="IB94" s="207"/>
      <c r="IC94" s="207"/>
      <c r="ID94" s="207"/>
      <c r="IE94" s="207"/>
      <c r="IF94" s="207"/>
      <c r="IG94" s="207"/>
      <c r="IH94" s="207"/>
      <c r="II94" s="207"/>
    </row>
    <row r="95" spans="1:243" s="220" customFormat="1" x14ac:dyDescent="0.25">
      <c r="A95" s="232"/>
      <c r="HN95" s="221"/>
      <c r="HO95" s="221"/>
      <c r="HP95" s="221"/>
      <c r="HQ95" s="221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</row>
    <row r="96" spans="1:243" s="220" customFormat="1" x14ac:dyDescent="0.25">
      <c r="A96" s="232"/>
      <c r="HN96" s="221"/>
      <c r="HO96" s="221"/>
      <c r="HP96" s="221"/>
      <c r="HQ96" s="221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</row>
    <row r="97" spans="1:243" s="220" customFormat="1" x14ac:dyDescent="0.25">
      <c r="A97" s="232"/>
      <c r="HN97" s="221"/>
      <c r="HO97" s="221"/>
      <c r="HP97" s="221"/>
      <c r="HQ97" s="221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</row>
    <row r="98" spans="1:243" s="220" customFormat="1" x14ac:dyDescent="0.25">
      <c r="A98" s="232"/>
      <c r="HN98" s="221"/>
      <c r="HO98" s="221"/>
      <c r="HP98" s="221"/>
      <c r="HQ98" s="221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</row>
    <row r="99" spans="1:243" s="220" customFormat="1" x14ac:dyDescent="0.25">
      <c r="A99" s="232"/>
      <c r="HN99" s="221"/>
      <c r="HO99" s="221"/>
      <c r="HP99" s="221"/>
      <c r="HQ99" s="221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</row>
    <row r="100" spans="1:243" s="220" customFormat="1" x14ac:dyDescent="0.25">
      <c r="A100" s="232"/>
      <c r="HN100" s="221"/>
      <c r="HO100" s="221"/>
      <c r="HP100" s="221"/>
      <c r="HQ100" s="221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</row>
    <row r="101" spans="1:243" s="220" customFormat="1" x14ac:dyDescent="0.25">
      <c r="A101" s="232"/>
      <c r="HN101" s="221"/>
      <c r="HO101" s="221"/>
      <c r="HP101" s="221"/>
      <c r="HQ101" s="221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</row>
    <row r="102" spans="1:243" s="220" customFormat="1" x14ac:dyDescent="0.25">
      <c r="A102" s="232"/>
      <c r="HN102" s="221"/>
      <c r="HO102" s="221"/>
      <c r="HP102" s="221"/>
      <c r="HQ102" s="221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</row>
    <row r="103" spans="1:243" s="220" customFormat="1" x14ac:dyDescent="0.25">
      <c r="A103" s="232"/>
      <c r="HN103" s="221"/>
      <c r="HO103" s="221"/>
      <c r="HP103" s="221"/>
      <c r="HQ103" s="221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</row>
    <row r="104" spans="1:243" s="220" customFormat="1" x14ac:dyDescent="0.25">
      <c r="A104" s="232"/>
      <c r="HN104" s="221"/>
      <c r="HO104" s="221"/>
      <c r="HP104" s="221"/>
      <c r="HQ104" s="221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</row>
    <row r="105" spans="1:243" s="220" customFormat="1" x14ac:dyDescent="0.25">
      <c r="A105" s="232"/>
      <c r="HN105" s="221"/>
      <c r="HO105" s="221"/>
      <c r="HP105" s="221"/>
      <c r="HQ105" s="221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</row>
    <row r="106" spans="1:243" s="220" customFormat="1" x14ac:dyDescent="0.25">
      <c r="A106" s="232"/>
      <c r="HN106" s="221"/>
      <c r="HO106" s="221"/>
      <c r="HP106" s="221"/>
      <c r="HQ106" s="221"/>
      <c r="HR106" s="207"/>
      <c r="HS106" s="207"/>
      <c r="HT106" s="207"/>
      <c r="HU106" s="207"/>
      <c r="HV106" s="207"/>
      <c r="HW106" s="207"/>
      <c r="HX106" s="207"/>
      <c r="HY106" s="207"/>
      <c r="HZ106" s="207"/>
      <c r="IA106" s="207"/>
      <c r="IB106" s="207"/>
      <c r="IC106" s="207"/>
      <c r="ID106" s="207"/>
      <c r="IE106" s="207"/>
      <c r="IF106" s="207"/>
      <c r="IG106" s="207"/>
      <c r="IH106" s="207"/>
      <c r="II106" s="207"/>
    </row>
    <row r="107" spans="1:243" s="220" customFormat="1" x14ac:dyDescent="0.25">
      <c r="A107" s="232"/>
      <c r="HN107" s="221"/>
      <c r="HO107" s="221"/>
      <c r="HP107" s="221"/>
      <c r="HQ107" s="221"/>
      <c r="HR107" s="207"/>
      <c r="HS107" s="207"/>
      <c r="HT107" s="207"/>
      <c r="HU107" s="207"/>
      <c r="HV107" s="207"/>
      <c r="HW107" s="207"/>
      <c r="HX107" s="207"/>
      <c r="HY107" s="207"/>
      <c r="HZ107" s="207"/>
      <c r="IA107" s="207"/>
      <c r="IB107" s="207"/>
      <c r="IC107" s="207"/>
      <c r="ID107" s="207"/>
      <c r="IE107" s="207"/>
      <c r="IF107" s="207"/>
      <c r="IG107" s="207"/>
      <c r="IH107" s="207"/>
      <c r="II107" s="207"/>
    </row>
    <row r="108" spans="1:243" s="220" customFormat="1" x14ac:dyDescent="0.25">
      <c r="A108" s="232"/>
      <c r="HN108" s="221"/>
      <c r="HO108" s="221"/>
      <c r="HP108" s="221"/>
      <c r="HQ108" s="221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</row>
    <row r="109" spans="1:243" s="220" customFormat="1" x14ac:dyDescent="0.25">
      <c r="A109" s="232"/>
      <c r="HN109" s="221"/>
      <c r="HO109" s="221"/>
      <c r="HP109" s="221"/>
      <c r="HQ109" s="221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</row>
    <row r="110" spans="1:243" s="220" customFormat="1" x14ac:dyDescent="0.25">
      <c r="A110" s="232"/>
      <c r="HN110" s="221"/>
      <c r="HO110" s="221"/>
      <c r="HP110" s="221"/>
      <c r="HQ110" s="221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</row>
    <row r="111" spans="1:243" s="220" customFormat="1" x14ac:dyDescent="0.25">
      <c r="A111" s="232"/>
      <c r="HN111" s="221"/>
      <c r="HO111" s="221"/>
      <c r="HP111" s="221"/>
      <c r="HQ111" s="221"/>
      <c r="HR111" s="207"/>
      <c r="HS111" s="207"/>
      <c r="HT111" s="207"/>
      <c r="HU111" s="207"/>
      <c r="HV111" s="207"/>
      <c r="HW111" s="207"/>
      <c r="HX111" s="207"/>
      <c r="HY111" s="207"/>
      <c r="HZ111" s="207"/>
      <c r="IA111" s="207"/>
      <c r="IB111" s="207"/>
      <c r="IC111" s="207"/>
      <c r="ID111" s="207"/>
      <c r="IE111" s="207"/>
      <c r="IF111" s="207"/>
      <c r="IG111" s="207"/>
      <c r="IH111" s="207"/>
      <c r="II111" s="207"/>
    </row>
    <row r="112" spans="1:243" s="220" customFormat="1" x14ac:dyDescent="0.25">
      <c r="A112" s="232"/>
      <c r="HN112" s="221"/>
      <c r="HO112" s="221"/>
      <c r="HP112" s="221"/>
      <c r="HQ112" s="221"/>
      <c r="HR112" s="207"/>
      <c r="HS112" s="207"/>
      <c r="HT112" s="207"/>
      <c r="HU112" s="207"/>
      <c r="HV112" s="207"/>
      <c r="HW112" s="207"/>
      <c r="HX112" s="207"/>
      <c r="HY112" s="207"/>
      <c r="HZ112" s="207"/>
      <c r="IA112" s="207"/>
      <c r="IB112" s="207"/>
      <c r="IC112" s="207"/>
      <c r="ID112" s="207"/>
      <c r="IE112" s="207"/>
      <c r="IF112" s="207"/>
      <c r="IG112" s="207"/>
      <c r="IH112" s="207"/>
      <c r="II112" s="207"/>
    </row>
    <row r="113" spans="1:243" s="220" customFormat="1" x14ac:dyDescent="0.25">
      <c r="A113" s="232"/>
      <c r="HN113" s="221"/>
      <c r="HO113" s="221"/>
      <c r="HP113" s="221"/>
      <c r="HQ113" s="221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</row>
    <row r="114" spans="1:243" s="220" customFormat="1" x14ac:dyDescent="0.25">
      <c r="A114" s="232"/>
      <c r="HN114" s="221"/>
      <c r="HO114" s="221"/>
      <c r="HP114" s="221"/>
      <c r="HQ114" s="221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</row>
    <row r="115" spans="1:243" s="220" customFormat="1" x14ac:dyDescent="0.25">
      <c r="A115" s="232"/>
      <c r="HN115" s="221"/>
      <c r="HO115" s="221"/>
      <c r="HP115" s="221"/>
      <c r="HQ115" s="221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</row>
    <row r="116" spans="1:243" s="220" customFormat="1" x14ac:dyDescent="0.25">
      <c r="A116" s="232"/>
      <c r="HN116" s="221"/>
      <c r="HO116" s="221"/>
      <c r="HP116" s="221"/>
      <c r="HQ116" s="221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</row>
    <row r="117" spans="1:243" s="220" customFormat="1" x14ac:dyDescent="0.25">
      <c r="A117" s="232"/>
      <c r="HN117" s="221"/>
      <c r="HO117" s="221"/>
      <c r="HP117" s="221"/>
      <c r="HQ117" s="221"/>
      <c r="HR117" s="207"/>
      <c r="HS117" s="207"/>
      <c r="HT117" s="207"/>
      <c r="HU117" s="207"/>
      <c r="HV117" s="207"/>
      <c r="HW117" s="207"/>
      <c r="HX117" s="207"/>
      <c r="HY117" s="207"/>
      <c r="HZ117" s="207"/>
      <c r="IA117" s="207"/>
      <c r="IB117" s="207"/>
      <c r="IC117" s="207"/>
      <c r="ID117" s="207"/>
      <c r="IE117" s="207"/>
      <c r="IF117" s="207"/>
      <c r="IG117" s="207"/>
      <c r="IH117" s="207"/>
      <c r="II117" s="207"/>
    </row>
    <row r="118" spans="1:243" s="220" customFormat="1" x14ac:dyDescent="0.25">
      <c r="A118" s="232"/>
      <c r="HN118" s="221"/>
      <c r="HO118" s="221"/>
      <c r="HP118" s="221"/>
      <c r="HQ118" s="221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</row>
    <row r="119" spans="1:243" s="220" customFormat="1" x14ac:dyDescent="0.25">
      <c r="A119" s="232"/>
      <c r="HN119" s="221"/>
      <c r="HO119" s="221"/>
      <c r="HP119" s="221"/>
      <c r="HQ119" s="221"/>
      <c r="HR119" s="207"/>
      <c r="HS119" s="207"/>
      <c r="HT119" s="207"/>
      <c r="HU119" s="207"/>
      <c r="HV119" s="207"/>
      <c r="HW119" s="207"/>
      <c r="HX119" s="207"/>
      <c r="HY119" s="207"/>
      <c r="HZ119" s="207"/>
      <c r="IA119" s="207"/>
      <c r="IB119" s="207"/>
      <c r="IC119" s="207"/>
      <c r="ID119" s="207"/>
      <c r="IE119" s="207"/>
      <c r="IF119" s="207"/>
      <c r="IG119" s="207"/>
      <c r="IH119" s="207"/>
      <c r="II119" s="207"/>
    </row>
    <row r="120" spans="1:243" s="220" customFormat="1" x14ac:dyDescent="0.25">
      <c r="A120" s="232"/>
      <c r="HN120" s="221"/>
      <c r="HO120" s="221"/>
      <c r="HP120" s="221"/>
      <c r="HQ120" s="221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</row>
    <row r="121" spans="1:243" s="220" customFormat="1" x14ac:dyDescent="0.25">
      <c r="A121" s="232"/>
      <c r="HN121" s="221"/>
      <c r="HO121" s="221"/>
      <c r="HP121" s="221"/>
      <c r="HQ121" s="221"/>
      <c r="HR121" s="207"/>
      <c r="HS121" s="207"/>
      <c r="HT121" s="207"/>
      <c r="HU121" s="207"/>
      <c r="HV121" s="207"/>
      <c r="HW121" s="207"/>
      <c r="HX121" s="207"/>
      <c r="HY121" s="207"/>
      <c r="HZ121" s="207"/>
      <c r="IA121" s="207"/>
      <c r="IB121" s="207"/>
      <c r="IC121" s="207"/>
      <c r="ID121" s="207"/>
      <c r="IE121" s="207"/>
      <c r="IF121" s="207"/>
      <c r="IG121" s="207"/>
      <c r="IH121" s="207"/>
      <c r="II121" s="207"/>
    </row>
    <row r="122" spans="1:243" s="220" customFormat="1" x14ac:dyDescent="0.25">
      <c r="A122" s="232"/>
      <c r="HN122" s="221"/>
      <c r="HO122" s="221"/>
      <c r="HP122" s="221"/>
      <c r="HQ122" s="221"/>
      <c r="HR122" s="207"/>
      <c r="HS122" s="207"/>
      <c r="HT122" s="207"/>
      <c r="HU122" s="207"/>
      <c r="HV122" s="207"/>
      <c r="HW122" s="207"/>
      <c r="HX122" s="207"/>
      <c r="HY122" s="207"/>
      <c r="HZ122" s="207"/>
      <c r="IA122" s="207"/>
      <c r="IB122" s="207"/>
      <c r="IC122" s="207"/>
      <c r="ID122" s="207"/>
      <c r="IE122" s="207"/>
      <c r="IF122" s="207"/>
      <c r="IG122" s="207"/>
      <c r="IH122" s="207"/>
      <c r="II122" s="207"/>
    </row>
    <row r="123" spans="1:243" s="220" customFormat="1" x14ac:dyDescent="0.25">
      <c r="A123" s="232"/>
      <c r="HN123" s="221"/>
      <c r="HO123" s="221"/>
      <c r="HP123" s="221"/>
      <c r="HQ123" s="221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</row>
    <row r="124" spans="1:243" s="220" customFormat="1" x14ac:dyDescent="0.25">
      <c r="A124" s="232"/>
      <c r="HN124" s="221"/>
      <c r="HO124" s="221"/>
      <c r="HP124" s="221"/>
      <c r="HQ124" s="221"/>
      <c r="HR124" s="207"/>
      <c r="HS124" s="207"/>
      <c r="HT124" s="207"/>
      <c r="HU124" s="207"/>
      <c r="HV124" s="207"/>
      <c r="HW124" s="207"/>
      <c r="HX124" s="207"/>
      <c r="HY124" s="207"/>
      <c r="HZ124" s="207"/>
      <c r="IA124" s="207"/>
      <c r="IB124" s="207"/>
      <c r="IC124" s="207"/>
      <c r="ID124" s="207"/>
      <c r="IE124" s="207"/>
      <c r="IF124" s="207"/>
      <c r="IG124" s="207"/>
      <c r="IH124" s="207"/>
      <c r="II124" s="207"/>
    </row>
    <row r="125" spans="1:243" s="220" customFormat="1" x14ac:dyDescent="0.25">
      <c r="A125" s="232"/>
      <c r="HN125" s="221"/>
      <c r="HO125" s="221"/>
      <c r="HP125" s="221"/>
      <c r="HQ125" s="221"/>
      <c r="HR125" s="207"/>
      <c r="HS125" s="207"/>
      <c r="HT125" s="207"/>
      <c r="HU125" s="207"/>
      <c r="HV125" s="207"/>
      <c r="HW125" s="207"/>
      <c r="HX125" s="207"/>
      <c r="HY125" s="207"/>
      <c r="HZ125" s="207"/>
      <c r="IA125" s="207"/>
      <c r="IB125" s="207"/>
      <c r="IC125" s="207"/>
      <c r="ID125" s="207"/>
      <c r="IE125" s="207"/>
      <c r="IF125" s="207"/>
      <c r="IG125" s="207"/>
      <c r="IH125" s="207"/>
      <c r="II125" s="207"/>
    </row>
    <row r="126" spans="1:243" s="220" customFormat="1" x14ac:dyDescent="0.25">
      <c r="A126" s="232"/>
      <c r="HN126" s="221"/>
      <c r="HO126" s="221"/>
      <c r="HP126" s="221"/>
      <c r="HQ126" s="221"/>
      <c r="HR126" s="207"/>
      <c r="HS126" s="207"/>
      <c r="HT126" s="207"/>
      <c r="HU126" s="207"/>
      <c r="HV126" s="207"/>
      <c r="HW126" s="207"/>
      <c r="HX126" s="207"/>
      <c r="HY126" s="207"/>
      <c r="HZ126" s="207"/>
      <c r="IA126" s="207"/>
      <c r="IB126" s="207"/>
      <c r="IC126" s="207"/>
      <c r="ID126" s="207"/>
      <c r="IE126" s="207"/>
      <c r="IF126" s="207"/>
      <c r="IG126" s="207"/>
      <c r="IH126" s="207"/>
      <c r="II126" s="207"/>
    </row>
    <row r="127" spans="1:243" s="220" customFormat="1" x14ac:dyDescent="0.25">
      <c r="A127" s="232"/>
      <c r="HN127" s="221"/>
      <c r="HO127" s="221"/>
      <c r="HP127" s="221"/>
      <c r="HQ127" s="221"/>
      <c r="HR127" s="207"/>
      <c r="HS127" s="207"/>
      <c r="HT127" s="207"/>
      <c r="HU127" s="207"/>
      <c r="HV127" s="207"/>
      <c r="HW127" s="207"/>
      <c r="HX127" s="207"/>
      <c r="HY127" s="207"/>
      <c r="HZ127" s="207"/>
      <c r="IA127" s="207"/>
      <c r="IB127" s="207"/>
      <c r="IC127" s="207"/>
      <c r="ID127" s="207"/>
      <c r="IE127" s="207"/>
      <c r="IF127" s="207"/>
      <c r="IG127" s="207"/>
      <c r="IH127" s="207"/>
      <c r="II127" s="207"/>
    </row>
    <row r="128" spans="1:243" s="220" customFormat="1" x14ac:dyDescent="0.25">
      <c r="A128" s="232"/>
      <c r="HN128" s="221"/>
      <c r="HO128" s="221"/>
      <c r="HP128" s="221"/>
      <c r="HQ128" s="221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</row>
    <row r="129" spans="1:243" s="220" customFormat="1" x14ac:dyDescent="0.25">
      <c r="A129" s="232"/>
      <c r="HN129" s="221"/>
      <c r="HO129" s="221"/>
      <c r="HP129" s="221"/>
      <c r="HQ129" s="221"/>
      <c r="HR129" s="207"/>
      <c r="HS129" s="207"/>
      <c r="HT129" s="207"/>
      <c r="HU129" s="207"/>
      <c r="HV129" s="207"/>
      <c r="HW129" s="207"/>
      <c r="HX129" s="207"/>
      <c r="HY129" s="207"/>
      <c r="HZ129" s="207"/>
      <c r="IA129" s="207"/>
      <c r="IB129" s="207"/>
      <c r="IC129" s="207"/>
      <c r="ID129" s="207"/>
      <c r="IE129" s="207"/>
      <c r="IF129" s="207"/>
      <c r="IG129" s="207"/>
      <c r="IH129" s="207"/>
      <c r="II129" s="207"/>
    </row>
    <row r="130" spans="1:243" s="220" customFormat="1" x14ac:dyDescent="0.25">
      <c r="A130" s="232"/>
      <c r="HN130" s="221"/>
      <c r="HO130" s="221"/>
      <c r="HP130" s="221"/>
      <c r="HQ130" s="221"/>
      <c r="HR130" s="207"/>
      <c r="HS130" s="207"/>
      <c r="HT130" s="207"/>
      <c r="HU130" s="207"/>
      <c r="HV130" s="207"/>
      <c r="HW130" s="207"/>
      <c r="HX130" s="207"/>
      <c r="HY130" s="207"/>
      <c r="HZ130" s="207"/>
      <c r="IA130" s="207"/>
      <c r="IB130" s="207"/>
      <c r="IC130" s="207"/>
      <c r="ID130" s="207"/>
      <c r="IE130" s="207"/>
      <c r="IF130" s="207"/>
      <c r="IG130" s="207"/>
      <c r="IH130" s="207"/>
      <c r="II130" s="207"/>
    </row>
    <row r="131" spans="1:243" s="220" customFormat="1" x14ac:dyDescent="0.25">
      <c r="A131" s="232"/>
      <c r="HN131" s="221"/>
      <c r="HO131" s="221"/>
      <c r="HP131" s="221"/>
      <c r="HQ131" s="221"/>
      <c r="HR131" s="207"/>
      <c r="HS131" s="207"/>
      <c r="HT131" s="207"/>
      <c r="HU131" s="207"/>
      <c r="HV131" s="207"/>
      <c r="HW131" s="207"/>
      <c r="HX131" s="207"/>
      <c r="HY131" s="207"/>
      <c r="HZ131" s="207"/>
      <c r="IA131" s="207"/>
      <c r="IB131" s="207"/>
      <c r="IC131" s="207"/>
      <c r="ID131" s="207"/>
      <c r="IE131" s="207"/>
      <c r="IF131" s="207"/>
      <c r="IG131" s="207"/>
      <c r="IH131" s="207"/>
      <c r="II131" s="207"/>
    </row>
    <row r="132" spans="1:243" s="220" customFormat="1" x14ac:dyDescent="0.25">
      <c r="A132" s="232"/>
      <c r="HN132" s="221"/>
      <c r="HO132" s="221"/>
      <c r="HP132" s="221"/>
      <c r="HQ132" s="221"/>
      <c r="HR132" s="207"/>
      <c r="HS132" s="207"/>
      <c r="HT132" s="207"/>
      <c r="HU132" s="207"/>
      <c r="HV132" s="207"/>
      <c r="HW132" s="207"/>
      <c r="HX132" s="207"/>
      <c r="HY132" s="207"/>
      <c r="HZ132" s="207"/>
      <c r="IA132" s="207"/>
      <c r="IB132" s="207"/>
      <c r="IC132" s="207"/>
      <c r="ID132" s="207"/>
      <c r="IE132" s="207"/>
      <c r="IF132" s="207"/>
      <c r="IG132" s="207"/>
      <c r="IH132" s="207"/>
      <c r="II132" s="207"/>
    </row>
    <row r="133" spans="1:243" s="220" customFormat="1" x14ac:dyDescent="0.25">
      <c r="A133" s="232"/>
      <c r="HN133" s="221"/>
      <c r="HO133" s="221"/>
      <c r="HP133" s="221"/>
      <c r="HQ133" s="221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</row>
    <row r="134" spans="1:243" s="220" customFormat="1" x14ac:dyDescent="0.25">
      <c r="A134" s="232"/>
      <c r="HN134" s="221"/>
      <c r="HO134" s="221"/>
      <c r="HP134" s="221"/>
      <c r="HQ134" s="221"/>
      <c r="HR134" s="207"/>
      <c r="HS134" s="207"/>
      <c r="HT134" s="207"/>
      <c r="HU134" s="207"/>
      <c r="HV134" s="207"/>
      <c r="HW134" s="207"/>
      <c r="HX134" s="207"/>
      <c r="HY134" s="207"/>
      <c r="HZ134" s="207"/>
      <c r="IA134" s="207"/>
      <c r="IB134" s="207"/>
      <c r="IC134" s="207"/>
      <c r="ID134" s="207"/>
      <c r="IE134" s="207"/>
      <c r="IF134" s="207"/>
      <c r="IG134" s="207"/>
      <c r="IH134" s="207"/>
      <c r="II134" s="207"/>
    </row>
    <row r="135" spans="1:243" s="220" customFormat="1" x14ac:dyDescent="0.25">
      <c r="A135" s="232"/>
      <c r="HN135" s="221"/>
      <c r="HO135" s="221"/>
      <c r="HP135" s="221"/>
      <c r="HQ135" s="221"/>
      <c r="HR135" s="207"/>
      <c r="HS135" s="207"/>
      <c r="HT135" s="207"/>
      <c r="HU135" s="207"/>
      <c r="HV135" s="207"/>
      <c r="HW135" s="207"/>
      <c r="HX135" s="207"/>
      <c r="HY135" s="207"/>
      <c r="HZ135" s="207"/>
      <c r="IA135" s="207"/>
      <c r="IB135" s="207"/>
      <c r="IC135" s="207"/>
      <c r="ID135" s="207"/>
      <c r="IE135" s="207"/>
      <c r="IF135" s="207"/>
      <c r="IG135" s="207"/>
      <c r="IH135" s="207"/>
      <c r="II135" s="207"/>
    </row>
    <row r="136" spans="1:243" s="220" customFormat="1" x14ac:dyDescent="0.25">
      <c r="A136" s="232"/>
      <c r="HN136" s="221"/>
      <c r="HO136" s="221"/>
      <c r="HP136" s="221"/>
      <c r="HQ136" s="221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</row>
    <row r="137" spans="1:243" s="220" customFormat="1" x14ac:dyDescent="0.25">
      <c r="A137" s="232"/>
      <c r="HN137" s="221"/>
      <c r="HO137" s="221"/>
      <c r="HP137" s="221"/>
      <c r="HQ137" s="221"/>
      <c r="HR137" s="207"/>
      <c r="HS137" s="207"/>
      <c r="HT137" s="207"/>
      <c r="HU137" s="207"/>
      <c r="HV137" s="207"/>
      <c r="HW137" s="207"/>
      <c r="HX137" s="207"/>
      <c r="HY137" s="207"/>
      <c r="HZ137" s="207"/>
      <c r="IA137" s="207"/>
      <c r="IB137" s="207"/>
      <c r="IC137" s="207"/>
      <c r="ID137" s="207"/>
      <c r="IE137" s="207"/>
      <c r="IF137" s="207"/>
      <c r="IG137" s="207"/>
      <c r="IH137" s="207"/>
      <c r="II137" s="207"/>
    </row>
    <row r="138" spans="1:243" s="220" customFormat="1" x14ac:dyDescent="0.25">
      <c r="A138" s="232"/>
      <c r="HN138" s="221"/>
      <c r="HO138" s="221"/>
      <c r="HP138" s="221"/>
      <c r="HQ138" s="221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</row>
    <row r="139" spans="1:243" s="220" customFormat="1" x14ac:dyDescent="0.25">
      <c r="A139" s="232"/>
      <c r="HN139" s="221"/>
      <c r="HO139" s="221"/>
      <c r="HP139" s="221"/>
      <c r="HQ139" s="221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</row>
    <row r="140" spans="1:243" s="220" customFormat="1" x14ac:dyDescent="0.25">
      <c r="A140" s="232"/>
      <c r="HN140" s="221"/>
      <c r="HO140" s="221"/>
      <c r="HP140" s="221"/>
      <c r="HQ140" s="221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</row>
    <row r="141" spans="1:243" s="220" customFormat="1" x14ac:dyDescent="0.25">
      <c r="A141" s="232"/>
      <c r="HN141" s="221"/>
      <c r="HO141" s="221"/>
      <c r="HP141" s="221"/>
      <c r="HQ141" s="221"/>
      <c r="HR141" s="207"/>
      <c r="HS141" s="207"/>
      <c r="HT141" s="207"/>
      <c r="HU141" s="207"/>
      <c r="HV141" s="207"/>
      <c r="HW141" s="207"/>
      <c r="HX141" s="207"/>
      <c r="HY141" s="207"/>
      <c r="HZ141" s="207"/>
      <c r="IA141" s="207"/>
      <c r="IB141" s="207"/>
      <c r="IC141" s="207"/>
      <c r="ID141" s="207"/>
      <c r="IE141" s="207"/>
      <c r="IF141" s="207"/>
      <c r="IG141" s="207"/>
      <c r="IH141" s="207"/>
      <c r="II141" s="207"/>
    </row>
    <row r="142" spans="1:243" s="220" customFormat="1" x14ac:dyDescent="0.25">
      <c r="A142" s="232"/>
      <c r="HN142" s="221"/>
      <c r="HO142" s="221"/>
      <c r="HP142" s="221"/>
      <c r="HQ142" s="221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</row>
    <row r="143" spans="1:243" s="220" customFormat="1" x14ac:dyDescent="0.25">
      <c r="A143" s="232"/>
      <c r="HN143" s="221"/>
      <c r="HO143" s="221"/>
      <c r="HP143" s="221"/>
      <c r="HQ143" s="221"/>
      <c r="HR143" s="207"/>
      <c r="HS143" s="207"/>
      <c r="HT143" s="207"/>
      <c r="HU143" s="207"/>
      <c r="HV143" s="207"/>
      <c r="HW143" s="207"/>
      <c r="HX143" s="207"/>
      <c r="HY143" s="207"/>
      <c r="HZ143" s="207"/>
      <c r="IA143" s="207"/>
      <c r="IB143" s="207"/>
      <c r="IC143" s="207"/>
      <c r="ID143" s="207"/>
      <c r="IE143" s="207"/>
      <c r="IF143" s="207"/>
      <c r="IG143" s="207"/>
      <c r="IH143" s="207"/>
      <c r="II143" s="207"/>
    </row>
    <row r="144" spans="1:243" s="220" customFormat="1" x14ac:dyDescent="0.25">
      <c r="A144" s="232"/>
      <c r="HN144" s="221"/>
      <c r="HO144" s="221"/>
      <c r="HP144" s="221"/>
      <c r="HQ144" s="221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</row>
    <row r="145" spans="1:243" s="220" customFormat="1" x14ac:dyDescent="0.25">
      <c r="A145" s="232"/>
      <c r="HN145" s="221"/>
      <c r="HO145" s="221"/>
      <c r="HP145" s="221"/>
      <c r="HQ145" s="221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</row>
    <row r="146" spans="1:243" s="220" customFormat="1" x14ac:dyDescent="0.25">
      <c r="A146" s="232"/>
      <c r="HN146" s="221"/>
      <c r="HO146" s="221"/>
      <c r="HP146" s="221"/>
      <c r="HQ146" s="221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</row>
    <row r="147" spans="1:243" s="220" customFormat="1" x14ac:dyDescent="0.25">
      <c r="A147" s="232"/>
      <c r="HN147" s="221"/>
      <c r="HO147" s="221"/>
      <c r="HP147" s="221"/>
      <c r="HQ147" s="221"/>
      <c r="HR147" s="207"/>
      <c r="HS147" s="207"/>
      <c r="HT147" s="207"/>
      <c r="HU147" s="207"/>
      <c r="HV147" s="207"/>
      <c r="HW147" s="207"/>
      <c r="HX147" s="207"/>
      <c r="HY147" s="207"/>
      <c r="HZ147" s="207"/>
      <c r="IA147" s="207"/>
      <c r="IB147" s="207"/>
      <c r="IC147" s="207"/>
      <c r="ID147" s="207"/>
      <c r="IE147" s="207"/>
      <c r="IF147" s="207"/>
      <c r="IG147" s="207"/>
      <c r="IH147" s="207"/>
      <c r="II147" s="207"/>
    </row>
    <row r="148" spans="1:243" s="220" customFormat="1" x14ac:dyDescent="0.25">
      <c r="A148" s="232"/>
      <c r="HN148" s="221"/>
      <c r="HO148" s="221"/>
      <c r="HP148" s="221"/>
      <c r="HQ148" s="221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</row>
    <row r="149" spans="1:243" s="220" customFormat="1" x14ac:dyDescent="0.25">
      <c r="A149" s="232"/>
      <c r="HN149" s="221"/>
      <c r="HO149" s="221"/>
      <c r="HP149" s="221"/>
      <c r="HQ149" s="221"/>
      <c r="HR149" s="207"/>
      <c r="HS149" s="207"/>
      <c r="HT149" s="207"/>
      <c r="HU149" s="207"/>
      <c r="HV149" s="207"/>
      <c r="HW149" s="207"/>
      <c r="HX149" s="207"/>
      <c r="HY149" s="207"/>
      <c r="HZ149" s="207"/>
      <c r="IA149" s="207"/>
      <c r="IB149" s="207"/>
      <c r="IC149" s="207"/>
      <c r="ID149" s="207"/>
      <c r="IE149" s="207"/>
      <c r="IF149" s="207"/>
      <c r="IG149" s="207"/>
      <c r="IH149" s="207"/>
      <c r="II149" s="207"/>
    </row>
    <row r="150" spans="1:243" s="220" customFormat="1" x14ac:dyDescent="0.25">
      <c r="A150" s="232"/>
      <c r="HN150" s="221"/>
      <c r="HO150" s="221"/>
      <c r="HP150" s="221"/>
      <c r="HQ150" s="221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</row>
    <row r="151" spans="1:243" s="220" customFormat="1" x14ac:dyDescent="0.25">
      <c r="A151" s="232"/>
      <c r="HN151" s="221"/>
      <c r="HO151" s="221"/>
      <c r="HP151" s="221"/>
      <c r="HQ151" s="221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</row>
    <row r="152" spans="1:243" s="220" customFormat="1" x14ac:dyDescent="0.25">
      <c r="A152" s="232"/>
      <c r="HN152" s="221"/>
      <c r="HO152" s="221"/>
      <c r="HP152" s="221"/>
      <c r="HQ152" s="221"/>
      <c r="HR152" s="207"/>
      <c r="HS152" s="207"/>
      <c r="HT152" s="207"/>
      <c r="HU152" s="207"/>
      <c r="HV152" s="207"/>
      <c r="HW152" s="207"/>
      <c r="HX152" s="207"/>
      <c r="HY152" s="207"/>
      <c r="HZ152" s="207"/>
      <c r="IA152" s="207"/>
      <c r="IB152" s="207"/>
      <c r="IC152" s="207"/>
      <c r="ID152" s="207"/>
      <c r="IE152" s="207"/>
      <c r="IF152" s="207"/>
      <c r="IG152" s="207"/>
      <c r="IH152" s="207"/>
      <c r="II152" s="207"/>
    </row>
    <row r="153" spans="1:243" s="220" customFormat="1" x14ac:dyDescent="0.25">
      <c r="A153" s="232"/>
      <c r="HN153" s="221"/>
      <c r="HO153" s="221"/>
      <c r="HP153" s="221"/>
      <c r="HQ153" s="221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</row>
    <row r="154" spans="1:243" s="220" customFormat="1" x14ac:dyDescent="0.25">
      <c r="A154" s="232"/>
      <c r="HN154" s="221"/>
      <c r="HO154" s="221"/>
      <c r="HP154" s="221"/>
      <c r="HQ154" s="221"/>
      <c r="HR154" s="207"/>
      <c r="HS154" s="207"/>
      <c r="HT154" s="207"/>
      <c r="HU154" s="207"/>
      <c r="HV154" s="207"/>
      <c r="HW154" s="207"/>
      <c r="HX154" s="207"/>
      <c r="HY154" s="207"/>
      <c r="HZ154" s="207"/>
      <c r="IA154" s="207"/>
      <c r="IB154" s="207"/>
      <c r="IC154" s="207"/>
      <c r="ID154" s="207"/>
      <c r="IE154" s="207"/>
      <c r="IF154" s="207"/>
      <c r="IG154" s="207"/>
      <c r="IH154" s="207"/>
      <c r="II154" s="207"/>
    </row>
    <row r="155" spans="1:243" s="220" customFormat="1" x14ac:dyDescent="0.25">
      <c r="A155" s="232"/>
      <c r="HN155" s="221"/>
      <c r="HO155" s="221"/>
      <c r="HP155" s="221"/>
      <c r="HQ155" s="221"/>
      <c r="HR155" s="207"/>
      <c r="HS155" s="207"/>
      <c r="HT155" s="207"/>
      <c r="HU155" s="207"/>
      <c r="HV155" s="207"/>
      <c r="HW155" s="207"/>
      <c r="HX155" s="207"/>
      <c r="HY155" s="207"/>
      <c r="HZ155" s="207"/>
      <c r="IA155" s="207"/>
      <c r="IB155" s="207"/>
      <c r="IC155" s="207"/>
      <c r="ID155" s="207"/>
      <c r="IE155" s="207"/>
      <c r="IF155" s="207"/>
      <c r="IG155" s="207"/>
      <c r="IH155" s="207"/>
      <c r="II155" s="207"/>
    </row>
    <row r="156" spans="1:243" s="220" customFormat="1" x14ac:dyDescent="0.25">
      <c r="A156" s="232"/>
      <c r="HN156" s="221"/>
      <c r="HO156" s="221"/>
      <c r="HP156" s="221"/>
      <c r="HQ156" s="221"/>
      <c r="HR156" s="207"/>
      <c r="HS156" s="207"/>
      <c r="HT156" s="207"/>
      <c r="HU156" s="207"/>
      <c r="HV156" s="207"/>
      <c r="HW156" s="207"/>
      <c r="HX156" s="207"/>
      <c r="HY156" s="207"/>
      <c r="HZ156" s="207"/>
      <c r="IA156" s="207"/>
      <c r="IB156" s="207"/>
      <c r="IC156" s="207"/>
      <c r="ID156" s="207"/>
      <c r="IE156" s="207"/>
      <c r="IF156" s="207"/>
      <c r="IG156" s="207"/>
      <c r="IH156" s="207"/>
      <c r="II156" s="207"/>
    </row>
    <row r="157" spans="1:243" s="220" customFormat="1" x14ac:dyDescent="0.25">
      <c r="A157" s="232"/>
      <c r="HN157" s="221"/>
      <c r="HO157" s="221"/>
      <c r="HP157" s="221"/>
      <c r="HQ157" s="221"/>
      <c r="HR157" s="207"/>
      <c r="HS157" s="207"/>
      <c r="HT157" s="207"/>
      <c r="HU157" s="207"/>
      <c r="HV157" s="207"/>
      <c r="HW157" s="207"/>
      <c r="HX157" s="207"/>
      <c r="HY157" s="207"/>
      <c r="HZ157" s="207"/>
      <c r="IA157" s="207"/>
      <c r="IB157" s="207"/>
      <c r="IC157" s="207"/>
      <c r="ID157" s="207"/>
      <c r="IE157" s="207"/>
      <c r="IF157" s="207"/>
      <c r="IG157" s="207"/>
      <c r="IH157" s="207"/>
      <c r="II157" s="207"/>
    </row>
    <row r="158" spans="1:243" s="220" customFormat="1" x14ac:dyDescent="0.25">
      <c r="A158" s="232"/>
      <c r="HN158" s="221"/>
      <c r="HO158" s="221"/>
      <c r="HP158" s="221"/>
      <c r="HQ158" s="221"/>
      <c r="HR158" s="207"/>
      <c r="HS158" s="207"/>
      <c r="HT158" s="207"/>
      <c r="HU158" s="207"/>
      <c r="HV158" s="207"/>
      <c r="HW158" s="207"/>
      <c r="HX158" s="207"/>
      <c r="HY158" s="207"/>
      <c r="HZ158" s="207"/>
      <c r="IA158" s="207"/>
      <c r="IB158" s="207"/>
      <c r="IC158" s="207"/>
      <c r="ID158" s="207"/>
      <c r="IE158" s="207"/>
      <c r="IF158" s="207"/>
      <c r="IG158" s="207"/>
      <c r="IH158" s="207"/>
      <c r="II158" s="207"/>
    </row>
    <row r="159" spans="1:243" s="220" customFormat="1" x14ac:dyDescent="0.25">
      <c r="A159" s="232"/>
      <c r="HN159" s="221"/>
      <c r="HO159" s="221"/>
      <c r="HP159" s="221"/>
      <c r="HQ159" s="221"/>
      <c r="HR159" s="207"/>
      <c r="HS159" s="207"/>
      <c r="HT159" s="207"/>
      <c r="HU159" s="207"/>
      <c r="HV159" s="207"/>
      <c r="HW159" s="207"/>
      <c r="HX159" s="207"/>
      <c r="HY159" s="207"/>
      <c r="HZ159" s="207"/>
      <c r="IA159" s="207"/>
      <c r="IB159" s="207"/>
      <c r="IC159" s="207"/>
      <c r="ID159" s="207"/>
      <c r="IE159" s="207"/>
      <c r="IF159" s="207"/>
      <c r="IG159" s="207"/>
      <c r="IH159" s="207"/>
      <c r="II159" s="207"/>
    </row>
    <row r="160" spans="1:243" s="220" customFormat="1" x14ac:dyDescent="0.25">
      <c r="A160" s="232"/>
      <c r="HN160" s="221"/>
      <c r="HO160" s="221"/>
      <c r="HP160" s="221"/>
      <c r="HQ160" s="221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</row>
    <row r="161" spans="1:243" s="220" customFormat="1" x14ac:dyDescent="0.25">
      <c r="A161" s="232"/>
      <c r="HN161" s="221"/>
      <c r="HO161" s="221"/>
      <c r="HP161" s="221"/>
      <c r="HQ161" s="221"/>
      <c r="HR161" s="207"/>
      <c r="HS161" s="207"/>
      <c r="HT161" s="207"/>
      <c r="HU161" s="207"/>
      <c r="HV161" s="207"/>
      <c r="HW161" s="207"/>
      <c r="HX161" s="207"/>
      <c r="HY161" s="207"/>
      <c r="HZ161" s="207"/>
      <c r="IA161" s="207"/>
      <c r="IB161" s="207"/>
      <c r="IC161" s="207"/>
      <c r="ID161" s="207"/>
      <c r="IE161" s="207"/>
      <c r="IF161" s="207"/>
      <c r="IG161" s="207"/>
      <c r="IH161" s="207"/>
      <c r="II161" s="207"/>
    </row>
    <row r="162" spans="1:243" s="220" customFormat="1" x14ac:dyDescent="0.25">
      <c r="A162" s="232"/>
      <c r="HN162" s="221"/>
      <c r="HO162" s="221"/>
      <c r="HP162" s="221"/>
      <c r="HQ162" s="221"/>
      <c r="HR162" s="207"/>
      <c r="HS162" s="207"/>
      <c r="HT162" s="207"/>
      <c r="HU162" s="207"/>
      <c r="HV162" s="207"/>
      <c r="HW162" s="207"/>
      <c r="HX162" s="207"/>
      <c r="HY162" s="207"/>
      <c r="HZ162" s="207"/>
      <c r="IA162" s="207"/>
      <c r="IB162" s="207"/>
      <c r="IC162" s="207"/>
      <c r="ID162" s="207"/>
      <c r="IE162" s="207"/>
      <c r="IF162" s="207"/>
      <c r="IG162" s="207"/>
      <c r="IH162" s="207"/>
      <c r="II162" s="207"/>
    </row>
    <row r="163" spans="1:243" s="220" customFormat="1" x14ac:dyDescent="0.25">
      <c r="A163" s="232"/>
      <c r="HN163" s="221"/>
      <c r="HO163" s="221"/>
      <c r="HP163" s="221"/>
      <c r="HQ163" s="221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</row>
    <row r="164" spans="1:243" s="220" customFormat="1" x14ac:dyDescent="0.25">
      <c r="A164" s="232"/>
      <c r="HN164" s="221"/>
      <c r="HO164" s="221"/>
      <c r="HP164" s="221"/>
      <c r="HQ164" s="221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</row>
    <row r="165" spans="1:243" s="220" customFormat="1" x14ac:dyDescent="0.25">
      <c r="A165" s="232"/>
      <c r="HN165" s="221"/>
      <c r="HO165" s="221"/>
      <c r="HP165" s="221"/>
      <c r="HQ165" s="221"/>
      <c r="HR165" s="207"/>
      <c r="HS165" s="207"/>
      <c r="HT165" s="207"/>
      <c r="HU165" s="207"/>
      <c r="HV165" s="207"/>
      <c r="HW165" s="207"/>
      <c r="HX165" s="207"/>
      <c r="HY165" s="207"/>
      <c r="HZ165" s="207"/>
      <c r="IA165" s="207"/>
      <c r="IB165" s="207"/>
      <c r="IC165" s="207"/>
      <c r="ID165" s="207"/>
      <c r="IE165" s="207"/>
      <c r="IF165" s="207"/>
      <c r="IG165" s="207"/>
      <c r="IH165" s="207"/>
      <c r="II165" s="207"/>
    </row>
    <row r="166" spans="1:243" s="220" customFormat="1" x14ac:dyDescent="0.25">
      <c r="A166" s="232"/>
      <c r="HN166" s="221"/>
      <c r="HO166" s="221"/>
      <c r="HP166" s="221"/>
      <c r="HQ166" s="221"/>
      <c r="HR166" s="207"/>
      <c r="HS166" s="207"/>
      <c r="HT166" s="207"/>
      <c r="HU166" s="207"/>
      <c r="HV166" s="207"/>
      <c r="HW166" s="207"/>
      <c r="HX166" s="207"/>
      <c r="HY166" s="207"/>
      <c r="HZ166" s="207"/>
      <c r="IA166" s="207"/>
      <c r="IB166" s="207"/>
      <c r="IC166" s="207"/>
      <c r="ID166" s="207"/>
      <c r="IE166" s="207"/>
      <c r="IF166" s="207"/>
      <c r="IG166" s="207"/>
      <c r="IH166" s="207"/>
      <c r="II166" s="207"/>
    </row>
    <row r="167" spans="1:243" s="220" customFormat="1" x14ac:dyDescent="0.25">
      <c r="A167" s="232"/>
      <c r="HN167" s="221"/>
      <c r="HO167" s="221"/>
      <c r="HP167" s="221"/>
      <c r="HQ167" s="221"/>
      <c r="HR167" s="207"/>
      <c r="HS167" s="207"/>
      <c r="HT167" s="207"/>
      <c r="HU167" s="207"/>
      <c r="HV167" s="207"/>
      <c r="HW167" s="207"/>
      <c r="HX167" s="207"/>
      <c r="HY167" s="207"/>
      <c r="HZ167" s="207"/>
      <c r="IA167" s="207"/>
      <c r="IB167" s="207"/>
      <c r="IC167" s="207"/>
      <c r="ID167" s="207"/>
      <c r="IE167" s="207"/>
      <c r="IF167" s="207"/>
      <c r="IG167" s="207"/>
      <c r="IH167" s="207"/>
      <c r="II167" s="207"/>
    </row>
    <row r="168" spans="1:243" s="220" customFormat="1" x14ac:dyDescent="0.25">
      <c r="A168" s="232"/>
      <c r="HN168" s="221"/>
      <c r="HO168" s="221"/>
      <c r="HP168" s="221"/>
      <c r="HQ168" s="221"/>
      <c r="HR168" s="207"/>
      <c r="HS168" s="207"/>
      <c r="HT168" s="207"/>
      <c r="HU168" s="207"/>
      <c r="HV168" s="207"/>
      <c r="HW168" s="207"/>
      <c r="HX168" s="207"/>
      <c r="HY168" s="207"/>
      <c r="HZ168" s="207"/>
      <c r="IA168" s="207"/>
      <c r="IB168" s="207"/>
      <c r="IC168" s="207"/>
      <c r="ID168" s="207"/>
      <c r="IE168" s="207"/>
      <c r="IF168" s="207"/>
      <c r="IG168" s="207"/>
      <c r="IH168" s="207"/>
      <c r="II168" s="207"/>
    </row>
    <row r="169" spans="1:243" s="220" customFormat="1" x14ac:dyDescent="0.25">
      <c r="A169" s="232"/>
      <c r="HN169" s="221"/>
      <c r="HO169" s="221"/>
      <c r="HP169" s="221"/>
      <c r="HQ169" s="221"/>
      <c r="HR169" s="207"/>
      <c r="HS169" s="207"/>
      <c r="HT169" s="207"/>
      <c r="HU169" s="207"/>
      <c r="HV169" s="207"/>
      <c r="HW169" s="207"/>
      <c r="HX169" s="207"/>
      <c r="HY169" s="207"/>
      <c r="HZ169" s="207"/>
      <c r="IA169" s="207"/>
      <c r="IB169" s="207"/>
      <c r="IC169" s="207"/>
      <c r="ID169" s="207"/>
      <c r="IE169" s="207"/>
      <c r="IF169" s="207"/>
      <c r="IG169" s="207"/>
      <c r="IH169" s="207"/>
      <c r="II169" s="207"/>
    </row>
    <row r="170" spans="1:243" s="220" customFormat="1" x14ac:dyDescent="0.25">
      <c r="A170" s="232"/>
      <c r="HN170" s="221"/>
      <c r="HO170" s="221"/>
      <c r="HP170" s="221"/>
      <c r="HQ170" s="221"/>
      <c r="HR170" s="207"/>
      <c r="HS170" s="207"/>
      <c r="HT170" s="207"/>
      <c r="HU170" s="207"/>
      <c r="HV170" s="207"/>
      <c r="HW170" s="207"/>
      <c r="HX170" s="207"/>
      <c r="HY170" s="207"/>
      <c r="HZ170" s="207"/>
      <c r="IA170" s="207"/>
      <c r="IB170" s="207"/>
      <c r="IC170" s="207"/>
      <c r="ID170" s="207"/>
      <c r="IE170" s="207"/>
      <c r="IF170" s="207"/>
      <c r="IG170" s="207"/>
      <c r="IH170" s="207"/>
      <c r="II170" s="207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86" firstPageNumber="0" fitToHeight="0" orientation="portrait" r:id="rId1"/>
  <headerFooter alignWithMargins="0">
    <oddHeader xml:space="preserve">&amp;L 2/D melléklet a ...../2019. (.......)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Könyvtár</vt:lpstr>
      <vt:lpstr>5 GSZNR fel</vt:lpstr>
      <vt:lpstr>6. létszámkeret</vt:lpstr>
      <vt:lpstr>Beruházás</vt:lpstr>
      <vt:lpstr>Felújítás</vt:lpstr>
      <vt:lpstr>7. projektek</vt:lpstr>
      <vt:lpstr>7. </vt:lpstr>
      <vt:lpstr>8. stab tv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'!Nyomtatási_terület</vt:lpstr>
      <vt:lpstr>'7. projektek'!Nyomtatási_terület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Volosin Katalin</cp:lastModifiedBy>
  <cp:lastPrinted>2019-05-17T09:22:24Z</cp:lastPrinted>
  <dcterms:created xsi:type="dcterms:W3CDTF">2015-10-26T12:21:43Z</dcterms:created>
  <dcterms:modified xsi:type="dcterms:W3CDTF">2019-05-17T10:38:28Z</dcterms:modified>
</cp:coreProperties>
</file>