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506" windowWidth="19320" windowHeight="11010" tabRatio="727" firstSheet="25" activeTab="26"/>
  </bookViews>
  <sheets>
    <sheet name="ÖSSZEFÜGGÉSEK" sheetId="1" r:id="rId1"/>
    <sheet name="1.1.melléklet" sheetId="2" r:id="rId2"/>
    <sheet name="1.2.melléklet" sheetId="3" r:id="rId3"/>
    <sheet name="1.3.melléklet" sheetId="4" r:id="rId4"/>
    <sheet name="1.4.melléklet" sheetId="5" r:id="rId5"/>
    <sheet name="2.1.melléklet " sheetId="6" r:id="rId6"/>
    <sheet name="2.2.melléklet " sheetId="7" r:id="rId7"/>
    <sheet name="ELLENŐRZÉS-1.sz.2.a.sz.2.b.sz." sheetId="8" r:id="rId8"/>
    <sheet name="3.melléklet" sheetId="9" r:id="rId9"/>
    <sheet name="4.melléklet" sheetId="10" r:id="rId10"/>
    <sheet name="5.melléklet" sheetId="11" r:id="rId11"/>
    <sheet name="6.melléklet" sheetId="12" r:id="rId12"/>
    <sheet name="7.melléklet" sheetId="13" r:id="rId13"/>
    <sheet name="8. melléklet " sheetId="14" r:id="rId14"/>
    <sheet name="9.1. melléklet" sheetId="15" r:id="rId15"/>
    <sheet name="9.1.1. melléklet" sheetId="16" r:id="rId16"/>
    <sheet name="9.1.2.melléklet" sheetId="17" r:id="rId17"/>
    <sheet name="9.1.3. melléklet " sheetId="18" r:id="rId18"/>
    <sheet name="9.2.melléklet" sheetId="19" r:id="rId19"/>
    <sheet name="9.2.1.melléklet" sheetId="20" r:id="rId20"/>
    <sheet name="9.2.2.melléklet" sheetId="21" r:id="rId21"/>
    <sheet name="9.2.3.melléklet" sheetId="22" r:id="rId22"/>
    <sheet name="9.3.melléklet" sheetId="23" r:id="rId23"/>
    <sheet name="9.3.1.melléklet" sheetId="24" r:id="rId24"/>
    <sheet name="9.3.2.melléklet" sheetId="25" r:id="rId25"/>
    <sheet name="9.3.3. melléklet" sheetId="26" r:id="rId26"/>
    <sheet name="9.4.melléklet" sheetId="27" r:id="rId27"/>
    <sheet name="9.4.1.melléklet" sheetId="28" r:id="rId28"/>
    <sheet name="9.4.2.melléklet" sheetId="29" r:id="rId29"/>
    <sheet name="9.4.3.melléklet" sheetId="30" r:id="rId30"/>
    <sheet name="10.melléklet" sheetId="31" r:id="rId31"/>
    <sheet name="1. tájékoztató " sheetId="32" r:id="rId32"/>
    <sheet name="2. tájékoztató " sheetId="33" r:id="rId33"/>
    <sheet name="3. tájékoztató " sheetId="34" r:id="rId34"/>
    <sheet name="4. tájékoztató " sheetId="35" r:id="rId35"/>
    <sheet name="5. tájékoztató " sheetId="36" r:id="rId36"/>
    <sheet name="6. tájékoztató " sheetId="37" r:id="rId37"/>
    <sheet name="7.  tájékoztató" sheetId="38" r:id="rId38"/>
    <sheet name="8. tájékoztató" sheetId="39" r:id="rId39"/>
    <sheet name="9. tájékoztató" sheetId="40" r:id="rId40"/>
    <sheet name="10.tájékoztató " sheetId="41" r:id="rId41"/>
    <sheet name="11.tájékoztató" sheetId="42" r:id="rId42"/>
  </sheets>
  <externalReferences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_xlfn.IFERROR" hidden="1">#NAME?</definedName>
    <definedName name="_xlnm.Print_Titles" localSheetId="14">'9.1. melléklet'!$1:$6</definedName>
    <definedName name="_xlnm.Print_Titles" localSheetId="15">'9.1.1. melléklet'!$1:$6</definedName>
    <definedName name="_xlnm.Print_Titles" localSheetId="16">'9.1.2.melléklet'!$1:$6</definedName>
    <definedName name="_xlnm.Print_Titles" localSheetId="17">'9.1.3. melléklet '!$1:$6</definedName>
    <definedName name="_xlnm.Print_Titles" localSheetId="19">'9.2.1.melléklet'!$1:$6</definedName>
    <definedName name="_xlnm.Print_Titles" localSheetId="20">'9.2.2.melléklet'!$1:$6</definedName>
    <definedName name="_xlnm.Print_Titles" localSheetId="21">'9.2.3.melléklet'!$1:$6</definedName>
    <definedName name="_xlnm.Print_Titles" localSheetId="18">'9.2.melléklet'!$1:$6</definedName>
    <definedName name="_xlnm.Print_Titles" localSheetId="23">'9.3.1.melléklet'!$1:$6</definedName>
    <definedName name="_xlnm.Print_Titles" localSheetId="24">'9.3.2.melléklet'!$1:$6</definedName>
    <definedName name="_xlnm.Print_Titles" localSheetId="25">'9.3.3. melléklet'!$1:$6</definedName>
    <definedName name="_xlnm.Print_Titles" localSheetId="22">'9.3.melléklet'!$1:$6</definedName>
    <definedName name="_xlnm.Print_Area" localSheetId="31">'1. tájékoztató '!$A$1:$D$165</definedName>
    <definedName name="_xlnm.Print_Area" localSheetId="1">'1.1.melléklet'!$A$1:$C$151</definedName>
    <definedName name="_xlnm.Print_Area" localSheetId="2">'1.2.melléklet'!$A$1:$C$150</definedName>
    <definedName name="_xlnm.Print_Area" localSheetId="3">'1.3.melléklet'!$A$1:$C$149</definedName>
    <definedName name="_xlnm.Print_Area" localSheetId="4">'1.4.melléklet'!$A$1:$C$149</definedName>
    <definedName name="_xlnm.Print_Area" localSheetId="40">'10.tájékoztató '!$A$1:$F$151</definedName>
    <definedName name="_xlnm.Print_Area" localSheetId="33">'3. tájékoztató '!$A$1:$D$31</definedName>
    <definedName name="_xlnm.Print_Area" localSheetId="35">'5. tájékoztató '!$A$1:$J$47</definedName>
    <definedName name="_xlnm.Print_Area" localSheetId="37">'7.  tájékoztató'!$A$1:$G$79</definedName>
  </definedNames>
  <calcPr fullCalcOnLoad="1"/>
</workbook>
</file>

<file path=xl/sharedStrings.xml><?xml version="1.0" encoding="utf-8"?>
<sst xmlns="http://schemas.openxmlformats.org/spreadsheetml/2006/main" count="5085" uniqueCount="889">
  <si>
    <t>Orvosi rendelő Fő út</t>
  </si>
  <si>
    <t>2017-2018</t>
  </si>
  <si>
    <t>Felhalmozási célú önkormányzati támogatások (adósságkonszolidáció)</t>
  </si>
  <si>
    <t>Egyéb felhalmozási célú támogatások bevételei (KEHOP szennyvíz)</t>
  </si>
  <si>
    <t>Egyéb felhalmozási célú támogatások bevételei (Norvég)</t>
  </si>
  <si>
    <t>NEMLEGES</t>
  </si>
  <si>
    <t>Előirányzat-felhasználási terv
2017. évre</t>
  </si>
  <si>
    <t xml:space="preserve">2016. eredeti    </t>
  </si>
  <si>
    <t xml:space="preserve">2017. eredeti        </t>
  </si>
  <si>
    <t xml:space="preserve">2017. eredeti     </t>
  </si>
  <si>
    <t>Éves eredeti kiadási előirányzat: ……………Ft</t>
  </si>
  <si>
    <t>Gépjárműadó 60%-a</t>
  </si>
  <si>
    <t>Finanszírozástörlés (Szent György Otthon)</t>
  </si>
  <si>
    <t>Finanszírozási bevételek(pénzmaradvány)</t>
  </si>
  <si>
    <t>Belföldi értékpapír bevételei</t>
  </si>
  <si>
    <t>Egyéb felhalmozási célú támogatások bevételei (EGT)</t>
  </si>
  <si>
    <t>Egyéb felhalmozási célú támogatások bevételei(KEHOP)</t>
  </si>
  <si>
    <t>(9.1+9.2+9.3+6.200.000)</t>
  </si>
  <si>
    <t>Tartalék</t>
  </si>
  <si>
    <t xml:space="preserve">Felhalmozási célú támogatások államháztartáson belülről </t>
  </si>
  <si>
    <t>Egyéb felhalmozási célú támogatások bevételei(KEHOP szennyvíz)</t>
  </si>
  <si>
    <t>Egyéb felhalmozási célú támogatások bevételei (KEHOP)</t>
  </si>
  <si>
    <t>2017. évi előirányzat BEVÉTELEK</t>
  </si>
  <si>
    <t>2017. évi előirányzat KIADÁSOK</t>
  </si>
  <si>
    <t xml:space="preserve">2.1. melléklet az 1/2017. (II.07.) önkormányzati rendelethez     </t>
  </si>
  <si>
    <t xml:space="preserve">2.2. melléklet az 1/2017. (II.07.) önkormányzati rendelethez     </t>
  </si>
  <si>
    <t>9.1. melléklet az 1/2017. (II.07.) önkormányzati rendelethez</t>
  </si>
  <si>
    <t>9.1. 1. melléklet az 1/2017. (II.07.) önkormányzati rendelethez</t>
  </si>
  <si>
    <t>9.1.2. melléklet az 1/2017. (II.07.) önkormányzati rendelethez</t>
  </si>
  <si>
    <t>9.1.3. melléklet az 1/2017. (II.07.) önkormányzati rendelethez</t>
  </si>
  <si>
    <t>9.2  melléklet az 1/2017. (II.07.) önkormányzati rendelethez</t>
  </si>
  <si>
    <t>9.2.1 melléklet az 1/2017. (II.07.) önkormányzati rendelethez</t>
  </si>
  <si>
    <t>9.2.2. melléklet az 1/2017. (II.07.) önkormányzati rendelethez</t>
  </si>
  <si>
    <t>9.2.3  melléklet az 1/2017. (II.07.) önkormányzati rendelethez</t>
  </si>
  <si>
    <t>9.3. melléklet az 1/2017. (II.07.) önkormányzati rendelethez</t>
  </si>
  <si>
    <t>9.3.1 melléklet az 1/2017. (II.07.) önkormányzati rendelethez</t>
  </si>
  <si>
    <t>9.3.2. melléklet az 1/2017. (II.07.) önkormányzati rendelethez</t>
  </si>
  <si>
    <t>9.3.3. melléklet az 1/2017. (II.07.) önkormányzati rendelethez</t>
  </si>
  <si>
    <t>9.4. melléklet az 1/2017. (II.07.) önkormányzati rendelethez</t>
  </si>
  <si>
    <t>9.4.1 melléklet az 1/2017. (II.07.) önkormányzati rendelethez</t>
  </si>
  <si>
    <t>9.4.2. melléklet az 1/2017. (II.07.) önkormányzati rendelethez</t>
  </si>
  <si>
    <t>9.4.3. melléklet az 1/2017. (II.07.) önkormányzati rendelethez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</si>
  <si>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</si>
  <si>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</si>
  <si>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</si>
  <si>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</si>
  <si>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</si>
  <si>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</si>
  <si>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</si>
  <si>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</si>
  <si>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</si>
  <si>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</si>
  <si>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</si>
  <si>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</si>
  <si>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</si>
  <si>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</si>
  <si>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</si>
  <si>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</si>
  <si>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</si>
  <si>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</si>
  <si>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</si>
  <si>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</si>
  <si>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</si>
  <si>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</si>
  <si>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</si>
  <si>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</si>
  <si>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</si>
  <si>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</si>
  <si>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</si>
  <si>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</si>
  <si>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</si>
  <si>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</si>
  <si>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</si>
  <si>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</si>
  <si>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</si>
  <si>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</si>
  <si>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</si>
  <si>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</si>
  <si>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</si>
  <si>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</si>
  <si>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</si>
  <si>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</si>
  <si>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</si>
  <si>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</si>
  <si>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</si>
  <si>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</si>
  <si>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</si>
  <si>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</si>
  <si>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</si>
  <si>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</si>
  <si>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</si>
  <si>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</si>
  <si>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</si>
  <si>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</si>
  <si>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</si>
  <si>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</si>
  <si>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</si>
  <si>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</si>
  <si>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</si>
  <si>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</si>
  <si>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</si>
  <si>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</si>
  <si>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</si>
  <si>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</si>
  <si>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</si>
  <si>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</si>
  <si>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</si>
  <si>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</si>
  <si>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</si>
  <si>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</si>
  <si>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</si>
  <si>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</si>
  <si>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</si>
  <si>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</si>
  <si>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</si>
  <si>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</si>
  <si>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</si>
  <si>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</si>
  <si>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</si>
  <si>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</si>
  <si>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</si>
  <si>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</si>
  <si>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</si>
  <si>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</si>
  <si>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</si>
  <si>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</si>
  <si>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</si>
  <si>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Felhalmozási célú támogatások államháztartáson belülről (EGT)</t>
  </si>
  <si>
    <t>Költségvetési mérleg közgazdasági tagolásban
(Tát Város Önkormányzati szinten)</t>
  </si>
  <si>
    <t>Működési célú finanszírozási kiadások összesen (14.+...+21.)</t>
  </si>
  <si>
    <t>KIADÁSOK ÖSSZESEN (13.+22.)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</si>
  <si>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</si>
  <si>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</si>
  <si>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</si>
  <si>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</si>
  <si>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</si>
  <si>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</si>
  <si>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</si>
  <si>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</si>
  <si>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</si>
  <si>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</si>
  <si>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</si>
  <si>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</si>
  <si>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</si>
  <si>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</si>
  <si>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</si>
  <si>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</si>
  <si>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</si>
  <si>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</si>
  <si>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</si>
  <si>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>5.  tájékoztató tábla</t>
  </si>
  <si>
    <t>9. tájékoztató  tábla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</si>
  <si>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</si>
  <si>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</si>
  <si>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</si>
  <si>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</si>
  <si>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</si>
  <si>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</si>
  <si>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</si>
  <si>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</si>
  <si>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</si>
  <si>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</si>
  <si>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</si>
  <si>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</si>
  <si>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</si>
  <si>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</si>
  <si>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</si>
  <si>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</si>
  <si>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</si>
  <si>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</si>
  <si>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</si>
  <si>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</si>
  <si>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</si>
  <si>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</si>
  <si>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</si>
  <si>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</si>
  <si>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</si>
  <si>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</si>
  <si>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</si>
  <si>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</si>
  <si>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</si>
  <si>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</si>
  <si>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</si>
  <si>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</si>
  <si>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</si>
  <si>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</si>
  <si>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</si>
  <si>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</si>
  <si>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</si>
  <si>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</si>
  <si>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</si>
  <si>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</si>
  <si>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</si>
  <si>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</si>
  <si>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</si>
  <si>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</si>
  <si>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</si>
  <si>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</si>
  <si>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</si>
  <si>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</si>
  <si>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</si>
  <si>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</si>
  <si>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Osztalék, a koncessziós díj és a hozambevétel</t>
  </si>
  <si>
    <t xml:space="preserve">   Rövid lejáratú  hitelek, kölcsönök felvétele</t>
  </si>
  <si>
    <t>Tát Város Önkormányzat adósságot keletkeztető ügyletekből és kezességvállalásokból fennálló kötelezettségei</t>
  </si>
  <si>
    <t>Tát Város Önkormányzat saját bevételeinek részletezése az adósságot keletkeztető ügyletből származó tárgyévi fizetési kötelezettség megállapításához</t>
  </si>
  <si>
    <t>Közös önkormányzati hivatal</t>
  </si>
  <si>
    <t>Kultúrház és Könyvtár</t>
  </si>
  <si>
    <t>Szent György Otthon</t>
  </si>
  <si>
    <t>Kommunális adó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</si>
  <si>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</si>
  <si>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</si>
  <si>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Házi segítségnyújtás</t>
  </si>
  <si>
    <t>1.6.12.</t>
  </si>
  <si>
    <t>TÁRSULÁS FINANSZÍROZÁSA</t>
  </si>
  <si>
    <t>2.1.13.</t>
  </si>
  <si>
    <t>Házi segítségnyújtás összesen</t>
  </si>
  <si>
    <t>Önkormányzati jogalkotás összesen</t>
  </si>
  <si>
    <t>Alsós oktatás összesen</t>
  </si>
  <si>
    <t>Felsős oktatás összesen</t>
  </si>
  <si>
    <t>Zeneiskolai oktatás összesen</t>
  </si>
  <si>
    <t>Támogatások - Műk. c. pénzeátadás</t>
  </si>
  <si>
    <t>INTÉZMÉNY-MŰKÖDTETÉS ÖSSZESEN</t>
  </si>
  <si>
    <t>Igazgatási tevékenység összesen</t>
  </si>
  <si>
    <t>1.5.11.</t>
  </si>
  <si>
    <t>Közös Önkormányzati  Hivatal összesen</t>
  </si>
  <si>
    <t>Állami t.visszaf</t>
  </si>
  <si>
    <t>Közös Önkormányzati Hivatal</t>
  </si>
  <si>
    <t>KÖZÖS ÖNKORMÁNYZATI HIVATAL ÖSSZ</t>
  </si>
  <si>
    <t>Ssz.</t>
  </si>
  <si>
    <t>I.</t>
  </si>
  <si>
    <t>KIEMELT ELŐIR.</t>
  </si>
  <si>
    <t>Személyi jutt.</t>
  </si>
  <si>
    <t>Dologi</t>
  </si>
  <si>
    <t>Bölcsődei ellátás</t>
  </si>
  <si>
    <t>Gyermekjóléti szolgálat</t>
  </si>
  <si>
    <t>Közművelődés</t>
  </si>
  <si>
    <t>Könyvtár</t>
  </si>
  <si>
    <t>Teleház</t>
  </si>
  <si>
    <t>Művészeti csoportok</t>
  </si>
  <si>
    <t>Kultúrház intézmény összesen</t>
  </si>
  <si>
    <t>Bentlakásos  ellátás</t>
  </si>
  <si>
    <t>Nappali Klub összesen</t>
  </si>
  <si>
    <t>Szociális étkeztetés összesen</t>
  </si>
  <si>
    <t>Szent György Otthon intézmény összesen</t>
  </si>
  <si>
    <t>SZENT GYÖRGY OTTHON ÖSSZESEN</t>
  </si>
  <si>
    <t>KÖLTSÉGVETÉSI SZERVEK MŰKÖDÉSE ÖSSZESEN</t>
  </si>
  <si>
    <t>FELADATOK</t>
  </si>
  <si>
    <t>Közvilágítás</t>
  </si>
  <si>
    <t>Szem.jutt.</t>
  </si>
  <si>
    <t>ZÖLDTERÜLET-KEZELÉS,PARK  ÖSSZESEN</t>
  </si>
  <si>
    <t>Szoc.ellátás</t>
  </si>
  <si>
    <t>Közgyógyellátás</t>
  </si>
  <si>
    <t>Szoc. ellátás</t>
  </si>
  <si>
    <t>Lakásfenntartási támogatás</t>
  </si>
  <si>
    <t>Tám.ért.kiad</t>
  </si>
  <si>
    <t>Védőnők</t>
  </si>
  <si>
    <t>VÉDŐNŐK   ÖSSZESEN</t>
  </si>
  <si>
    <t>EGÉSZSÉGÜGY   ÖSSZESEN</t>
  </si>
  <si>
    <t>Tám.ért.kiad.</t>
  </si>
  <si>
    <t>Pénze. átad.</t>
  </si>
  <si>
    <t>Önkormányzati feladatok összesen</t>
  </si>
  <si>
    <t>ÖNKORMÁNYZATI  FELADATOK ÖSSZESEN</t>
  </si>
  <si>
    <t>Zöldterület-kezelés</t>
  </si>
  <si>
    <t>ÖSSZESEN</t>
  </si>
  <si>
    <t>Államigazgatási feladatok bevételei, kiadásai</t>
  </si>
  <si>
    <t>Egyéb működési célú támogatások bevételei  (OEP)</t>
  </si>
  <si>
    <t xml:space="preserve">   - Egyéb működési célú támogatások ÁH-n belülre (társulás)</t>
  </si>
  <si>
    <t xml:space="preserve">   - Egyéb felhalmozási célú támogatások államháztartáson kívülre (lakosság)</t>
  </si>
  <si>
    <t xml:space="preserve">   - Egyéb működési célú támogatások ÁH-n belülre (KÖH finanszírozása)</t>
  </si>
  <si>
    <t>Bursa Hungarica  és ÁH-n kívülitámogatás</t>
  </si>
  <si>
    <t>Irányító szervi (önkormányzati) támogatás (intézményfinanszírozás) (-2000+2342)</t>
  </si>
  <si>
    <t>Időskorúak tartós bentlakásos ellátása közvetett tevékenység</t>
  </si>
  <si>
    <t>Közvetett tevékenység</t>
  </si>
  <si>
    <t>Bentlakásos ellátás/Időskorúak demens bentlakásos ellátás</t>
  </si>
  <si>
    <t xml:space="preserve">Tát Város Önkormányzat adósságot keletkeztető ügyleteiből eredő fizetési kötelezettségeinek bemutatása                                                                                                                                                                                                                                                                           9. számú táblázat </t>
  </si>
  <si>
    <t>Saját bevétel és adósságot keletkeztető ügyletből eredő fizetési kötelezettség összegei</t>
  </si>
  <si>
    <t>ÖSSZESEN
7=(3+4+5+6)</t>
  </si>
  <si>
    <t>2016. után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</si>
  <si>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</si>
  <si>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</si>
  <si>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</si>
  <si>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</si>
  <si>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05</t>
  </si>
  <si>
    <t>Vállalatértékesítésből, privatizációból származó bevételek</t>
  </si>
  <si>
    <t>06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</si>
  <si>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</si>
  <si>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</si>
  <si>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</si>
  <si>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</si>
  <si>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</si>
  <si>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</si>
  <si>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</si>
  <si>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</si>
  <si>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</si>
  <si>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</si>
  <si>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</si>
  <si>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</si>
  <si>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</si>
  <si>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</si>
  <si>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Fizetési kötelezettség összesen (10+18)</t>
  </si>
  <si>
    <t>Fizetési kötelezettséggel csökkentett saját bevétel (09-26)</t>
  </si>
  <si>
    <t>Közvetlen segítők bértám. 8 hó</t>
  </si>
  <si>
    <t>Közvetlen segítők bértám. 4 hó</t>
  </si>
  <si>
    <t>Étkezés Óvoda,Iskola                 12 hó</t>
  </si>
  <si>
    <t>Nyári gyermekétkeztetés</t>
  </si>
  <si>
    <t>Országgyűlési választások</t>
  </si>
  <si>
    <t>Európai Parlamenti választások</t>
  </si>
  <si>
    <t>EP választás</t>
  </si>
  <si>
    <t>Önkormányzati választások</t>
  </si>
  <si>
    <t>Szociális feladatok egyéb támogatása</t>
  </si>
  <si>
    <t>Tát Város Önkormányzat 2016. évi adósságot keletkeztető fejlesztési céljai</t>
  </si>
  <si>
    <t>......................, 2016. .......................... hó ..... nap</t>
  </si>
  <si>
    <t>Önkormányzati  választások</t>
  </si>
  <si>
    <t>,</t>
  </si>
  <si>
    <t>2018.</t>
  </si>
  <si>
    <t>2015 előtti kifizetés</t>
  </si>
  <si>
    <t>Egyéb működési célú támogatások bevételei (OEP finanszírozás)</t>
  </si>
  <si>
    <t>-Vagyoni típusú adók (kommunális)</t>
  </si>
  <si>
    <t>Egyéb áruhasználati és szolgáltatási adók (idegenforgalmi adó)</t>
  </si>
  <si>
    <t>4.5.</t>
  </si>
  <si>
    <t>Egyéb közhatalmi bevételek (pótlék, bírság)</t>
  </si>
  <si>
    <t>Talajterhelési díj</t>
  </si>
  <si>
    <t>- Termékek és szolgáltatások adói (iparűzési )</t>
  </si>
  <si>
    <t>Egyéb felhalmozási célú támogatások bevételei (KEOP-2014. évi pályázatokra, felhalm)</t>
  </si>
  <si>
    <t>Egyéb működési célú támogatások bevételei (KEOP-2014. évi pályázatokra, műk)</t>
  </si>
  <si>
    <t>Eredeti előirányzat</t>
  </si>
  <si>
    <t>Besorolás</t>
  </si>
  <si>
    <t>ÖNKÉNTES DOLOGI</t>
  </si>
  <si>
    <t>ÖNKÉNTES FELHALMOZÁSI</t>
  </si>
  <si>
    <t>Lakosságnak juttatandó ( telek)</t>
  </si>
  <si>
    <t>Hozzájárulás a beruházási kiadásokhoz</t>
  </si>
  <si>
    <t>KÖTELEZŐ DOLOGI</t>
  </si>
  <si>
    <t>Sorszám</t>
  </si>
  <si>
    <t>6. tájékoztató tábla</t>
  </si>
  <si>
    <t>Bursa</t>
  </si>
  <si>
    <t>Kultúrház eszközbeszerzés  (szekrény, mikrofonkészlet, fejmikrofon, Rack doboz)</t>
  </si>
  <si>
    <t>KÖH eszközbeszerzés</t>
  </si>
  <si>
    <t>ÖSSZESEN ÖNKORMÁNYZAT</t>
  </si>
  <si>
    <t>ÖSSZESEN INTÉZMÉNYEK</t>
  </si>
  <si>
    <t>Egyéb működési célú átvett pénzeszköz (norvég partnertől önrész)</t>
  </si>
  <si>
    <t>Egyéb működési célú támogatások bevételei (EGT partnerektől önrészs)</t>
  </si>
  <si>
    <t>Egyéb működési célú átvett pénzeszköz (EGT Alap)</t>
  </si>
  <si>
    <t>Egyéb felhalmozási célú átvett pénzeszköz (EGT Alap)</t>
  </si>
  <si>
    <t xml:space="preserve">   - Egyéb működési célú támogatások ÁH-n belülre (EGT Alap)</t>
  </si>
  <si>
    <t xml:space="preserve">   - Egyéb működési célú támogatások államháztartáson kívülre (EGT Alap)</t>
  </si>
  <si>
    <t>Előző év költségvetési maradványának igénybevétele (bankszámlák egyenlege, EGT is)</t>
  </si>
  <si>
    <t>Egyéb felhalmozási célú támogatások bevételei (EGT partnerektől önrész)</t>
  </si>
  <si>
    <t>Egyéb működési célú támogatások bevételei  (EGT)</t>
  </si>
  <si>
    <t>Egyéb működési célú támogatások bevételei  (KEOP)</t>
  </si>
  <si>
    <t>Egyéb felhalmozási célú támogatások bevételei (KEOP)</t>
  </si>
  <si>
    <t>Egyéb felhalmozási célú támogatások bevételei (EGT partner)</t>
  </si>
  <si>
    <t xml:space="preserve">   - Egyéb felhalmozási célú támogatások ÁH-n belülre(EGT Alapból egyéb partner)</t>
  </si>
  <si>
    <t>- Vagyoni típusú adók (kommunális)</t>
  </si>
  <si>
    <t>- Termékek és szolgáltatások adói (iparűzési)</t>
  </si>
  <si>
    <t xml:space="preserve">   - Egyéb működési célú támogatások ÁH-n belülre (EGT ALAP)</t>
  </si>
  <si>
    <t>Beruházások (ebből: EGT ALAP 77.603)</t>
  </si>
  <si>
    <t>Egyéb felhalmozási célú átvett pénzeszköz (EGT Alap+Alapítvány)</t>
  </si>
  <si>
    <t xml:space="preserve">   - Egyéb felhalmozási célú támogatások ÁH-n belülre (EGT Alap)</t>
  </si>
  <si>
    <t xml:space="preserve">   - Egyéb működési célú támogatások ÁH-n belülre (társ.+intézményfin.)</t>
  </si>
  <si>
    <t>Egyéb működési célú támogatások bevételei (OEP)</t>
  </si>
  <si>
    <t>Egyéb működési célú támogatások bevételei (EGT)</t>
  </si>
  <si>
    <t>Egyéb működési célú támogatások bevételei (KEOP)</t>
  </si>
  <si>
    <t>Egyéb működési célú támogatások bevételei (Bérkomp)</t>
  </si>
  <si>
    <t>Egyéb működési célú támogatások bevételei (Választások)</t>
  </si>
  <si>
    <t xml:space="preserve">Egyéb működési célú támogatások bevételei (Munkaügyi Központ) </t>
  </si>
  <si>
    <t>Egyéb működési célú támogatások bevételei (KLIK)</t>
  </si>
  <si>
    <t>Egyéb működési célú támogatások bevételei (Szeretlek Mo.!)</t>
  </si>
  <si>
    <t>Egyéb működési célú támogatások bevételei (Kultúrház)</t>
  </si>
  <si>
    <t>Felhalmozási célú önkormányzati támogatások (adósságkonsz)</t>
  </si>
  <si>
    <t>Felhalmozási célú önkormányzati támogatások (érdekeltségnöv.tám.)</t>
  </si>
  <si>
    <t xml:space="preserve">   - Egyéb működési célú támogatások államháztartáson kívülre (EGT Alap norv)</t>
  </si>
  <si>
    <t>Család- és gyerekjóléti szolgálat</t>
  </si>
  <si>
    <t>Óvodai ellátás/Ped. bértám. 4 hó kieg pótlólagos</t>
  </si>
  <si>
    <t>Közvetlen segítők bértám. 8 hó(pedagógus szakkép.)</t>
  </si>
  <si>
    <t>Közvetlen segítők bértám. 4 hó(pedagógus szakkép.)</t>
  </si>
  <si>
    <t>Óvodaműködtetési támogatás 8  hó</t>
  </si>
  <si>
    <t>Óvodaműködtetési támogatás 4 hó</t>
  </si>
  <si>
    <t>Költségvetési kiadások összesen (1.+...+13.)</t>
  </si>
  <si>
    <t>Költségvetési bevételek összesen (1.+13.)</t>
  </si>
  <si>
    <t>Hiány belső finanszírozás bevételei ( 16+…+20)</t>
  </si>
  <si>
    <t>Hiány külső finanszírozásának bevételei (22+…+26. )</t>
  </si>
  <si>
    <t>Finanszírozási bevételek összesen (15.+21.)</t>
  </si>
  <si>
    <t>Finanszírozási kiadások összesen (15.+...+21.)</t>
  </si>
  <si>
    <t>BEVÉTEL ÖSSZESEN (14.+27.)</t>
  </si>
  <si>
    <t>KIADÁSOK ÖSSZESEN (14.+27.)</t>
  </si>
  <si>
    <t>Teljes költségből támogatás</t>
  </si>
  <si>
    <t xml:space="preserve">   - Egyéb felhalmozási célú támogatások ÁH-n belülre (EGT ALAPból Tokodnak)</t>
  </si>
  <si>
    <t xml:space="preserve">   - Egyéb felhalmozási célú támogatások ÁH-n kívülre</t>
  </si>
  <si>
    <t xml:space="preserve">   - Egyéb felhalmozási célú támogatások ÁH-n kívülre(EGT Alapból egyéb partner)</t>
  </si>
  <si>
    <t xml:space="preserve">   - Egyéb felhalmozási célú támogatások ÁH-n belülre(EGT Alapból Tokodnak)</t>
  </si>
  <si>
    <t xml:space="preserve">   - Egyéb felhalmozási célú támogatások ÁH-n belülre (EGT Alapból Tokodnak)</t>
  </si>
  <si>
    <t xml:space="preserve">   - Egyéb felhalmozási célú támogatások ÁH-n kívülre(EGT Alpból egyéb partner)</t>
  </si>
  <si>
    <t>2.14.</t>
  </si>
  <si>
    <t>köznevelési intézmény működtetéshez kapcsolódó támogatás</t>
  </si>
  <si>
    <t>Szakmai dolgozók bértám.(Idősek  Otthona)</t>
  </si>
  <si>
    <t>Rászoruló gyerekek étkeztetése</t>
  </si>
  <si>
    <t>1.1 Helyi önkormányzatok helyi támogatása</t>
  </si>
  <si>
    <t>1.2 Települési önkormányzatok egyes köznevelési feladatainak támogatása</t>
  </si>
  <si>
    <t>1.3 A települési önkormányzatok szoc.,gyermekjóléti és gyermekétkeztetési feladatainak támogatása</t>
  </si>
  <si>
    <t>1.4 Teleülési önkormányzatok kulturális feladatainak támogatása</t>
  </si>
  <si>
    <t>Egyéb felhalmozási célú támogatások bevételei (EGT alap)</t>
  </si>
  <si>
    <t>Önkormányzati vagyonnal való gazdálkodás</t>
  </si>
  <si>
    <t>Hosszabb időtartamú közfoglalkoztatás</t>
  </si>
  <si>
    <r>
      <t>Dologi  kiadások</t>
    </r>
    <r>
      <rPr>
        <sz val="8"/>
        <color indexed="53"/>
        <rFont val="Times New Roman CE"/>
        <family val="0"/>
      </rPr>
      <t xml:space="preserve"> </t>
    </r>
  </si>
  <si>
    <t xml:space="preserve">   - Egyéb működési célú támogatások ÁH-n belülre(Óvoda,Bölcsöde Társulás)</t>
  </si>
  <si>
    <t xml:space="preserve">   - Egyéb működési célú támogatások ÁH-n belülre(Bursa)</t>
  </si>
  <si>
    <t xml:space="preserve">   - Egyéb működési célú támogatások államháztartáson kívülre (tám.) egyesület+egyház</t>
  </si>
  <si>
    <t>Finanszírozás kiadás (intézményeknek)</t>
  </si>
  <si>
    <t>Általános tartalék (működés)</t>
  </si>
  <si>
    <t>Céltartalék (EGT Alap) (fejlesztés)</t>
  </si>
  <si>
    <t>Finanszírozás kiadás(intézmények)</t>
  </si>
  <si>
    <t>Nemleges</t>
  </si>
  <si>
    <t xml:space="preserve">   - Egyéb működési célú támogatások ÁH-n belülre(társulás)</t>
  </si>
  <si>
    <t xml:space="preserve">   - Egyéb működési célú támogatások ÁH-n kivülre(EGT alap)</t>
  </si>
  <si>
    <t xml:space="preserve">   - Egyéb működési célú támogatások ÁH-n kívülre</t>
  </si>
  <si>
    <t xml:space="preserve">Egyéb működési célú átvett pénzeszköz </t>
  </si>
  <si>
    <t>EGT+KEOP</t>
  </si>
  <si>
    <t xml:space="preserve">   - Részesedés</t>
  </si>
  <si>
    <t>Bankszámlaegyenleg</t>
  </si>
  <si>
    <t>Forgótőke</t>
  </si>
  <si>
    <t>Decemberi nettó bér+gépjárműadó</t>
  </si>
  <si>
    <t>Függő kiadás</t>
  </si>
  <si>
    <t>Bérelőleg</t>
  </si>
  <si>
    <t>Finanszírozáskülönbözet(KÖH, Kultúr)</t>
  </si>
  <si>
    <t>Egyes jövedelempótló támogatások</t>
  </si>
  <si>
    <t>Bérkompenzáció</t>
  </si>
  <si>
    <t>Szociális ágazati pótlék</t>
  </si>
  <si>
    <t>Érdekeltségnövelő támogatás</t>
  </si>
  <si>
    <t>2.5.1</t>
  </si>
  <si>
    <t>2.5,-ből EU-s támogatás</t>
  </si>
  <si>
    <t>Egyéb működési célú támogatások bevételei (Mbánya+Német nemz.)</t>
  </si>
  <si>
    <t>Egyéb felhalmozási célú támogatások bevételei (EGT )</t>
  </si>
  <si>
    <t>3.5</t>
  </si>
  <si>
    <t>3.5.1</t>
  </si>
  <si>
    <t>3.6</t>
  </si>
  <si>
    <t>3.6.-ból EU-s támogatás</t>
  </si>
  <si>
    <t>3.6.1</t>
  </si>
  <si>
    <t xml:space="preserve">   - Egyéb működési célú támogatások (Emb.Erőforrás)</t>
  </si>
  <si>
    <t>EGT Alap/Pályázat és támogatás</t>
  </si>
  <si>
    <t>Munkanélküliek aktív korúak ellátása</t>
  </si>
  <si>
    <t>Betegséggel kapcsolatos ellátás</t>
  </si>
  <si>
    <t>Köztemetés</t>
  </si>
  <si>
    <t>Intézményi étkeztetés</t>
  </si>
  <si>
    <t>Étkeztetés összesen</t>
  </si>
  <si>
    <t>Bölcsődei étkeztetés</t>
  </si>
  <si>
    <t>Bölcsődei étkeztetés összesen</t>
  </si>
  <si>
    <t>2017. évi előirányzat</t>
  </si>
  <si>
    <t>2018. évi előirányzat</t>
  </si>
  <si>
    <t>2019. évi előirányzat</t>
  </si>
  <si>
    <t>24..</t>
  </si>
  <si>
    <t>Ingatlanhasznosítás</t>
  </si>
  <si>
    <t>KULTÚRHÁZ ÉS KÖNYVTÁR ÖSSZESEN</t>
  </si>
  <si>
    <t>HOSSZABB KÖZFOGLALKOZTATÁS  ÖSSZES</t>
  </si>
  <si>
    <t>Járulékok, adók</t>
  </si>
  <si>
    <t>Tám. ért. kiad</t>
  </si>
  <si>
    <t>1.1.7.</t>
  </si>
  <si>
    <t>Költségvetési szervek  működése összesen</t>
  </si>
  <si>
    <t>KOMMUNÁLIS ÁGAZAT ÖSSZESEN</t>
  </si>
  <si>
    <t>Közművelődés összesen</t>
  </si>
  <si>
    <t>Könyvtár összesen</t>
  </si>
  <si>
    <t>Szociális étkeztetés</t>
  </si>
  <si>
    <t>1.2.8.</t>
  </si>
  <si>
    <t>1.3.9.</t>
  </si>
  <si>
    <t>SZOCIÁLIS SEGÉLYEZÉS, CSALÁDVÉDELEM ÖSSZ</t>
  </si>
  <si>
    <t>1.4.10.</t>
  </si>
  <si>
    <t>Rendszeres szociális segély</t>
  </si>
  <si>
    <t>ÖNKORMÁNYZATI IGAZGATÁS ÖSSZESEN</t>
  </si>
  <si>
    <t>Alsós oktatás működtetési feladatok</t>
  </si>
  <si>
    <t>Felsős oktatás működtetési feladatok</t>
  </si>
  <si>
    <t>Művészetoktatás működtetési feladatok</t>
  </si>
  <si>
    <t xml:space="preserve">Háziorvosi alapellátás </t>
  </si>
  <si>
    <t>HÁZIORVOSi ELLÁTÁS ÖSSZESEN</t>
  </si>
  <si>
    <t xml:space="preserve">Fogorvosi alapellátás </t>
  </si>
  <si>
    <t>FOGORVOSI ALAPELLÁTÁS ÖSSZESEN</t>
  </si>
  <si>
    <t>Közutak üzemeltetése, fenntartása</t>
  </si>
  <si>
    <t>Árvíz- és belvízvédelemmel összefüggő tev.</t>
  </si>
  <si>
    <t>Köztemető-fenntartás és működtetés</t>
  </si>
  <si>
    <t>Önkormányzati jogalkotás / Önkormányzatok jogalkotó és általános igazgatási tevékenysége</t>
  </si>
  <si>
    <t>Sportlétesítmények működtetése</t>
  </si>
  <si>
    <t xml:space="preserve"> Önkormányzati hivatalok igazgatási tevékenység</t>
  </si>
  <si>
    <t>Szoc .ellátás</t>
  </si>
  <si>
    <r>
      <t>Átmeneti segély/</t>
    </r>
    <r>
      <rPr>
        <i/>
        <sz val="10"/>
        <rFont val="Arial CE"/>
        <family val="0"/>
      </rPr>
      <t>Önkormányzati segély</t>
    </r>
  </si>
  <si>
    <r>
      <t>Temetési segély/</t>
    </r>
    <r>
      <rPr>
        <i/>
        <sz val="10"/>
        <rFont val="Arial CE"/>
        <family val="0"/>
      </rPr>
      <t>Önkormányzati segély</t>
    </r>
  </si>
  <si>
    <r>
      <t>Rendkívüli gyermekvédelmi tám./</t>
    </r>
    <r>
      <rPr>
        <i/>
        <sz val="10"/>
        <rFont val="Arial CE"/>
        <family val="0"/>
      </rPr>
      <t>Önkormányzati segél</t>
    </r>
    <r>
      <rPr>
        <sz val="10"/>
        <rFont val="Arial CE"/>
        <family val="2"/>
      </rPr>
      <t>y</t>
    </r>
  </si>
  <si>
    <t>Nappali ellátás</t>
  </si>
  <si>
    <t>Helytörténeti Értékmentő Alapítvány</t>
  </si>
  <si>
    <t>Táti Tűzoltóegyesület</t>
  </si>
  <si>
    <t>Hozzájárulás a dologi kiadásokhoz</t>
  </si>
  <si>
    <t>Német Nemzetiségi Fúvószenekar</t>
  </si>
  <si>
    <t>Sportegyesület ( bérleti díj)</t>
  </si>
  <si>
    <t>Katolikus Egyház</t>
  </si>
  <si>
    <t>Református Egyház</t>
  </si>
  <si>
    <t>Egyebek</t>
  </si>
  <si>
    <t>JOGCÍMEK  MEGNEVEZÉSE</t>
  </si>
  <si>
    <t>EREDETI</t>
  </si>
  <si>
    <t>E Ft</t>
  </si>
  <si>
    <t>Mutató</t>
  </si>
  <si>
    <t>Fajlagos</t>
  </si>
  <si>
    <t>Előirányz.</t>
  </si>
  <si>
    <t>Önkormányzati Hivatal támogatása</t>
  </si>
  <si>
    <t>Zöldterület-gazdálkodás</t>
  </si>
  <si>
    <t>Közvilágítás fenntartása</t>
  </si>
  <si>
    <t>283 200 Ft/km</t>
  </si>
  <si>
    <t>Köztemető-fenntartás</t>
  </si>
  <si>
    <t>69 Ft /m2</t>
  </si>
  <si>
    <t>Közutak fenntartása</t>
  </si>
  <si>
    <t>227 000 Ft/km</t>
  </si>
  <si>
    <t>Beszámítás</t>
  </si>
  <si>
    <t>Önkormányzati feladatok</t>
  </si>
  <si>
    <t>Üdülőhelyi feladatok</t>
  </si>
  <si>
    <t>Lakott külterülettel kapcs.</t>
  </si>
  <si>
    <t>Családsegítő szolgálat kieg.</t>
  </si>
  <si>
    <t>Gyermekjóléti szolgálat kieg.</t>
  </si>
  <si>
    <t>Szoc. étkeztetés</t>
  </si>
  <si>
    <t>Idősek klubja</t>
  </si>
  <si>
    <t>Intézmény-üzemelt. tám.</t>
  </si>
  <si>
    <t>Óvodai ellátás/ Ped. bértám.8 hó</t>
  </si>
  <si>
    <t>Óvodai ellátás/Ped. bértám. 4 hó</t>
  </si>
  <si>
    <t>Óvodai ellátás/Ped. bértám. 4 hó kieg</t>
  </si>
  <si>
    <t>Étkeztetés kiegészítés</t>
  </si>
  <si>
    <t>Kulturális feladatok támogatása</t>
  </si>
  <si>
    <t>Felhalmozási célú önkormányzati támogatások (vis maior)</t>
  </si>
  <si>
    <t>6.6.</t>
  </si>
  <si>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</si>
  <si>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</si>
  <si>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</si>
  <si>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</si>
  <si>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</si>
  <si>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</si>
  <si>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</si>
  <si>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</si>
  <si>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</si>
  <si>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</si>
  <si>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</si>
  <si>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</si>
  <si>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</si>
  <si>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</si>
  <si>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</si>
  <si>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</si>
  <si>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</si>
  <si>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</si>
  <si>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</si>
  <si>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</si>
  <si>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</si>
  <si>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</si>
  <si>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</si>
  <si>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</si>
  <si>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</si>
  <si>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</si>
  <si>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</si>
  <si>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</si>
  <si>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</si>
  <si>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</si>
  <si>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</si>
  <si>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</si>
  <si>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</si>
  <si>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</si>
  <si>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</si>
  <si>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</si>
  <si>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</si>
  <si>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</si>
  <si>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</si>
  <si>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</si>
  <si>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</si>
  <si>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</si>
  <si>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</si>
  <si>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</si>
  <si>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</si>
  <si>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</si>
  <si>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</si>
  <si>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</si>
  <si>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</si>
  <si>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</si>
  <si>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</si>
  <si>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</si>
  <si>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</si>
  <si>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</si>
  <si>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</si>
  <si>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</si>
  <si>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</si>
  <si>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</si>
  <si>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</si>
  <si>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</si>
  <si>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</si>
  <si>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</si>
  <si>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</si>
  <si>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</si>
  <si>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</si>
  <si>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</si>
  <si>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</si>
  <si>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</si>
  <si>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</si>
  <si>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</si>
  <si>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</si>
  <si>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</si>
  <si>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</si>
  <si>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</si>
  <si>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</si>
  <si>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</si>
  <si>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</si>
  <si>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</si>
  <si>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</si>
  <si>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</si>
  <si>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</si>
  <si>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</si>
  <si>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</si>
  <si>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</si>
  <si>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</si>
  <si>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</si>
  <si>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</si>
  <si>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</si>
  <si>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</si>
  <si>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</si>
  <si>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</si>
  <si>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</si>
  <si>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</si>
  <si>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</si>
  <si>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</si>
  <si>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</si>
  <si>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</si>
  <si>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</si>
  <si>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</si>
  <si>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</si>
  <si>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</si>
  <si>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</si>
  <si>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</si>
  <si>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</si>
  <si>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</si>
  <si>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</si>
  <si>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</si>
  <si>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</si>
  <si>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</si>
  <si>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</si>
  <si>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</si>
  <si>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</si>
  <si>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</si>
  <si>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</si>
  <si>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</si>
  <si>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</si>
  <si>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</si>
  <si>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</si>
  <si>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</si>
  <si>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</si>
  <si>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</si>
  <si>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</si>
  <si>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</si>
  <si>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</si>
  <si>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</si>
  <si>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</si>
  <si>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</si>
  <si>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</si>
  <si>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</si>
  <si>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</si>
  <si>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</si>
  <si>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</si>
  <si>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</si>
  <si>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</si>
  <si>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</si>
  <si>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</si>
  <si>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</si>
  <si>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</si>
  <si>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</si>
  <si>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</si>
  <si>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</si>
  <si>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</si>
  <si>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</si>
  <si>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</si>
  <si>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</si>
  <si>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</si>
  <si>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</si>
  <si>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</si>
  <si>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</si>
  <si>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</si>
  <si>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</si>
  <si>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</si>
  <si>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</si>
  <si>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</si>
  <si>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</si>
  <si>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</si>
  <si>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</si>
  <si>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</si>
  <si>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</si>
  <si>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</si>
  <si>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</si>
  <si>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</si>
  <si>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</si>
  <si>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</si>
  <si>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</si>
  <si>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</si>
  <si>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</si>
  <si>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</si>
  <si>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</si>
  <si>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</si>
  <si>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</si>
  <si>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</si>
  <si>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</si>
  <si>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</si>
  <si>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</si>
  <si>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</si>
  <si>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</si>
  <si>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</si>
  <si>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</si>
  <si>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</si>
  <si>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</si>
  <si>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</si>
  <si>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</si>
  <si>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</si>
  <si>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</si>
  <si>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</si>
  <si>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</si>
  <si>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</si>
  <si>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</si>
  <si>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</si>
  <si>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</si>
  <si>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</si>
  <si>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</si>
  <si>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</si>
  <si>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</si>
  <si>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</si>
  <si>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</si>
  <si>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</si>
  <si>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</si>
  <si>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</si>
  <si>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</si>
  <si>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</si>
  <si>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</si>
  <si>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</si>
  <si>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</si>
  <si>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</si>
  <si>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</si>
  <si>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</si>
  <si>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</si>
  <si>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</si>
  <si>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</si>
  <si>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</si>
  <si>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</si>
  <si>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</si>
  <si>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</si>
  <si>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</si>
  <si>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</si>
  <si>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</si>
  <si>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</si>
  <si>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</si>
  <si>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</si>
  <si>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</si>
  <si>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</si>
  <si>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</si>
  <si>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</si>
  <si>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</si>
  <si>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</si>
  <si>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</si>
  <si>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</si>
  <si>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</si>
  <si>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</si>
  <si>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</si>
  <si>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</si>
  <si>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</si>
  <si>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</si>
  <si>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</si>
  <si>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</si>
  <si>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</si>
  <si>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</si>
  <si>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</si>
  <si>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</si>
  <si>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</si>
  <si>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</si>
  <si>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</si>
  <si>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</si>
  <si>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</si>
  <si>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</si>
  <si>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</si>
  <si>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</si>
  <si>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</si>
  <si>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</si>
  <si>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</si>
  <si>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</si>
  <si>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</si>
  <si>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</si>
  <si>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</si>
  <si>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</si>
  <si>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</si>
  <si>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</si>
  <si>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</si>
  <si>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</si>
  <si>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</si>
  <si>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</si>
  <si>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</si>
  <si>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</si>
  <si>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</si>
  <si>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</si>
  <si>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</si>
  <si>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</si>
  <si>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</si>
  <si>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</si>
  <si>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</si>
  <si>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</si>
  <si>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</si>
  <si>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</si>
  <si>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</si>
  <si>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</si>
  <si>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</si>
  <si>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</si>
  <si>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</si>
  <si>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</si>
  <si>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</si>
  <si>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</si>
  <si>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</si>
  <si>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</si>
  <si>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</si>
  <si>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</si>
  <si>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</si>
  <si>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</si>
  <si>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</si>
  <si>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</si>
  <si>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</si>
  <si>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</si>
  <si>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</si>
  <si>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</si>
  <si>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</si>
  <si>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</si>
  <si>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</si>
  <si>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</si>
  <si>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</si>
  <si>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</si>
  <si>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</si>
  <si>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</si>
  <si>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</si>
  <si>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</si>
  <si>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</si>
  <si>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</si>
  <si>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</si>
  <si>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</si>
  <si>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</si>
  <si>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</si>
  <si>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</si>
  <si>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</si>
  <si>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</si>
  <si>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</si>
  <si>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</si>
  <si>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</si>
  <si>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</si>
  <si>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</si>
  <si>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</si>
  <si>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</si>
  <si>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</si>
  <si>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</si>
  <si>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</si>
  <si>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</si>
  <si>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</si>
  <si>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</si>
  <si>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</si>
  <si>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</si>
  <si>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</si>
  <si>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</si>
  <si>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</si>
  <si>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</si>
  <si>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</si>
  <si>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</si>
  <si>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</si>
  <si>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</si>
  <si>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</si>
  <si>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</si>
  <si>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</si>
  <si>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</si>
  <si>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</si>
  <si>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</si>
  <si>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</si>
  <si>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</si>
  <si>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</si>
  <si>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Tájékoztató a 2017. évi állami támogatásokról</t>
  </si>
  <si>
    <t>K I M U T A T Á S 
a 2017. évben céljelleggel juttatott támogatásokról</t>
  </si>
  <si>
    <t>2019
után</t>
  </si>
  <si>
    <t>2016. évi várható</t>
  </si>
  <si>
    <t>2017. tervezett</t>
  </si>
  <si>
    <t>2019.</t>
  </si>
  <si>
    <t>2019. után</t>
  </si>
  <si>
    <t>2017.évi előirányzat</t>
  </si>
  <si>
    <t>2020. évi előirányzat</t>
  </si>
  <si>
    <t>Felhasználás
2016. XII.31-ig</t>
  </si>
  <si>
    <t>2015-2017</t>
  </si>
  <si>
    <t xml:space="preserve">
2017. év utáni szükséglet
</t>
  </si>
  <si>
    <t xml:space="preserve">2017. év utáni szükséglet
</t>
  </si>
  <si>
    <t>Felhasználás                                              
2016. XII.31-ig</t>
  </si>
  <si>
    <t>KEOP-Tokod-Tát szennyvízelvezetés</t>
  </si>
  <si>
    <t>Adósságkonszolidáció összesen</t>
  </si>
  <si>
    <t>KÖH</t>
  </si>
  <si>
    <t>Óvoda</t>
  </si>
  <si>
    <t>járdaburkolat Fő út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</si>
</sst>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"/>
    <numFmt numFmtId="174" formatCode="#,##0_ ;\-#,##0\ "/>
  </numFmts>
  <fonts count="7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sz val="12"/>
      <name val="Times New Roman"/>
      <family val="1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 CE"/>
      <family val="2"/>
    </font>
    <font>
      <b/>
      <sz val="10"/>
      <name val="MS Sans Serif"/>
      <family val="2"/>
    </font>
    <font>
      <b/>
      <sz val="10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i/>
      <sz val="12"/>
      <name val="Times New Roman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53"/>
      <name val="Times New Roman CE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>
        <color indexed="8"/>
      </right>
      <top style="medium"/>
      <bottom style="thin"/>
    </border>
    <border>
      <left style="medium"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medium"/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/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/>
    </border>
    <border>
      <left style="medium"/>
      <right/>
      <top style="thin"/>
      <bottom style="thin"/>
    </border>
    <border>
      <left style="medium"/>
      <right/>
      <top style="hair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/>
      <top style="medium"/>
      <bottom style="hair">
        <color indexed="8"/>
      </bottom>
    </border>
    <border>
      <left style="medium"/>
      <right style="hair">
        <color indexed="8"/>
      </right>
      <top style="thin">
        <color indexed="8"/>
      </top>
      <bottom style="thin"/>
    </border>
    <border>
      <left style="hair">
        <color indexed="8"/>
      </left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hair">
        <color indexed="8"/>
      </left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thin"/>
      <right style="medium"/>
      <top style="thin"/>
      <bottom style="thin">
        <color indexed="8"/>
      </bottom>
    </border>
    <border>
      <left style="thin"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thin">
        <color indexed="8"/>
      </right>
      <top style="medium"/>
      <bottom style="thin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/>
      <top style="medium"/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/>
      <bottom style="thin"/>
    </border>
    <border>
      <left style="hair">
        <color indexed="8"/>
      </left>
      <right style="medium"/>
      <top/>
      <bottom style="thin"/>
    </border>
    <border>
      <left style="hair">
        <color indexed="8"/>
      </left>
      <right/>
      <top/>
      <bottom style="thin"/>
    </border>
    <border>
      <left style="medium"/>
      <right style="hair">
        <color indexed="8"/>
      </right>
      <top/>
      <bottom/>
    </border>
    <border>
      <left style="hair">
        <color indexed="8"/>
      </left>
      <right/>
      <top/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/>
    </border>
    <border>
      <left style="hair">
        <color indexed="8"/>
      </left>
      <right style="medium"/>
      <top style="medium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medium"/>
      <top style="hair">
        <color indexed="8"/>
      </top>
      <bottom/>
    </border>
    <border>
      <left style="hair">
        <color indexed="8"/>
      </left>
      <right style="medium"/>
      <top style="hair">
        <color indexed="8"/>
      </top>
      <bottom style="thin"/>
    </border>
    <border>
      <left style="medium"/>
      <right style="medium"/>
      <top style="medium"/>
      <bottom style="thin"/>
    </border>
    <border>
      <left style="hair">
        <color indexed="8"/>
      </left>
      <right style="medium"/>
      <top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/>
      <bottom style="thin"/>
    </border>
    <border>
      <left style="medium"/>
      <right/>
      <top/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medium"/>
      <top style="thin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/>
      <right style="hair">
        <color indexed="8"/>
      </right>
      <top style="thin"/>
      <bottom/>
    </border>
    <border>
      <left style="thin"/>
      <right style="hair">
        <color indexed="8"/>
      </right>
      <top/>
      <bottom/>
    </border>
    <border>
      <left style="thin"/>
      <right style="hair">
        <color indexed="8"/>
      </right>
      <top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/>
      <top style="medium"/>
      <bottom style="thin"/>
    </border>
    <border>
      <left style="thin"/>
      <right style="thin">
        <color indexed="8"/>
      </right>
      <top style="medium"/>
      <bottom style="medium"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medium"/>
      <bottom/>
    </border>
    <border>
      <left style="hair">
        <color indexed="8"/>
      </left>
      <right style="hair">
        <color indexed="8"/>
      </right>
      <top style="medium"/>
      <bottom/>
    </border>
    <border>
      <left style="hair">
        <color indexed="8"/>
      </left>
      <right style="hair">
        <color indexed="8"/>
      </right>
      <top/>
      <bottom style="thin"/>
    </border>
    <border>
      <left style="hair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/>
    </border>
    <border>
      <left style="hair">
        <color indexed="8"/>
      </left>
      <right/>
      <top style="thin"/>
      <bottom/>
    </border>
    <border>
      <left style="hair">
        <color indexed="8"/>
      </left>
      <right/>
      <top/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medium"/>
      <top style="thin">
        <color indexed="8"/>
      </top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2" borderId="0" applyNumberFormat="0" applyBorder="0" applyAlignment="0" applyProtection="0"/>
    <xf numFmtId="0" fontId="53" fillId="5" borderId="0" applyNumberFormat="0" applyBorder="0" applyAlignment="0" applyProtection="0"/>
    <xf numFmtId="0" fontId="53" fillId="4" borderId="0" applyNumberFormat="0" applyBorder="0" applyAlignment="0" applyProtection="0"/>
    <xf numFmtId="0" fontId="53" fillId="6" borderId="0" applyNumberFormat="0" applyBorder="0" applyAlignment="0" applyProtection="0"/>
    <xf numFmtId="0" fontId="53" fillId="3" borderId="0" applyNumberFormat="0" applyBorder="0" applyAlignment="0" applyProtection="0"/>
    <xf numFmtId="0" fontId="53" fillId="7" borderId="0" applyNumberFormat="0" applyBorder="0" applyAlignment="0" applyProtection="0"/>
    <xf numFmtId="0" fontId="53" fillId="6" borderId="0" applyNumberFormat="0" applyBorder="0" applyAlignment="0" applyProtection="0"/>
    <xf numFmtId="0" fontId="53" fillId="8" borderId="0" applyNumberFormat="0" applyBorder="0" applyAlignment="0" applyProtection="0"/>
    <xf numFmtId="0" fontId="53" fillId="7" borderId="0" applyNumberFormat="0" applyBorder="0" applyAlignment="0" applyProtection="0"/>
    <xf numFmtId="0" fontId="54" fillId="9" borderId="0" applyNumberFormat="0" applyBorder="0" applyAlignment="0" applyProtection="0"/>
    <xf numFmtId="0" fontId="54" fillId="3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3" borderId="0" applyNumberFormat="0" applyBorder="0" applyAlignment="0" applyProtection="0"/>
    <xf numFmtId="0" fontId="55" fillId="7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4" borderId="7" applyNumberFormat="0" applyFont="0" applyAlignment="0" applyProtection="0"/>
    <xf numFmtId="0" fontId="54" fillId="9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9" borderId="0" applyNumberFormat="0" applyBorder="0" applyAlignment="0" applyProtection="0"/>
    <xf numFmtId="0" fontId="54" fillId="14" borderId="0" applyNumberFormat="0" applyBorder="0" applyAlignment="0" applyProtection="0"/>
    <xf numFmtId="0" fontId="64" fillId="15" borderId="0" applyNumberFormat="0" applyBorder="0" applyAlignment="0" applyProtection="0"/>
    <xf numFmtId="0" fontId="65" fillId="16" borderId="8" applyNumberFormat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17" borderId="0" applyNumberFormat="0" applyBorder="0" applyAlignment="0" applyProtection="0"/>
    <xf numFmtId="0" fontId="70" fillId="7" borderId="0" applyNumberFormat="0" applyBorder="0" applyAlignment="0" applyProtection="0"/>
    <xf numFmtId="0" fontId="71" fillId="16" borderId="1" applyNumberFormat="0" applyAlignment="0" applyProtection="0"/>
    <xf numFmtId="9" fontId="0" fillId="0" borderId="0" applyFont="0" applyFill="0" applyBorder="0" applyAlignment="0" applyProtection="0"/>
  </cellStyleXfs>
  <cellXfs count="1209">
    <xf numFmtId="0" fontId="0" fillId="0" borderId="0" xfId="0" applyAlignment="1">
      <alignment/>
    </xf>
    <xf numFmtId="0" fontId="0" fillId="0" borderId="0" xfId="61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1" applyFont="1" applyFill="1" applyBorder="1" applyAlignment="1" applyProtection="1">
      <alignment horizontal="center" vertical="center" wrapText="1"/>
      <protection/>
    </xf>
    <xf numFmtId="0" fontId="6" fillId="0" borderId="0" xfId="61" applyFont="1" applyFill="1" applyBorder="1" applyAlignment="1" applyProtection="1">
      <alignment vertical="center" wrapText="1"/>
      <protection/>
    </xf>
    <xf numFmtId="0" fontId="17" fillId="0" borderId="10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3" xfId="61" applyFont="1" applyFill="1" applyBorder="1" applyAlignment="1" applyProtection="1">
      <alignment horizontal="left" vertical="center" wrapText="1" indent="1"/>
      <protection/>
    </xf>
    <xf numFmtId="0" fontId="17" fillId="0" borderId="14" xfId="61" applyFont="1" applyFill="1" applyBorder="1" applyAlignment="1" applyProtection="1">
      <alignment horizontal="left" vertical="center" wrapText="1" indent="1"/>
      <protection/>
    </xf>
    <xf numFmtId="0" fontId="17" fillId="0" borderId="15" xfId="61" applyFont="1" applyFill="1" applyBorder="1" applyAlignment="1" applyProtection="1">
      <alignment horizontal="left" vertical="center" wrapText="1" indent="1"/>
      <protection/>
    </xf>
    <xf numFmtId="49" fontId="17" fillId="0" borderId="16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61" applyFont="1" applyFill="1" applyBorder="1" applyAlignment="1" applyProtection="1">
      <alignment horizontal="left" vertical="center" wrapText="1" indent="1"/>
      <protection/>
    </xf>
    <xf numFmtId="0" fontId="15" fillId="0" borderId="22" xfId="61" applyFont="1" applyFill="1" applyBorder="1" applyAlignment="1" applyProtection="1">
      <alignment horizontal="left" vertical="center" wrapText="1" indent="1"/>
      <protection/>
    </xf>
    <xf numFmtId="0" fontId="15" fillId="0" borderId="23" xfId="61" applyFont="1" applyFill="1" applyBorder="1" applyAlignment="1" applyProtection="1">
      <alignment horizontal="left" vertical="center" wrapText="1" indent="1"/>
      <protection/>
    </xf>
    <xf numFmtId="0" fontId="15" fillId="0" borderId="24" xfId="61" applyFont="1" applyFill="1" applyBorder="1" applyAlignment="1" applyProtection="1">
      <alignment horizontal="left" vertical="center" wrapText="1" indent="1"/>
      <protection/>
    </xf>
    <xf numFmtId="0" fontId="7" fillId="0" borderId="22" xfId="61" applyFont="1" applyFill="1" applyBorder="1" applyAlignment="1" applyProtection="1">
      <alignment horizontal="center" vertical="center" wrapText="1"/>
      <protection/>
    </xf>
    <xf numFmtId="0" fontId="7" fillId="0" borderId="23" xfId="61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61" applyFont="1" applyFill="1" applyBorder="1" applyAlignment="1" applyProtection="1">
      <alignment vertical="center" wrapText="1"/>
      <protection/>
    </xf>
    <xf numFmtId="0" fontId="15" fillId="0" borderId="28" xfId="61" applyFont="1" applyFill="1" applyBorder="1" applyAlignment="1" applyProtection="1">
      <alignment vertical="center" wrapText="1"/>
      <protection/>
    </xf>
    <xf numFmtId="0" fontId="15" fillId="0" borderId="22" xfId="61" applyFont="1" applyFill="1" applyBorder="1" applyAlignment="1" applyProtection="1">
      <alignment horizontal="center" vertical="center" wrapText="1"/>
      <protection/>
    </xf>
    <xf numFmtId="0" fontId="15" fillId="0" borderId="23" xfId="61" applyFont="1" applyFill="1" applyBorder="1" applyAlignment="1" applyProtection="1">
      <alignment horizontal="center" vertical="center" wrapText="1"/>
      <protection/>
    </xf>
    <xf numFmtId="0" fontId="15" fillId="0" borderId="29" xfId="6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62" applyFont="1" applyFill="1" applyBorder="1" applyAlignment="1" applyProtection="1">
      <alignment horizontal="left" vertical="center" indent="1"/>
      <protection/>
    </xf>
    <xf numFmtId="0" fontId="2" fillId="0" borderId="0" xfId="61" applyFill="1">
      <alignment/>
      <protection/>
    </xf>
    <xf numFmtId="0" fontId="7" fillId="0" borderId="29" xfId="61" applyFont="1" applyFill="1" applyBorder="1" applyAlignment="1" applyProtection="1">
      <alignment horizontal="center" vertical="center" wrapText="1"/>
      <protection/>
    </xf>
    <xf numFmtId="0" fontId="17" fillId="0" borderId="0" xfId="61" applyFont="1" applyFill="1">
      <alignment/>
      <protection/>
    </xf>
    <xf numFmtId="0" fontId="19" fillId="0" borderId="0" xfId="61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9" xfId="0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2" applyFont="1" applyFill="1" applyBorder="1" applyAlignment="1" applyProtection="1">
      <alignment horizontal="center" vertical="center" wrapText="1"/>
      <protection/>
    </xf>
    <xf numFmtId="0" fontId="7" fillId="0" borderId="28" xfId="62" applyFont="1" applyFill="1" applyBorder="1" applyAlignment="1" applyProtection="1">
      <alignment horizontal="center" vertical="center"/>
      <protection/>
    </xf>
    <xf numFmtId="0" fontId="7" fillId="0" borderId="41" xfId="62" applyFont="1" applyFill="1" applyBorder="1" applyAlignment="1" applyProtection="1">
      <alignment horizontal="center" vertical="center"/>
      <protection/>
    </xf>
    <xf numFmtId="0" fontId="2" fillId="0" borderId="0" xfId="62" applyFill="1" applyProtection="1">
      <alignment/>
      <protection/>
    </xf>
    <xf numFmtId="0" fontId="17" fillId="0" borderId="22" xfId="62" applyFont="1" applyFill="1" applyBorder="1" applyAlignment="1" applyProtection="1">
      <alignment horizontal="left" vertical="center" indent="1"/>
      <protection/>
    </xf>
    <xf numFmtId="0" fontId="2" fillId="0" borderId="0" xfId="62" applyFill="1" applyAlignment="1" applyProtection="1">
      <alignment vertical="center"/>
      <protection/>
    </xf>
    <xf numFmtId="0" fontId="17" fillId="0" borderId="16" xfId="62" applyFont="1" applyFill="1" applyBorder="1" applyAlignment="1" applyProtection="1">
      <alignment horizontal="left" vertical="center" indent="1"/>
      <protection/>
    </xf>
    <xf numFmtId="164" fontId="17" fillId="0" borderId="10" xfId="62" applyNumberFormat="1" applyFont="1" applyFill="1" applyBorder="1" applyAlignment="1" applyProtection="1">
      <alignment vertical="center"/>
      <protection locked="0"/>
    </xf>
    <xf numFmtId="164" fontId="17" fillId="0" borderId="26" xfId="62" applyNumberFormat="1" applyFont="1" applyFill="1" applyBorder="1" applyAlignment="1" applyProtection="1">
      <alignment vertical="center"/>
      <protection/>
    </xf>
    <xf numFmtId="0" fontId="17" fillId="0" borderId="17" xfId="62" applyFont="1" applyFill="1" applyBorder="1" applyAlignment="1" applyProtection="1">
      <alignment horizontal="left" vertical="center" indent="1"/>
      <protection/>
    </xf>
    <xf numFmtId="164" fontId="17" fillId="0" borderId="11" xfId="62" applyNumberFormat="1" applyFont="1" applyFill="1" applyBorder="1" applyAlignment="1" applyProtection="1">
      <alignment vertical="center"/>
      <protection locked="0"/>
    </xf>
    <xf numFmtId="164" fontId="17" fillId="0" borderId="25" xfId="62" applyNumberFormat="1" applyFont="1" applyFill="1" applyBorder="1" applyAlignment="1" applyProtection="1">
      <alignment vertical="center"/>
      <protection/>
    </xf>
    <xf numFmtId="0" fontId="2" fillId="0" borderId="0" xfId="62" applyFill="1" applyAlignment="1" applyProtection="1">
      <alignment vertical="center"/>
      <protection locked="0"/>
    </xf>
    <xf numFmtId="164" fontId="17" fillId="0" borderId="12" xfId="62" applyNumberFormat="1" applyFont="1" applyFill="1" applyBorder="1" applyAlignment="1" applyProtection="1">
      <alignment vertical="center"/>
      <protection locked="0"/>
    </xf>
    <xf numFmtId="164" fontId="17" fillId="0" borderId="38" xfId="62" applyNumberFormat="1" applyFont="1" applyFill="1" applyBorder="1" applyAlignment="1" applyProtection="1">
      <alignment vertical="center"/>
      <protection/>
    </xf>
    <xf numFmtId="164" fontId="15" fillId="0" borderId="23" xfId="62" applyNumberFormat="1" applyFont="1" applyFill="1" applyBorder="1" applyAlignment="1" applyProtection="1">
      <alignment vertical="center"/>
      <protection/>
    </xf>
    <xf numFmtId="164" fontId="15" fillId="0" borderId="29" xfId="62" applyNumberFormat="1" applyFont="1" applyFill="1" applyBorder="1" applyAlignment="1" applyProtection="1">
      <alignment vertical="center"/>
      <protection/>
    </xf>
    <xf numFmtId="0" fontId="17" fillId="0" borderId="18" xfId="62" applyFont="1" applyFill="1" applyBorder="1" applyAlignment="1" applyProtection="1">
      <alignment horizontal="left" vertical="center" indent="1"/>
      <protection/>
    </xf>
    <xf numFmtId="0" fontId="2" fillId="0" borderId="0" xfId="62" applyFill="1" applyProtection="1">
      <alignment/>
      <protection locked="0"/>
    </xf>
    <xf numFmtId="0" fontId="0" fillId="0" borderId="0" xfId="62" applyFont="1" applyFill="1" applyProtection="1">
      <alignment/>
      <protection/>
    </xf>
    <xf numFmtId="0" fontId="4" fillId="0" borderId="0" xfId="62" applyFont="1" applyFill="1" applyProtection="1">
      <alignment/>
      <protection locked="0"/>
    </xf>
    <xf numFmtId="0" fontId="6" fillId="0" borderId="0" xfId="62" applyFont="1" applyFill="1" applyProtection="1">
      <alignment/>
      <protection locked="0"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61" applyFont="1" applyFill="1" applyBorder="1" applyAlignment="1" applyProtection="1">
      <alignment horizontal="left" vertical="center" wrapText="1" indent="1"/>
      <protection/>
    </xf>
    <xf numFmtId="0" fontId="6" fillId="0" borderId="0" xfId="61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61" applyFont="1" applyFill="1" applyBorder="1" applyAlignment="1" applyProtection="1">
      <alignment horizontal="left" vertical="center" wrapText="1"/>
      <protection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2" xfId="0" applyFont="1" applyFill="1" applyBorder="1" applyAlignment="1" applyProtection="1">
      <alignment horizontal="right"/>
      <protection/>
    </xf>
    <xf numFmtId="0" fontId="17" fillId="0" borderId="31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indent="6"/>
      <protection/>
    </xf>
    <xf numFmtId="0" fontId="17" fillId="0" borderId="11" xfId="61" applyFont="1" applyFill="1" applyBorder="1" applyAlignment="1" applyProtection="1">
      <alignment horizontal="left" vertical="center" wrapText="1" indent="6"/>
      <protection/>
    </xf>
    <xf numFmtId="0" fontId="17" fillId="0" borderId="15" xfId="61" applyFont="1" applyFill="1" applyBorder="1" applyAlignment="1" applyProtection="1">
      <alignment horizontal="left" vertical="center" wrapText="1" indent="6"/>
      <protection/>
    </xf>
    <xf numFmtId="0" fontId="17" fillId="0" borderId="39" xfId="61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61" applyFont="1" applyFill="1" applyBorder="1">
      <alignment/>
      <protection/>
    </xf>
    <xf numFmtId="0" fontId="1" fillId="0" borderId="0" xfId="61" applyFont="1" applyFill="1">
      <alignment/>
      <protection/>
    </xf>
    <xf numFmtId="164" fontId="4" fillId="0" borderId="0" xfId="61" applyNumberFormat="1" applyFont="1" applyFill="1" applyBorder="1" applyAlignment="1" applyProtection="1">
      <alignment horizontal="centerContinuous"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29" xfId="6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3" fillId="0" borderId="23" xfId="61" applyFont="1" applyFill="1" applyBorder="1">
      <alignment/>
      <protection/>
    </xf>
    <xf numFmtId="166" fontId="0" fillId="0" borderId="38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61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61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61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61" applyFont="1" applyFill="1" applyBorder="1" applyAlignment="1" applyProtection="1">
      <alignment horizontal="center" vertical="center" wrapText="1"/>
      <protection/>
    </xf>
    <xf numFmtId="0" fontId="15" fillId="0" borderId="13" xfId="61" applyFont="1" applyFill="1" applyBorder="1" applyAlignment="1" applyProtection="1">
      <alignment horizontal="center" vertical="center" wrapText="1"/>
      <protection/>
    </xf>
    <xf numFmtId="0" fontId="15" fillId="0" borderId="43" xfId="61" applyFont="1" applyFill="1" applyBorder="1" applyAlignment="1" applyProtection="1">
      <alignment horizontal="center" vertical="center" wrapText="1"/>
      <protection/>
    </xf>
    <xf numFmtId="0" fontId="17" fillId="0" borderId="22" xfId="61" applyFont="1" applyFill="1" applyBorder="1" applyAlignment="1" applyProtection="1">
      <alignment horizontal="center" vertical="center"/>
      <protection/>
    </xf>
    <xf numFmtId="0" fontId="17" fillId="0" borderId="23" xfId="61" applyFont="1" applyFill="1" applyBorder="1" applyAlignment="1" applyProtection="1">
      <alignment horizontal="center" vertical="center"/>
      <protection/>
    </xf>
    <xf numFmtId="0" fontId="17" fillId="0" borderId="29" xfId="61" applyFont="1" applyFill="1" applyBorder="1" applyAlignment="1" applyProtection="1">
      <alignment horizontal="center" vertical="center"/>
      <protection/>
    </xf>
    <xf numFmtId="0" fontId="17" fillId="0" borderId="20" xfId="61" applyFont="1" applyFill="1" applyBorder="1" applyAlignment="1" applyProtection="1">
      <alignment horizontal="center" vertical="center"/>
      <protection/>
    </xf>
    <xf numFmtId="0" fontId="17" fillId="0" borderId="17" xfId="61" applyFont="1" applyFill="1" applyBorder="1" applyAlignment="1" applyProtection="1">
      <alignment horizontal="center" vertical="center"/>
      <protection/>
    </xf>
    <xf numFmtId="0" fontId="17" fillId="0" borderId="19" xfId="61" applyFont="1" applyFill="1" applyBorder="1" applyAlignment="1" applyProtection="1">
      <alignment horizontal="center" vertical="center"/>
      <protection/>
    </xf>
    <xf numFmtId="166" fontId="15" fillId="0" borderId="29" xfId="40" applyNumberFormat="1" applyFont="1" applyFill="1" applyBorder="1" applyAlignment="1" applyProtection="1">
      <alignment/>
      <protection/>
    </xf>
    <xf numFmtId="166" fontId="17" fillId="0" borderId="43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61" applyFont="1" applyFill="1" applyBorder="1" applyProtection="1">
      <alignment/>
      <protection locked="0"/>
    </xf>
    <xf numFmtId="0" fontId="17" fillId="0" borderId="11" xfId="61" applyFont="1" applyFill="1" applyBorder="1" applyProtection="1">
      <alignment/>
      <protection locked="0"/>
    </xf>
    <xf numFmtId="0" fontId="17" fillId="0" borderId="15" xfId="61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21" fillId="0" borderId="4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3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5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164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9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9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8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7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4" xfId="0" applyNumberFormat="1" applyFont="1" applyFill="1" applyBorder="1" applyAlignment="1" applyProtection="1">
      <alignment horizontal="center" vertical="center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50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0" fontId="17" fillId="0" borderId="11" xfId="62" applyFont="1" applyFill="1" applyBorder="1" applyAlignment="1" applyProtection="1">
      <alignment horizontal="left" vertical="center" indent="1"/>
      <protection/>
    </xf>
    <xf numFmtId="0" fontId="17" fillId="0" borderId="12" xfId="62" applyFont="1" applyFill="1" applyBorder="1" applyAlignment="1" applyProtection="1">
      <alignment horizontal="left" vertical="center" wrapText="1" indent="1"/>
      <protection/>
    </xf>
    <xf numFmtId="0" fontId="17" fillId="0" borderId="11" xfId="62" applyFont="1" applyFill="1" applyBorder="1" applyAlignment="1" applyProtection="1">
      <alignment horizontal="left" vertical="center" wrapText="1" indent="1"/>
      <protection/>
    </xf>
    <xf numFmtId="0" fontId="17" fillId="0" borderId="12" xfId="62" applyFont="1" applyFill="1" applyBorder="1" applyAlignment="1" applyProtection="1">
      <alignment horizontal="left" vertical="center" inden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0" xfId="0" applyFont="1" applyBorder="1" applyAlignment="1" applyProtection="1">
      <alignment horizontal="left" vertical="center" wrapText="1" indent="1"/>
      <protection/>
    </xf>
    <xf numFmtId="164" fontId="15" fillId="0" borderId="41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Border="1" applyAlignment="1" applyProtection="1">
      <alignment horizontal="right" vertical="center" wrapText="1" indent="1"/>
      <protection/>
    </xf>
    <xf numFmtId="0" fontId="5" fillId="0" borderId="42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9" xfId="40" applyNumberFormat="1" applyFont="1" applyFill="1" applyBorder="1" applyAlignment="1" applyProtection="1">
      <alignment/>
      <protection locked="0"/>
    </xf>
    <xf numFmtId="166" fontId="17" fillId="0" borderId="53" xfId="40" applyNumberFormat="1" applyFont="1" applyFill="1" applyBorder="1" applyAlignment="1" applyProtection="1">
      <alignment/>
      <protection locked="0"/>
    </xf>
    <xf numFmtId="166" fontId="17" fillId="0" borderId="48" xfId="40" applyNumberFormat="1" applyFont="1" applyFill="1" applyBorder="1" applyAlignment="1" applyProtection="1">
      <alignment/>
      <protection locked="0"/>
    </xf>
    <xf numFmtId="0" fontId="17" fillId="0" borderId="12" xfId="61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 quotePrefix="1">
      <alignment horizontal="right" vertical="center" indent="1"/>
      <protection/>
    </xf>
    <xf numFmtId="0" fontId="7" fillId="0" borderId="60" xfId="0" applyFont="1" applyFill="1" applyBorder="1" applyAlignment="1" applyProtection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3" xfId="0" applyNumberFormat="1" applyFont="1" applyFill="1" applyBorder="1" applyAlignment="1" applyProtection="1">
      <alignment horizontal="right" vertical="center"/>
      <protection/>
    </xf>
    <xf numFmtId="49" fontId="7" fillId="0" borderId="6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1" xfId="61" applyFont="1" applyFill="1" applyBorder="1" applyAlignment="1" applyProtection="1">
      <alignment horizontal="center" vertical="center" wrapText="1"/>
      <protection/>
    </xf>
    <xf numFmtId="0" fontId="6" fillId="0" borderId="61" xfId="61" applyFont="1" applyFill="1" applyBorder="1" applyAlignment="1" applyProtection="1">
      <alignment vertical="center" wrapText="1"/>
      <protection/>
    </xf>
    <xf numFmtId="0" fontId="13" fillId="0" borderId="0" xfId="0" applyFont="1" applyAlignment="1">
      <alignment horizontal="center" wrapText="1"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" fillId="0" borderId="0" xfId="61" applyFont="1" applyFill="1" applyProtection="1">
      <alignment/>
      <protection/>
    </xf>
    <xf numFmtId="0" fontId="2" fillId="0" borderId="0" xfId="61" applyFont="1" applyFill="1" applyAlignment="1" applyProtection="1">
      <alignment horizontal="right" vertical="center" indent="1"/>
      <protection/>
    </xf>
    <xf numFmtId="0" fontId="2" fillId="0" borderId="0" xfId="61" applyFont="1" applyFill="1">
      <alignment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15" fillId="0" borderId="24" xfId="61" applyFont="1" applyFill="1" applyBorder="1" applyAlignment="1" applyProtection="1">
      <alignment horizontal="center" vertical="center" wrapText="1"/>
      <protection/>
    </xf>
    <xf numFmtId="0" fontId="15" fillId="0" borderId="28" xfId="61" applyFont="1" applyFill="1" applyBorder="1" applyAlignment="1" applyProtection="1">
      <alignment horizontal="center" vertical="center" wrapText="1"/>
      <protection/>
    </xf>
    <xf numFmtId="0" fontId="15" fillId="0" borderId="41" xfId="61" applyFont="1" applyFill="1" applyBorder="1" applyAlignment="1" applyProtection="1">
      <alignment horizontal="center" vertical="center" wrapText="1"/>
      <protection/>
    </xf>
    <xf numFmtId="164" fontId="17" fillId="0" borderId="38" xfId="61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6"/>
      <protection/>
    </xf>
    <xf numFmtId="0" fontId="2" fillId="0" borderId="0" xfId="61" applyFill="1" applyProtection="1">
      <alignment/>
      <protection/>
    </xf>
    <xf numFmtId="0" fontId="17" fillId="0" borderId="0" xfId="61" applyFont="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" fillId="0" borderId="0" xfId="61" applyFill="1" applyAlignment="1" applyProtection="1">
      <alignment/>
      <protection/>
    </xf>
    <xf numFmtId="164" fontId="20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61" applyFont="1" applyFill="1" applyProtection="1">
      <alignment/>
      <protection/>
    </xf>
    <xf numFmtId="0" fontId="6" fillId="0" borderId="0" xfId="61" applyFont="1" applyFill="1" applyProtection="1">
      <alignment/>
      <protection/>
    </xf>
    <xf numFmtId="0" fontId="2" fillId="0" borderId="0" xfId="61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61" applyNumberFormat="1" applyFont="1" applyFill="1" applyBorder="1" applyAlignment="1" applyProtection="1">
      <alignment horizontal="center" vertical="center" wrapText="1"/>
      <protection/>
    </xf>
    <xf numFmtId="49" fontId="17" fillId="0" borderId="17" xfId="61" applyNumberFormat="1" applyFont="1" applyFill="1" applyBorder="1" applyAlignment="1" applyProtection="1">
      <alignment horizontal="center" vertical="center" wrapText="1"/>
      <protection/>
    </xf>
    <xf numFmtId="49" fontId="17" fillId="0" borderId="19" xfId="61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0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61" applyNumberFormat="1" applyFont="1" applyFill="1" applyBorder="1" applyAlignment="1" applyProtection="1">
      <alignment horizontal="center" vertical="center" wrapText="1"/>
      <protection/>
    </xf>
    <xf numFmtId="49" fontId="17" fillId="0" borderId="16" xfId="61" applyNumberFormat="1" applyFont="1" applyFill="1" applyBorder="1" applyAlignment="1" applyProtection="1">
      <alignment horizontal="center" vertical="center" wrapText="1"/>
      <protection/>
    </xf>
    <xf numFmtId="49" fontId="17" fillId="0" borderId="21" xfId="61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31" xfId="61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61" applyFont="1" applyFill="1" applyBorder="1" applyAlignment="1">
      <alignment horizontal="center" vertical="center"/>
      <protection/>
    </xf>
    <xf numFmtId="166" fontId="3" fillId="0" borderId="23" xfId="61" applyNumberFormat="1" applyFont="1" applyFill="1" applyBorder="1">
      <alignment/>
      <protection/>
    </xf>
    <xf numFmtId="166" fontId="3" fillId="0" borderId="29" xfId="61" applyNumberFormat="1" applyFont="1" applyFill="1" applyBorder="1">
      <alignment/>
      <protection/>
    </xf>
    <xf numFmtId="0" fontId="4" fillId="0" borderId="0" xfId="61" applyFont="1" applyFill="1">
      <alignment/>
      <protection/>
    </xf>
    <xf numFmtId="0" fontId="15" fillId="0" borderId="22" xfId="61" applyFont="1" applyFill="1" applyBorder="1" applyAlignment="1" applyProtection="1">
      <alignment horizontal="center" vertical="center"/>
      <protection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62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42" xfId="61" applyNumberFormat="1" applyFont="1" applyFill="1" applyBorder="1" applyAlignment="1" applyProtection="1">
      <alignment horizontal="left" vertical="center"/>
      <protection/>
    </xf>
    <xf numFmtId="0" fontId="27" fillId="0" borderId="42" xfId="0" applyFont="1" applyFill="1" applyBorder="1" applyAlignment="1" applyProtection="1">
      <alignment horizontal="right" vertical="center"/>
      <protection/>
    </xf>
    <xf numFmtId="0" fontId="6" fillId="0" borderId="22" xfId="61" applyFont="1" applyFill="1" applyBorder="1" applyAlignment="1" applyProtection="1">
      <alignment horizontal="center" vertical="center" wrapText="1"/>
      <protection/>
    </xf>
    <xf numFmtId="0" fontId="6" fillId="0" borderId="23" xfId="61" applyFont="1" applyFill="1" applyBorder="1" applyAlignment="1" applyProtection="1">
      <alignment horizontal="center" vertical="center" wrapText="1"/>
      <protection/>
    </xf>
    <xf numFmtId="0" fontId="6" fillId="0" borderId="49" xfId="61" applyFont="1" applyFill="1" applyBorder="1" applyAlignment="1" applyProtection="1">
      <alignment horizontal="center" vertical="center" wrapText="1"/>
      <protection/>
    </xf>
    <xf numFmtId="0" fontId="6" fillId="0" borderId="58" xfId="61" applyFont="1" applyFill="1" applyBorder="1" applyAlignment="1" applyProtection="1">
      <alignment horizontal="center" vertical="center" wrapText="1"/>
      <protection/>
    </xf>
    <xf numFmtId="0" fontId="6" fillId="0" borderId="22" xfId="61" applyFont="1" applyFill="1" applyBorder="1" applyAlignment="1" applyProtection="1">
      <alignment horizontal="left" vertical="center" wrapText="1" indent="1"/>
      <protection/>
    </xf>
    <xf numFmtId="0" fontId="6" fillId="0" borderId="23" xfId="61" applyFont="1" applyFill="1" applyBorder="1" applyAlignment="1" applyProtection="1">
      <alignment horizontal="left" vertical="center" wrapText="1" indent="1"/>
      <protection/>
    </xf>
    <xf numFmtId="164" fontId="6" fillId="0" borderId="23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58" xfId="61" applyNumberFormat="1" applyFont="1" applyFill="1" applyBorder="1" applyAlignment="1" applyProtection="1">
      <alignment horizontal="right" vertical="center" wrapText="1" indent="1"/>
      <protection/>
    </xf>
    <xf numFmtId="49" fontId="2" fillId="0" borderId="18" xfId="61" applyNumberFormat="1" applyFont="1" applyFill="1" applyBorder="1" applyAlignment="1" applyProtection="1">
      <alignment horizontal="left" vertical="center" wrapText="1" indent="1"/>
      <protection/>
    </xf>
    <xf numFmtId="0" fontId="31" fillId="0" borderId="12" xfId="0" applyFont="1" applyBorder="1" applyAlignment="1" applyProtection="1">
      <alignment horizontal="left" wrapText="1" indent="1"/>
      <protection/>
    </xf>
    <xf numFmtId="164" fontId="2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4" xfId="61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7" xfId="61" applyNumberFormat="1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wrapText="1" indent="1"/>
      <protection/>
    </xf>
    <xf numFmtId="164" fontId="2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18" borderId="11" xfId="61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9" xfId="61" applyNumberFormat="1" applyFont="1" applyFill="1" applyBorder="1" applyAlignment="1" applyProtection="1">
      <alignment horizontal="left" vertical="center" wrapText="1" indent="1"/>
      <protection/>
    </xf>
    <xf numFmtId="0" fontId="31" fillId="0" borderId="15" xfId="0" applyFont="1" applyBorder="1" applyAlignment="1" applyProtection="1">
      <alignment horizontal="left" vertical="center" wrapText="1" indent="1"/>
      <protection/>
    </xf>
    <xf numFmtId="164" fontId="2" fillId="18" borderId="15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horizontal="left" vertical="center" wrapText="1" indent="1"/>
      <protection/>
    </xf>
    <xf numFmtId="164" fontId="2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3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58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12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64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4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0" applyFont="1" applyBorder="1" applyAlignment="1" applyProtection="1">
      <alignment vertical="center" wrapText="1"/>
      <protection/>
    </xf>
    <xf numFmtId="0" fontId="31" fillId="0" borderId="15" xfId="0" applyFont="1" applyBorder="1" applyAlignment="1" applyProtection="1">
      <alignment horizontal="left" vertical="center" wrapText="1"/>
      <protection/>
    </xf>
    <xf numFmtId="0" fontId="31" fillId="0" borderId="18" xfId="0" applyFont="1" applyBorder="1" applyAlignment="1" applyProtection="1">
      <alignment vertical="center" wrapText="1"/>
      <protection/>
    </xf>
    <xf numFmtId="0" fontId="31" fillId="0" borderId="17" xfId="0" applyFont="1" applyBorder="1" applyAlignment="1" applyProtection="1">
      <alignment vertical="center" wrapText="1"/>
      <protection/>
    </xf>
    <xf numFmtId="0" fontId="31" fillId="0" borderId="19" xfId="0" applyFont="1" applyBorder="1" applyAlignment="1" applyProtection="1">
      <alignment vertical="center" wrapText="1"/>
      <protection/>
    </xf>
    <xf numFmtId="164" fontId="6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8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vertical="center" wrapText="1"/>
      <protection/>
    </xf>
    <xf numFmtId="0" fontId="13" fillId="0" borderId="31" xfId="0" applyFont="1" applyBorder="1" applyAlignment="1" applyProtection="1">
      <alignment vertical="center" wrapText="1"/>
      <protection/>
    </xf>
    <xf numFmtId="164" fontId="2" fillId="0" borderId="61" xfId="6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9" xfId="61" applyFont="1" applyFill="1" applyBorder="1" applyAlignment="1" applyProtection="1">
      <alignment horizontal="center" vertical="center" wrapText="1"/>
      <protection/>
    </xf>
    <xf numFmtId="0" fontId="6" fillId="0" borderId="24" xfId="61" applyFont="1" applyFill="1" applyBorder="1" applyAlignment="1" applyProtection="1">
      <alignment horizontal="left" vertical="center" wrapText="1" indent="1"/>
      <protection/>
    </xf>
    <xf numFmtId="0" fontId="6" fillId="0" borderId="28" xfId="61" applyFont="1" applyFill="1" applyBorder="1" applyAlignment="1" applyProtection="1">
      <alignment vertical="center" wrapText="1"/>
      <protection/>
    </xf>
    <xf numFmtId="164" fontId="6" fillId="0" borderId="28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65" xfId="61" applyNumberFormat="1" applyFont="1" applyFill="1" applyBorder="1" applyAlignment="1" applyProtection="1">
      <alignment horizontal="right" vertical="center" wrapText="1" indent="1"/>
      <protection/>
    </xf>
    <xf numFmtId="49" fontId="2" fillId="0" borderId="20" xfId="61" applyNumberFormat="1" applyFont="1" applyFill="1" applyBorder="1" applyAlignment="1" applyProtection="1">
      <alignment horizontal="left" vertical="center" wrapText="1" indent="1"/>
      <protection/>
    </xf>
    <xf numFmtId="0" fontId="2" fillId="0" borderId="13" xfId="61" applyFont="1" applyFill="1" applyBorder="1" applyAlignment="1" applyProtection="1">
      <alignment horizontal="left" vertical="center" wrapText="1" indent="1"/>
      <protection/>
    </xf>
    <xf numFmtId="164" fontId="2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9" xfId="6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1" xfId="61" applyFont="1" applyFill="1" applyBorder="1" applyAlignment="1" applyProtection="1">
      <alignment horizontal="left" vertical="center" wrapText="1" indent="1"/>
      <protection/>
    </xf>
    <xf numFmtId="0" fontId="2" fillId="0" borderId="14" xfId="61" applyFont="1" applyFill="1" applyBorder="1" applyAlignment="1" applyProtection="1">
      <alignment horizontal="left" vertical="center" wrapText="1" indent="1"/>
      <protection/>
    </xf>
    <xf numFmtId="0" fontId="2" fillId="0" borderId="0" xfId="61" applyFont="1" applyFill="1" applyBorder="1" applyAlignment="1" applyProtection="1">
      <alignment horizontal="left" vertical="center" wrapText="1" indent="1"/>
      <protection/>
    </xf>
    <xf numFmtId="0" fontId="2" fillId="0" borderId="11" xfId="61" applyFont="1" applyFill="1" applyBorder="1" applyAlignment="1" applyProtection="1">
      <alignment horizontal="left" indent="6"/>
      <protection/>
    </xf>
    <xf numFmtId="0" fontId="2" fillId="0" borderId="11" xfId="61" applyFont="1" applyFill="1" applyBorder="1" applyAlignment="1" applyProtection="1">
      <alignment horizontal="left" vertical="center" wrapText="1" indent="6"/>
      <protection/>
    </xf>
    <xf numFmtId="49" fontId="2" fillId="0" borderId="16" xfId="61" applyNumberFormat="1" applyFont="1" applyFill="1" applyBorder="1" applyAlignment="1" applyProtection="1">
      <alignment horizontal="left" vertical="center" wrapText="1" indent="1"/>
      <protection/>
    </xf>
    <xf numFmtId="49" fontId="2" fillId="0" borderId="21" xfId="61" applyNumberFormat="1" applyFont="1" applyFill="1" applyBorder="1" applyAlignment="1" applyProtection="1">
      <alignment horizontal="left" vertical="center" wrapText="1" indent="1"/>
      <protection/>
    </xf>
    <xf numFmtId="164" fontId="2" fillId="0" borderId="39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6" xfId="6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3" xfId="61" applyFont="1" applyFill="1" applyBorder="1" applyAlignment="1" applyProtection="1">
      <alignment vertical="center" wrapText="1"/>
      <protection/>
    </xf>
    <xf numFmtId="0" fontId="2" fillId="0" borderId="15" xfId="61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vertical="center" wrapText="1" indent="1"/>
      <protection/>
    </xf>
    <xf numFmtId="0" fontId="2" fillId="0" borderId="12" xfId="61" applyFont="1" applyFill="1" applyBorder="1" applyAlignment="1" applyProtection="1">
      <alignment horizontal="left" vertical="center" wrapText="1" indent="6"/>
      <protection/>
    </xf>
    <xf numFmtId="0" fontId="6" fillId="0" borderId="23" xfId="61" applyFont="1" applyFill="1" applyBorder="1" applyAlignment="1" applyProtection="1">
      <alignment horizontal="left" vertical="center" wrapText="1" indent="1"/>
      <protection/>
    </xf>
    <xf numFmtId="0" fontId="2" fillId="0" borderId="12" xfId="61" applyFont="1" applyFill="1" applyBorder="1" applyAlignment="1" applyProtection="1">
      <alignment horizontal="left" vertical="center" wrapText="1" indent="1"/>
      <protection/>
    </xf>
    <xf numFmtId="0" fontId="2" fillId="0" borderId="10" xfId="61" applyFont="1" applyFill="1" applyBorder="1" applyAlignment="1" applyProtection="1">
      <alignment horizontal="left" vertical="center" wrapText="1" indent="1"/>
      <protection/>
    </xf>
    <xf numFmtId="164" fontId="13" fillId="0" borderId="23" xfId="0" applyNumberFormat="1" applyFont="1" applyBorder="1" applyAlignment="1" applyProtection="1">
      <alignment horizontal="right" vertical="center" wrapText="1" indent="1"/>
      <protection/>
    </xf>
    <xf numFmtId="164" fontId="13" fillId="0" borderId="58" xfId="0" applyNumberFormat="1" applyFont="1" applyBorder="1" applyAlignment="1" applyProtection="1">
      <alignment horizontal="right" vertical="center" wrapText="1" indent="1"/>
      <protection/>
    </xf>
    <xf numFmtId="164" fontId="13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58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30" xfId="0" applyFont="1" applyBorder="1" applyAlignment="1" applyProtection="1">
      <alignment horizontal="left" vertical="center" wrapText="1" indent="1"/>
      <protection/>
    </xf>
    <xf numFmtId="0" fontId="13" fillId="0" borderId="31" xfId="0" applyFont="1" applyBorder="1" applyAlignment="1" applyProtection="1">
      <alignment horizontal="left" vertical="center" wrapText="1" indent="1"/>
      <protection/>
    </xf>
    <xf numFmtId="0" fontId="32" fillId="0" borderId="0" xfId="59">
      <alignment/>
      <protection/>
    </xf>
    <xf numFmtId="3" fontId="33" fillId="0" borderId="0" xfId="59" applyNumberFormat="1" applyFont="1" applyFill="1" applyBorder="1" applyAlignment="1">
      <alignment horizontal="center"/>
      <protection/>
    </xf>
    <xf numFmtId="3" fontId="33" fillId="0" borderId="0" xfId="59" applyNumberFormat="1" applyFont="1" applyFill="1" applyBorder="1">
      <alignment/>
      <protection/>
    </xf>
    <xf numFmtId="3" fontId="34" fillId="0" borderId="0" xfId="59" applyNumberFormat="1" applyFont="1" applyFill="1" applyBorder="1">
      <alignment/>
      <protection/>
    </xf>
    <xf numFmtId="3" fontId="33" fillId="0" borderId="0" xfId="59" applyNumberFormat="1" applyFont="1" applyFill="1" applyBorder="1" applyAlignment="1">
      <alignment horizontal="right"/>
      <protection/>
    </xf>
    <xf numFmtId="0" fontId="32" fillId="0" borderId="0" xfId="59" applyFill="1">
      <alignment/>
      <protection/>
    </xf>
    <xf numFmtId="3" fontId="33" fillId="0" borderId="0" xfId="59" applyNumberFormat="1" applyFont="1" applyFill="1" applyBorder="1" applyAlignment="1">
      <alignment/>
      <protection/>
    </xf>
    <xf numFmtId="3" fontId="38" fillId="0" borderId="0" xfId="59" applyNumberFormat="1" applyFont="1" applyFill="1" applyBorder="1" applyAlignment="1">
      <alignment horizontal="center"/>
      <protection/>
    </xf>
    <xf numFmtId="3" fontId="39" fillId="0" borderId="0" xfId="59" applyNumberFormat="1" applyFont="1" applyFill="1" applyBorder="1" applyAlignment="1">
      <alignment/>
      <protection/>
    </xf>
    <xf numFmtId="0" fontId="40" fillId="0" borderId="0" xfId="59" applyFont="1">
      <alignment/>
      <protection/>
    </xf>
    <xf numFmtId="3" fontId="38" fillId="0" borderId="0" xfId="60" applyNumberFormat="1" applyFont="1" applyFill="1" applyBorder="1" applyAlignment="1" quotePrefix="1">
      <alignment horizontal="center"/>
      <protection/>
    </xf>
    <xf numFmtId="3" fontId="39" fillId="0" borderId="0" xfId="60" applyNumberFormat="1" applyFont="1" applyFill="1" applyBorder="1" applyAlignment="1">
      <alignment/>
      <protection/>
    </xf>
    <xf numFmtId="0" fontId="32" fillId="0" borderId="0" xfId="60" applyFont="1" applyBorder="1" applyAlignment="1">
      <alignment/>
      <protection/>
    </xf>
    <xf numFmtId="3" fontId="39" fillId="0" borderId="0" xfId="60" applyNumberFormat="1" applyFont="1" applyFill="1" applyBorder="1">
      <alignment/>
      <protection/>
    </xf>
    <xf numFmtId="3" fontId="32" fillId="0" borderId="0" xfId="60" applyNumberFormat="1" applyFill="1" applyBorder="1" applyAlignment="1">
      <alignment horizontal="center"/>
      <protection/>
    </xf>
    <xf numFmtId="3" fontId="32" fillId="0" borderId="0" xfId="60" applyNumberFormat="1" applyFill="1" applyBorder="1">
      <alignment/>
      <protection/>
    </xf>
    <xf numFmtId="0" fontId="0" fillId="0" borderId="0" xfId="0" applyBorder="1" applyAlignment="1">
      <alignment/>
    </xf>
    <xf numFmtId="172" fontId="33" fillId="0" borderId="67" xfId="0" applyNumberFormat="1" applyFont="1" applyBorder="1" applyAlignment="1">
      <alignment/>
    </xf>
    <xf numFmtId="0" fontId="6" fillId="0" borderId="0" xfId="0" applyFont="1" applyFill="1" applyAlignment="1">
      <alignment horizontal="center"/>
    </xf>
    <xf numFmtId="164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Fill="1" applyBorder="1" applyAlignment="1" applyProtection="1">
      <alignment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164" fontId="6" fillId="0" borderId="29" xfId="0" applyNumberFormat="1" applyFont="1" applyFill="1" applyBorder="1" applyAlignment="1" applyProtection="1">
      <alignment vertical="center" wrapText="1"/>
      <protection/>
    </xf>
    <xf numFmtId="164" fontId="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5" xfId="0" applyNumberFormat="1" applyFont="1" applyFill="1" applyBorder="1" applyAlignment="1" applyProtection="1">
      <alignment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7" xfId="0" applyNumberFormat="1" applyFont="1" applyFill="1" applyBorder="1" applyAlignment="1" applyProtection="1">
      <alignment vertical="center" wrapText="1"/>
      <protection/>
    </xf>
    <xf numFmtId="164" fontId="7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68" xfId="0" applyNumberFormat="1" applyFont="1" applyFill="1" applyBorder="1" applyAlignment="1" applyProtection="1">
      <alignment horizontal="center" vertical="center" wrapText="1"/>
      <protection/>
    </xf>
    <xf numFmtId="164" fontId="2" fillId="0" borderId="56" xfId="0" applyNumberFormat="1" applyFont="1" applyFill="1" applyBorder="1" applyAlignment="1" applyProtection="1">
      <alignment vertical="center" wrapText="1"/>
      <protection locked="0"/>
    </xf>
    <xf numFmtId="164" fontId="2" fillId="0" borderId="69" xfId="0" applyNumberFormat="1" applyFont="1" applyFill="1" applyBorder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horizontal="left" wrapText="1" indent="1"/>
      <protection/>
    </xf>
    <xf numFmtId="164" fontId="17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9" xfId="62" applyFont="1" applyFill="1" applyBorder="1" applyAlignment="1" applyProtection="1">
      <alignment horizontal="left" vertical="center" indent="1"/>
      <protection/>
    </xf>
    <xf numFmtId="0" fontId="17" fillId="0" borderId="15" xfId="62" applyFont="1" applyFill="1" applyBorder="1" applyAlignment="1" applyProtection="1">
      <alignment horizontal="left" vertical="center" indent="1"/>
      <protection/>
    </xf>
    <xf numFmtId="0" fontId="15" fillId="0" borderId="22" xfId="62" applyFont="1" applyFill="1" applyBorder="1" applyAlignment="1" applyProtection="1">
      <alignment horizontal="left" vertical="center" indent="1"/>
      <protection/>
    </xf>
    <xf numFmtId="0" fontId="7" fillId="0" borderId="29" xfId="62" applyFont="1" applyFill="1" applyBorder="1" applyAlignment="1" applyProtection="1">
      <alignment horizontal="left" vertical="center" indent="1"/>
      <protection/>
    </xf>
    <xf numFmtId="164" fontId="15" fillId="0" borderId="49" xfId="62" applyNumberFormat="1" applyFont="1" applyFill="1" applyBorder="1" applyAlignment="1" applyProtection="1">
      <alignment vertical="center"/>
      <protection/>
    </xf>
    <xf numFmtId="0" fontId="7" fillId="0" borderId="29" xfId="62" applyFont="1" applyFill="1" applyBorder="1" applyAlignment="1" applyProtection="1">
      <alignment horizontal="left" indent="1"/>
      <protection/>
    </xf>
    <xf numFmtId="164" fontId="15" fillId="0" borderId="49" xfId="62" applyNumberFormat="1" applyFont="1" applyFill="1" applyBorder="1" applyProtection="1">
      <alignment/>
      <protection/>
    </xf>
    <xf numFmtId="0" fontId="44" fillId="0" borderId="0" xfId="0" applyFont="1" applyAlignment="1">
      <alignment/>
    </xf>
    <xf numFmtId="0" fontId="45" fillId="0" borderId="0" xfId="0" applyFont="1" applyAlignment="1">
      <alignment horizontal="right"/>
    </xf>
    <xf numFmtId="0" fontId="46" fillId="0" borderId="39" xfId="0" applyFont="1" applyBorder="1" applyAlignment="1">
      <alignment horizontal="center" vertical="center" wrapText="1"/>
    </xf>
    <xf numFmtId="0" fontId="46" fillId="0" borderId="54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70" xfId="0" applyFont="1" applyBorder="1" applyAlignment="1">
      <alignment horizontal="center" wrapText="1"/>
    </xf>
    <xf numFmtId="0" fontId="47" fillId="0" borderId="71" xfId="0" applyFont="1" applyBorder="1" applyAlignment="1">
      <alignment horizontal="center" wrapText="1"/>
    </xf>
    <xf numFmtId="0" fontId="47" fillId="0" borderId="17" xfId="0" applyFont="1" applyBorder="1" applyAlignment="1">
      <alignment horizontal="left" vertical="center" wrapText="1"/>
    </xf>
    <xf numFmtId="49" fontId="47" fillId="0" borderId="11" xfId="0" applyNumberFormat="1" applyFont="1" applyBorder="1" applyAlignment="1">
      <alignment horizontal="center" wrapText="1"/>
    </xf>
    <xf numFmtId="166" fontId="47" fillId="0" borderId="11" xfId="40" applyNumberFormat="1" applyFont="1" applyBorder="1" applyAlignment="1" applyProtection="1">
      <alignment horizontal="right" vertical="center" wrapText="1"/>
      <protection locked="0"/>
    </xf>
    <xf numFmtId="166" fontId="47" fillId="0" borderId="56" xfId="40" applyNumberFormat="1" applyFont="1" applyBorder="1" applyAlignment="1" applyProtection="1">
      <alignment horizontal="right" vertical="center" wrapText="1"/>
      <protection locked="0"/>
    </xf>
    <xf numFmtId="166" fontId="47" fillId="0" borderId="34" xfId="40" applyNumberFormat="1" applyFont="1" applyBorder="1" applyAlignment="1">
      <alignment horizontal="right" vertical="center" wrapText="1"/>
    </xf>
    <xf numFmtId="0" fontId="47" fillId="0" borderId="19" xfId="0" applyFont="1" applyBorder="1" applyAlignment="1">
      <alignment horizontal="left" vertical="center" wrapText="1"/>
    </xf>
    <xf numFmtId="49" fontId="47" fillId="0" borderId="15" xfId="0" applyNumberFormat="1" applyFont="1" applyBorder="1" applyAlignment="1">
      <alignment horizontal="center" wrapText="1"/>
    </xf>
    <xf numFmtId="166" fontId="47" fillId="0" borderId="15" xfId="40" applyNumberFormat="1" applyFont="1" applyBorder="1" applyAlignment="1" applyProtection="1">
      <alignment horizontal="right" vertical="center" wrapText="1"/>
      <protection locked="0"/>
    </xf>
    <xf numFmtId="166" fontId="47" fillId="0" borderId="69" xfId="40" applyNumberFormat="1" applyFont="1" applyBorder="1" applyAlignment="1" applyProtection="1">
      <alignment horizontal="right" vertical="center" wrapText="1"/>
      <protection locked="0"/>
    </xf>
    <xf numFmtId="166" fontId="47" fillId="0" borderId="35" xfId="40" applyNumberFormat="1" applyFont="1" applyBorder="1" applyAlignment="1">
      <alignment horizontal="right" vertical="center" wrapText="1"/>
    </xf>
    <xf numFmtId="0" fontId="46" fillId="0" borderId="22" xfId="0" applyFont="1" applyBorder="1" applyAlignment="1">
      <alignment horizontal="left" vertical="center" wrapText="1"/>
    </xf>
    <xf numFmtId="49" fontId="46" fillId="0" borderId="23" xfId="0" applyNumberFormat="1" applyFont="1" applyBorder="1" applyAlignment="1">
      <alignment horizontal="center" wrapText="1"/>
    </xf>
    <xf numFmtId="166" fontId="46" fillId="0" borderId="23" xfId="40" applyNumberFormat="1" applyFont="1" applyBorder="1" applyAlignment="1">
      <alignment horizontal="right" vertical="center" wrapText="1"/>
    </xf>
    <xf numFmtId="166" fontId="46" fillId="0" borderId="55" xfId="40" applyNumberFormat="1" applyFont="1" applyBorder="1" applyAlignment="1">
      <alignment horizontal="right" vertical="center" wrapText="1"/>
    </xf>
    <xf numFmtId="166" fontId="47" fillId="0" borderId="33" xfId="40" applyNumberFormat="1" applyFont="1" applyBorder="1" applyAlignment="1">
      <alignment horizontal="right" vertical="center" wrapText="1"/>
    </xf>
    <xf numFmtId="0" fontId="46" fillId="0" borderId="30" xfId="0" applyFont="1" applyBorder="1" applyAlignment="1">
      <alignment horizontal="left" vertical="center" wrapText="1"/>
    </xf>
    <xf numFmtId="49" fontId="46" fillId="0" borderId="31" xfId="0" applyNumberFormat="1" applyFont="1" applyBorder="1" applyAlignment="1">
      <alignment horizontal="center" wrapText="1"/>
    </xf>
    <xf numFmtId="166" fontId="46" fillId="0" borderId="31" xfId="40" applyNumberFormat="1" applyFont="1" applyBorder="1" applyAlignment="1">
      <alignment horizontal="right" vertical="center" wrapText="1"/>
    </xf>
    <xf numFmtId="0" fontId="46" fillId="0" borderId="23" xfId="0" applyFont="1" applyBorder="1" applyAlignment="1">
      <alignment horizont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wrapText="1"/>
    </xf>
    <xf numFmtId="166" fontId="47" fillId="0" borderId="12" xfId="40" applyNumberFormat="1" applyFont="1" applyBorder="1" applyAlignment="1" applyProtection="1">
      <alignment horizontal="right" vertical="center" wrapText="1"/>
      <protection locked="0"/>
    </xf>
    <xf numFmtId="166" fontId="47" fillId="0" borderId="67" xfId="40" applyNumberFormat="1" applyFont="1" applyBorder="1" applyAlignment="1" applyProtection="1">
      <alignment horizontal="right" vertical="center" wrapText="1"/>
      <protection locked="0"/>
    </xf>
    <xf numFmtId="166" fontId="47" fillId="0" borderId="36" xfId="40" applyNumberFormat="1" applyFont="1" applyBorder="1" applyAlignment="1">
      <alignment horizontal="right" vertical="center" wrapText="1"/>
    </xf>
    <xf numFmtId="0" fontId="47" fillId="0" borderId="11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6" fillId="0" borderId="31" xfId="0" applyFont="1" applyBorder="1" applyAlignment="1">
      <alignment horizontal="center" wrapText="1"/>
    </xf>
    <xf numFmtId="166" fontId="47" fillId="0" borderId="72" xfId="40" applyNumberFormat="1" applyFont="1" applyBorder="1" applyAlignment="1">
      <alignment horizontal="right" vertical="center" wrapText="1"/>
    </xf>
    <xf numFmtId="0" fontId="43" fillId="0" borderId="0" xfId="0" applyFont="1" applyAlignment="1" applyProtection="1">
      <alignment horizontal="center" vertical="center" wrapText="1"/>
      <protection locked="0"/>
    </xf>
    <xf numFmtId="172" fontId="33" fillId="0" borderId="62" xfId="0" applyNumberFormat="1" applyFont="1" applyBorder="1" applyAlignment="1">
      <alignment horizontal="center"/>
    </xf>
    <xf numFmtId="0" fontId="0" fillId="0" borderId="73" xfId="0" applyBorder="1" applyAlignment="1">
      <alignment/>
    </xf>
    <xf numFmtId="0" fontId="48" fillId="0" borderId="0" xfId="0" applyFont="1" applyBorder="1" applyAlignment="1">
      <alignment/>
    </xf>
    <xf numFmtId="4" fontId="48" fillId="0" borderId="62" xfId="0" applyNumberFormat="1" applyFont="1" applyBorder="1" applyAlignment="1">
      <alignment/>
    </xf>
    <xf numFmtId="3" fontId="48" fillId="0" borderId="62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62" xfId="0" applyFont="1" applyBorder="1" applyAlignment="1">
      <alignment horizontal="right" vertical="center" wrapText="1"/>
    </xf>
    <xf numFmtId="172" fontId="48" fillId="0" borderId="62" xfId="0" applyNumberFormat="1" applyFont="1" applyBorder="1" applyAlignment="1">
      <alignment/>
    </xf>
    <xf numFmtId="1" fontId="48" fillId="0" borderId="62" xfId="0" applyNumberFormat="1" applyFont="1" applyBorder="1" applyAlignment="1">
      <alignment/>
    </xf>
    <xf numFmtId="0" fontId="48" fillId="0" borderId="62" xfId="0" applyFont="1" applyFill="1" applyBorder="1" applyAlignment="1">
      <alignment/>
    </xf>
    <xf numFmtId="4" fontId="48" fillId="0" borderId="62" xfId="0" applyNumberFormat="1" applyFont="1" applyBorder="1" applyAlignment="1">
      <alignment horizontal="right" vertical="center"/>
    </xf>
    <xf numFmtId="0" fontId="15" fillId="0" borderId="55" xfId="0" applyFont="1" applyFill="1" applyBorder="1" applyAlignment="1" applyProtection="1">
      <alignment horizontal="left" vertical="center" wrapText="1" indent="1"/>
      <protection/>
    </xf>
    <xf numFmtId="164" fontId="15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74" xfId="0" applyFont="1" applyFill="1" applyBorder="1" applyAlignment="1" applyProtection="1">
      <alignment horizontal="right"/>
      <protection/>
    </xf>
    <xf numFmtId="0" fontId="1" fillId="0" borderId="74" xfId="0" applyFont="1" applyFill="1" applyBorder="1" applyAlignment="1" applyProtection="1">
      <alignment vertical="center" wrapText="1"/>
      <protection/>
    </xf>
    <xf numFmtId="0" fontId="1" fillId="0" borderId="25" xfId="0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17" fillId="0" borderId="0" xfId="0" applyFont="1" applyBorder="1" applyAlignment="1" applyProtection="1">
      <alignment horizontal="right" vertical="center" indent="1"/>
      <protection/>
    </xf>
    <xf numFmtId="0" fontId="17" fillId="0" borderId="0" xfId="0" applyFont="1" applyBorder="1" applyAlignment="1" applyProtection="1">
      <alignment horizontal="left" vertical="center" indent="1"/>
      <protection locked="0"/>
    </xf>
    <xf numFmtId="3" fontId="17" fillId="0" borderId="0" xfId="0" applyNumberFormat="1" applyFont="1" applyBorder="1" applyAlignment="1" applyProtection="1">
      <alignment horizontal="right" vertical="center" indent="1"/>
      <protection locked="0"/>
    </xf>
    <xf numFmtId="3" fontId="17" fillId="0" borderId="0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1" xfId="0" applyNumberFormat="1" applyFont="1" applyBorder="1" applyAlignment="1" applyProtection="1">
      <alignment horizontal="right" vertical="center" indent="1"/>
      <protection locked="0"/>
    </xf>
    <xf numFmtId="0" fontId="17" fillId="0" borderId="30" xfId="0" applyFont="1" applyBorder="1" applyAlignment="1" applyProtection="1">
      <alignment horizontal="right" vertical="center" inden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2" xfId="0" applyFont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8" xfId="0" applyFont="1" applyBorder="1" applyAlignment="1" applyProtection="1">
      <alignment horizontal="right" vertical="center" indent="1"/>
      <protection/>
    </xf>
    <xf numFmtId="0" fontId="17" fillId="0" borderId="39" xfId="0" applyFont="1" applyBorder="1" applyAlignment="1" applyProtection="1">
      <alignment horizontal="left" vertical="center" indent="1"/>
      <protection locked="0"/>
    </xf>
    <xf numFmtId="0" fontId="17" fillId="0" borderId="31" xfId="0" applyFont="1" applyBorder="1" applyAlignment="1" applyProtection="1">
      <alignment horizontal="left" vertical="center" indent="1"/>
      <protection locked="0"/>
    </xf>
    <xf numFmtId="3" fontId="17" fillId="0" borderId="11" xfId="0" applyNumberFormat="1" applyFont="1" applyBorder="1" applyAlignment="1" applyProtection="1">
      <alignment horizontal="right" vertical="center" indent="1"/>
      <protection locked="0"/>
    </xf>
    <xf numFmtId="3" fontId="17" fillId="0" borderId="59" xfId="0" applyNumberFormat="1" applyFont="1" applyBorder="1" applyAlignment="1" applyProtection="1">
      <alignment horizontal="right" vertical="center" indent="1"/>
      <protection locked="0"/>
    </xf>
    <xf numFmtId="3" fontId="17" fillId="0" borderId="53" xfId="0" applyNumberFormat="1" applyFont="1" applyBorder="1" applyAlignment="1" applyProtection="1">
      <alignment horizontal="right" vertical="center" indent="1"/>
      <protection locked="0"/>
    </xf>
    <xf numFmtId="3" fontId="17" fillId="0" borderId="64" xfId="0" applyNumberFormat="1" applyFont="1" applyBorder="1" applyAlignment="1" applyProtection="1">
      <alignment horizontal="right" vertical="center" indent="1"/>
      <protection locked="0"/>
    </xf>
    <xf numFmtId="3" fontId="17" fillId="0" borderId="60" xfId="0" applyNumberFormat="1" applyFont="1" applyBorder="1" applyAlignment="1" applyProtection="1">
      <alignment horizontal="right" vertical="center" indent="1"/>
      <protection locked="0"/>
    </xf>
    <xf numFmtId="3" fontId="17" fillId="0" borderId="66" xfId="0" applyNumberFormat="1" applyFont="1" applyBorder="1" applyAlignment="1" applyProtection="1">
      <alignment horizontal="right" vertical="center" indent="1"/>
      <protection locked="0"/>
    </xf>
    <xf numFmtId="3" fontId="17" fillId="0" borderId="12" xfId="0" applyNumberFormat="1" applyFont="1" applyBorder="1" applyAlignment="1" applyProtection="1">
      <alignment horizontal="right" vertical="center" indent="1"/>
      <protection locked="0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3" fontId="17" fillId="0" borderId="13" xfId="0" applyNumberFormat="1" applyFont="1" applyBorder="1" applyAlignment="1" applyProtection="1">
      <alignment horizontal="right" vertical="center" indent="1"/>
      <protection locked="0"/>
    </xf>
    <xf numFmtId="0" fontId="3" fillId="0" borderId="33" xfId="0" applyFont="1" applyBorder="1" applyAlignment="1">
      <alignment horizontal="center" vertical="center"/>
    </xf>
    <xf numFmtId="0" fontId="17" fillId="0" borderId="22" xfId="0" applyFont="1" applyBorder="1" applyAlignment="1" applyProtection="1">
      <alignment horizontal="right" vertical="center" indent="1"/>
      <protection/>
    </xf>
    <xf numFmtId="0" fontId="17" fillId="0" borderId="23" xfId="0" applyFont="1" applyBorder="1" applyAlignment="1" applyProtection="1">
      <alignment horizontal="left" vertical="center" indent="1"/>
      <protection locked="0"/>
    </xf>
    <xf numFmtId="3" fontId="17" fillId="0" borderId="23" xfId="0" applyNumberFormat="1" applyFont="1" applyBorder="1" applyAlignment="1" applyProtection="1">
      <alignment horizontal="right" vertical="center" indent="1"/>
      <protection locked="0"/>
    </xf>
    <xf numFmtId="3" fontId="17" fillId="0" borderId="58" xfId="0" applyNumberFormat="1" applyFont="1" applyBorder="1" applyAlignment="1" applyProtection="1">
      <alignment horizontal="right" vertical="center" indent="1"/>
      <protection locked="0"/>
    </xf>
    <xf numFmtId="0" fontId="17" fillId="0" borderId="31" xfId="61" applyFont="1" applyFill="1" applyBorder="1" applyAlignment="1" applyProtection="1">
      <alignment horizontal="left" vertical="center" wrapText="1" indent="6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7" fillId="0" borderId="31" xfId="0" applyNumberFormat="1" applyFont="1" applyFill="1" applyBorder="1" applyAlignment="1" applyProtection="1">
      <alignment horizontal="center" vertical="center" wrapText="1"/>
      <protection/>
    </xf>
    <xf numFmtId="164" fontId="7" fillId="0" borderId="32" xfId="0" applyNumberFormat="1" applyFont="1" applyFill="1" applyBorder="1" applyAlignment="1" applyProtection="1">
      <alignment horizontal="center" vertical="center" wrapText="1"/>
      <protection/>
    </xf>
    <xf numFmtId="164" fontId="14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164" fontId="14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2" xfId="0" applyNumberFormat="1" applyFont="1" applyFill="1" applyBorder="1" applyAlignment="1" applyProtection="1">
      <alignment vertical="center" wrapText="1"/>
      <protection locked="0"/>
    </xf>
    <xf numFmtId="164" fontId="14" fillId="0" borderId="38" xfId="0" applyNumberFormat="1" applyFont="1" applyFill="1" applyBorder="1" applyAlignment="1" applyProtection="1">
      <alignment vertical="center" wrapText="1"/>
      <protection/>
    </xf>
    <xf numFmtId="164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23" xfId="0" applyNumberFormat="1" applyFont="1" applyFill="1" applyBorder="1" applyAlignment="1" applyProtection="1">
      <alignment vertical="center" wrapText="1"/>
      <protection locked="0"/>
    </xf>
    <xf numFmtId="164" fontId="7" fillId="0" borderId="29" xfId="0" applyNumberFormat="1" applyFont="1" applyFill="1" applyBorder="1" applyAlignment="1" applyProtection="1">
      <alignment vertical="center" wrapText="1"/>
      <protection/>
    </xf>
    <xf numFmtId="164" fontId="14" fillId="0" borderId="13" xfId="0" applyNumberFormat="1" applyFont="1" applyFill="1" applyBorder="1" applyAlignment="1" applyProtection="1">
      <alignment vertical="center" wrapText="1"/>
      <protection locked="0"/>
    </xf>
    <xf numFmtId="49" fontId="14" fillId="0" borderId="13" xfId="0" applyNumberFormat="1" applyFont="1" applyFill="1" applyBorder="1" applyAlignment="1" applyProtection="1">
      <alignment vertical="center" wrapText="1"/>
      <protection locked="0"/>
    </xf>
    <xf numFmtId="164" fontId="14" fillId="0" borderId="43" xfId="0" applyNumberFormat="1" applyFont="1" applyFill="1" applyBorder="1" applyAlignment="1" applyProtection="1">
      <alignment vertical="center" wrapText="1"/>
      <protection/>
    </xf>
    <xf numFmtId="164" fontId="14" fillId="0" borderId="39" xfId="0" applyNumberFormat="1" applyFont="1" applyFill="1" applyBorder="1" applyAlignment="1" applyProtection="1">
      <alignment vertical="center" wrapText="1"/>
      <protection locked="0"/>
    </xf>
    <xf numFmtId="49" fontId="14" fillId="0" borderId="39" xfId="0" applyNumberFormat="1" applyFont="1" applyFill="1" applyBorder="1" applyAlignment="1" applyProtection="1">
      <alignment vertical="center" wrapText="1"/>
      <protection locked="0"/>
    </xf>
    <xf numFmtId="164" fontId="14" fillId="0" borderId="4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49" fontId="7" fillId="0" borderId="23" xfId="0" applyNumberFormat="1" applyFont="1" applyFill="1" applyBorder="1" applyAlignment="1" applyProtection="1">
      <alignment vertical="center" wrapText="1"/>
      <protection locked="0"/>
    </xf>
    <xf numFmtId="49" fontId="14" fillId="0" borderId="12" xfId="0" applyNumberFormat="1" applyFont="1" applyFill="1" applyBorder="1" applyAlignment="1" applyProtection="1">
      <alignment vertical="center" wrapText="1"/>
      <protection locked="0"/>
    </xf>
    <xf numFmtId="49" fontId="14" fillId="0" borderId="15" xfId="0" applyNumberFormat="1" applyFont="1" applyFill="1" applyBorder="1" applyAlignment="1" applyProtection="1">
      <alignment vertical="center" wrapText="1"/>
      <protection locked="0"/>
    </xf>
    <xf numFmtId="164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2" xfId="0" applyNumberFormat="1" applyFont="1" applyFill="1" applyBorder="1" applyAlignment="1" applyProtection="1">
      <alignment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7" xfId="0" applyNumberFormat="1" applyFont="1" applyFill="1" applyBorder="1" applyAlignment="1" applyProtection="1">
      <alignment vertical="center" wrapText="1"/>
      <protection locked="0"/>
    </xf>
    <xf numFmtId="164" fontId="2" fillId="0" borderId="38" xfId="0" applyNumberFormat="1" applyFont="1" applyFill="1" applyBorder="1" applyAlignment="1" applyProtection="1">
      <alignment vertical="center" wrapText="1"/>
      <protection/>
    </xf>
    <xf numFmtId="164" fontId="2" fillId="0" borderId="23" xfId="0" applyNumberFormat="1" applyFont="1" applyFill="1" applyBorder="1" applyAlignment="1" applyProtection="1">
      <alignment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5" xfId="0" applyNumberFormat="1" applyFont="1" applyFill="1" applyBorder="1" applyAlignment="1" applyProtection="1">
      <alignment vertical="center" wrapText="1"/>
      <protection locked="0"/>
    </xf>
    <xf numFmtId="164" fontId="2" fillId="0" borderId="29" xfId="0" applyNumberFormat="1" applyFont="1" applyFill="1" applyBorder="1" applyAlignment="1" applyProtection="1">
      <alignment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 locked="0"/>
    </xf>
    <xf numFmtId="164" fontId="6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6" xfId="0" applyNumberFormat="1" applyFont="1" applyFill="1" applyBorder="1" applyAlignment="1" applyProtection="1">
      <alignment vertical="center" wrapText="1"/>
      <protection/>
    </xf>
    <xf numFmtId="164" fontId="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0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2" xfId="0" applyNumberFormat="1" applyFont="1" applyFill="1" applyBorder="1" applyAlignment="1" applyProtection="1">
      <alignment vertical="center" wrapText="1"/>
      <protection locked="0"/>
    </xf>
    <xf numFmtId="0" fontId="17" fillId="16" borderId="11" xfId="61" applyFont="1" applyFill="1" applyBorder="1" applyAlignment="1" applyProtection="1">
      <alignment horizontal="left" vertical="center" wrapText="1" indent="6"/>
      <protection/>
    </xf>
    <xf numFmtId="0" fontId="21" fillId="16" borderId="11" xfId="0" applyFont="1" applyFill="1" applyBorder="1" applyAlignment="1" applyProtection="1">
      <alignment horizontal="left" wrapText="1" indent="1"/>
      <protection/>
    </xf>
    <xf numFmtId="0" fontId="31" fillId="0" borderId="15" xfId="0" applyFont="1" applyBorder="1" applyAlignment="1" applyProtection="1">
      <alignment horizontal="left" wrapText="1" indent="1"/>
      <protection/>
    </xf>
    <xf numFmtId="164" fontId="17" fillId="0" borderId="43" xfId="62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/>
    </xf>
    <xf numFmtId="0" fontId="49" fillId="0" borderId="75" xfId="0" applyFont="1" applyBorder="1" applyAlignment="1">
      <alignment/>
    </xf>
    <xf numFmtId="3" fontId="49" fillId="0" borderId="56" xfId="0" applyNumberFormat="1" applyFont="1" applyBorder="1" applyAlignment="1">
      <alignment/>
    </xf>
    <xf numFmtId="1" fontId="49" fillId="0" borderId="56" xfId="0" applyNumberFormat="1" applyFont="1" applyBorder="1" applyAlignment="1">
      <alignment/>
    </xf>
    <xf numFmtId="0" fontId="49" fillId="0" borderId="75" xfId="0" applyFont="1" applyBorder="1" applyAlignment="1">
      <alignment horizontal="left"/>
    </xf>
    <xf numFmtId="0" fontId="49" fillId="0" borderId="56" xfId="0" applyFont="1" applyFill="1" applyBorder="1" applyAlignment="1">
      <alignment/>
    </xf>
    <xf numFmtId="0" fontId="52" fillId="0" borderId="42" xfId="0" applyFont="1" applyBorder="1" applyAlignment="1">
      <alignment horizontal="right"/>
    </xf>
    <xf numFmtId="3" fontId="51" fillId="0" borderId="68" xfId="0" applyNumberFormat="1" applyFont="1" applyFill="1" applyBorder="1" applyAlignment="1">
      <alignment/>
    </xf>
    <xf numFmtId="0" fontId="22" fillId="0" borderId="0" xfId="0" applyFont="1" applyBorder="1" applyAlignment="1" applyProtection="1">
      <alignment wrapText="1"/>
      <protection/>
    </xf>
    <xf numFmtId="164" fontId="15" fillId="0" borderId="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8" xfId="0" applyNumberFormat="1" applyFont="1" applyFill="1" applyBorder="1" applyAlignment="1" applyProtection="1">
      <alignment horizontal="right" vertical="center" wrapText="1" indent="1"/>
      <protection/>
    </xf>
    <xf numFmtId="3" fontId="33" fillId="0" borderId="76" xfId="59" applyNumberFormat="1" applyFont="1" applyFill="1" applyBorder="1" applyAlignment="1">
      <alignment horizontal="center" vertical="center"/>
      <protection/>
    </xf>
    <xf numFmtId="3" fontId="35" fillId="0" borderId="43" xfId="59" applyNumberFormat="1" applyFont="1" applyFill="1" applyBorder="1" applyAlignment="1">
      <alignment horizontal="center" wrapText="1"/>
      <protection/>
    </xf>
    <xf numFmtId="3" fontId="34" fillId="0" borderId="77" xfId="59" applyNumberFormat="1" applyFont="1" applyFill="1" applyBorder="1" applyAlignment="1">
      <alignment horizontal="center"/>
      <protection/>
    </xf>
    <xf numFmtId="3" fontId="34" fillId="0" borderId="78" xfId="59" applyNumberFormat="1" applyFont="1" applyFill="1" applyBorder="1">
      <alignment/>
      <protection/>
    </xf>
    <xf numFmtId="3" fontId="34" fillId="0" borderId="38" xfId="59" applyNumberFormat="1" applyFont="1" applyFill="1" applyBorder="1">
      <alignment/>
      <protection/>
    </xf>
    <xf numFmtId="3" fontId="34" fillId="0" borderId="79" xfId="59" applyNumberFormat="1" applyFont="1" applyFill="1" applyBorder="1" applyAlignment="1">
      <alignment horizontal="center"/>
      <protection/>
    </xf>
    <xf numFmtId="3" fontId="34" fillId="0" borderId="80" xfId="59" applyNumberFormat="1" applyFont="1" applyFill="1" applyBorder="1">
      <alignment/>
      <protection/>
    </xf>
    <xf numFmtId="3" fontId="34" fillId="0" borderId="25" xfId="59" applyNumberFormat="1" applyFont="1" applyFill="1" applyBorder="1">
      <alignment/>
      <protection/>
    </xf>
    <xf numFmtId="3" fontId="34" fillId="0" borderId="81" xfId="59" applyNumberFormat="1" applyFont="1" applyFill="1" applyBorder="1" applyAlignment="1">
      <alignment horizontal="center"/>
      <protection/>
    </xf>
    <xf numFmtId="3" fontId="34" fillId="0" borderId="82" xfId="59" applyNumberFormat="1" applyFont="1" applyFill="1" applyBorder="1">
      <alignment/>
      <protection/>
    </xf>
    <xf numFmtId="174" fontId="34" fillId="0" borderId="25" xfId="59" applyNumberFormat="1" applyFont="1" applyFill="1" applyBorder="1">
      <alignment/>
      <protection/>
    </xf>
    <xf numFmtId="3" fontId="34" fillId="0" borderId="83" xfId="59" applyNumberFormat="1" applyFont="1" applyFill="1" applyBorder="1" applyAlignment="1">
      <alignment horizontal="center"/>
      <protection/>
    </xf>
    <xf numFmtId="3" fontId="33" fillId="19" borderId="25" xfId="59" applyNumberFormat="1" applyFont="1" applyFill="1" applyBorder="1" applyAlignment="1">
      <alignment horizontal="right"/>
      <protection/>
    </xf>
    <xf numFmtId="3" fontId="34" fillId="0" borderId="84" xfId="59" applyNumberFormat="1" applyFont="1" applyFill="1" applyBorder="1" applyAlignment="1">
      <alignment horizontal="center"/>
      <protection/>
    </xf>
    <xf numFmtId="3" fontId="34" fillId="0" borderId="85" xfId="59" applyNumberFormat="1" applyFont="1" applyFill="1" applyBorder="1" applyAlignment="1">
      <alignment horizontal="center"/>
      <protection/>
    </xf>
    <xf numFmtId="3" fontId="34" fillId="0" borderId="47" xfId="59" applyNumberFormat="1" applyFont="1" applyFill="1" applyBorder="1" applyAlignment="1">
      <alignment/>
      <protection/>
    </xf>
    <xf numFmtId="0" fontId="34" fillId="0" borderId="86" xfId="59" applyFont="1" applyBorder="1" applyAlignment="1">
      <alignment/>
      <protection/>
    </xf>
    <xf numFmtId="3" fontId="34" fillId="16" borderId="25" xfId="59" applyNumberFormat="1" applyFont="1" applyFill="1" applyBorder="1">
      <alignment/>
      <protection/>
    </xf>
    <xf numFmtId="3" fontId="34" fillId="0" borderId="75" xfId="59" applyNumberFormat="1" applyFont="1" applyFill="1" applyBorder="1" applyAlignment="1">
      <alignment horizontal="left"/>
      <protection/>
    </xf>
    <xf numFmtId="3" fontId="34" fillId="0" borderId="87" xfId="59" applyNumberFormat="1" applyFont="1" applyFill="1" applyBorder="1">
      <alignment/>
      <protection/>
    </xf>
    <xf numFmtId="3" fontId="34" fillId="0" borderId="88" xfId="59" applyNumberFormat="1" applyFont="1" applyFill="1" applyBorder="1">
      <alignment/>
      <protection/>
    </xf>
    <xf numFmtId="3" fontId="33" fillId="0" borderId="50" xfId="59" applyNumberFormat="1" applyFont="1" applyFill="1" applyBorder="1" applyAlignment="1">
      <alignment horizontal="center"/>
      <protection/>
    </xf>
    <xf numFmtId="3" fontId="33" fillId="19" borderId="29" xfId="59" applyNumberFormat="1" applyFont="1" applyFill="1" applyBorder="1" applyAlignment="1">
      <alignment horizontal="right"/>
      <protection/>
    </xf>
    <xf numFmtId="3" fontId="34" fillId="0" borderId="89" xfId="59" applyNumberFormat="1" applyFont="1" applyFill="1" applyBorder="1" applyAlignment="1">
      <alignment horizontal="center"/>
      <protection/>
    </xf>
    <xf numFmtId="3" fontId="34" fillId="0" borderId="90" xfId="59" applyNumberFormat="1" applyFont="1" applyFill="1" applyBorder="1" applyAlignment="1">
      <alignment horizontal="center"/>
      <protection/>
    </xf>
    <xf numFmtId="3" fontId="34" fillId="0" borderId="91" xfId="59" applyNumberFormat="1" applyFont="1" applyFill="1" applyBorder="1" applyAlignment="1">
      <alignment horizontal="center"/>
      <protection/>
    </xf>
    <xf numFmtId="3" fontId="34" fillId="0" borderId="27" xfId="59" applyNumberFormat="1" applyFont="1" applyFill="1" applyBorder="1">
      <alignment/>
      <protection/>
    </xf>
    <xf numFmtId="3" fontId="34" fillId="0" borderId="92" xfId="59" applyNumberFormat="1" applyFont="1" applyFill="1" applyBorder="1" applyAlignment="1">
      <alignment horizontal="center"/>
      <protection/>
    </xf>
    <xf numFmtId="3" fontId="33" fillId="0" borderId="75" xfId="59" applyNumberFormat="1" applyFont="1" applyFill="1" applyBorder="1" applyAlignment="1">
      <alignment/>
      <protection/>
    </xf>
    <xf numFmtId="3" fontId="34" fillId="0" borderId="57" xfId="59" applyNumberFormat="1" applyFont="1" applyFill="1" applyBorder="1" applyAlignment="1">
      <alignment horizontal="center"/>
      <protection/>
    </xf>
    <xf numFmtId="3" fontId="34" fillId="0" borderId="38" xfId="59" applyNumberFormat="1" applyFont="1" applyFill="1" applyBorder="1" applyAlignment="1">
      <alignment horizontal="right"/>
      <protection/>
    </xf>
    <xf numFmtId="3" fontId="34" fillId="0" borderId="26" xfId="59" applyNumberFormat="1" applyFont="1" applyFill="1" applyBorder="1" applyAlignment="1">
      <alignment horizontal="right"/>
      <protection/>
    </xf>
    <xf numFmtId="3" fontId="34" fillId="0" borderId="93" xfId="59" applyNumberFormat="1" applyFont="1" applyFill="1" applyBorder="1" applyAlignment="1">
      <alignment horizontal="center"/>
      <protection/>
    </xf>
    <xf numFmtId="3" fontId="33" fillId="0" borderId="50" xfId="59" applyNumberFormat="1" applyFont="1" applyFill="1" applyBorder="1" applyAlignment="1">
      <alignment horizontal="center" vertical="center"/>
      <protection/>
    </xf>
    <xf numFmtId="3" fontId="32" fillId="0" borderId="94" xfId="59" applyNumberFormat="1" applyFont="1" applyFill="1" applyBorder="1" applyAlignment="1">
      <alignment horizontal="center"/>
      <protection/>
    </xf>
    <xf numFmtId="3" fontId="37" fillId="0" borderId="95" xfId="59" applyNumberFormat="1" applyFont="1" applyFill="1" applyBorder="1">
      <alignment/>
      <protection/>
    </xf>
    <xf numFmtId="3" fontId="34" fillId="0" borderId="38" xfId="59" applyNumberFormat="1" applyFont="1" applyBorder="1" applyAlignment="1">
      <alignment horizontal="right"/>
      <protection/>
    </xf>
    <xf numFmtId="3" fontId="32" fillId="0" borderId="79" xfId="59" applyNumberFormat="1" applyFont="1" applyFill="1" applyBorder="1" applyAlignment="1">
      <alignment horizontal="center"/>
      <protection/>
    </xf>
    <xf numFmtId="3" fontId="37" fillId="0" borderId="80" xfId="59" applyNumberFormat="1" applyFont="1" applyFill="1" applyBorder="1">
      <alignment/>
      <protection/>
    </xf>
    <xf numFmtId="3" fontId="37" fillId="0" borderId="34" xfId="59" applyNumberFormat="1" applyFont="1" applyFill="1" applyBorder="1">
      <alignment/>
      <protection/>
    </xf>
    <xf numFmtId="3" fontId="38" fillId="0" borderId="96" xfId="59" applyNumberFormat="1" applyFont="1" applyFill="1" applyBorder="1" applyAlignment="1">
      <alignment horizontal="center"/>
      <protection/>
    </xf>
    <xf numFmtId="3" fontId="39" fillId="0" borderId="97" xfId="59" applyNumberFormat="1" applyFont="1" applyFill="1" applyBorder="1" applyAlignment="1">
      <alignment/>
      <protection/>
    </xf>
    <xf numFmtId="3" fontId="39" fillId="0" borderId="98" xfId="59" applyNumberFormat="1" applyFont="1" applyFill="1" applyBorder="1" applyAlignment="1">
      <alignment/>
      <protection/>
    </xf>
    <xf numFmtId="3" fontId="39" fillId="19" borderId="99" xfId="59" applyNumberFormat="1" applyFont="1" applyFill="1" applyBorder="1">
      <alignment/>
      <protection/>
    </xf>
    <xf numFmtId="3" fontId="38" fillId="0" borderId="57" xfId="59" applyNumberFormat="1" applyFont="1" applyFill="1" applyBorder="1" applyAlignment="1">
      <alignment horizontal="center"/>
      <protection/>
    </xf>
    <xf numFmtId="3" fontId="37" fillId="0" borderId="78" xfId="59" applyNumberFormat="1" applyFont="1" applyFill="1" applyBorder="1">
      <alignment/>
      <protection/>
    </xf>
    <xf numFmtId="3" fontId="37" fillId="0" borderId="100" xfId="59" applyNumberFormat="1" applyFont="1" applyFill="1" applyBorder="1">
      <alignment/>
      <protection/>
    </xf>
    <xf numFmtId="3" fontId="37" fillId="0" borderId="34" xfId="59" applyNumberFormat="1" applyFont="1" applyFill="1" applyBorder="1">
      <alignment/>
      <protection/>
    </xf>
    <xf numFmtId="3" fontId="38" fillId="0" borderId="92" xfId="59" applyNumberFormat="1" applyFont="1" applyFill="1" applyBorder="1" applyAlignment="1">
      <alignment horizontal="center"/>
      <protection/>
    </xf>
    <xf numFmtId="3" fontId="39" fillId="0" borderId="101" xfId="59" applyNumberFormat="1" applyFont="1" applyFill="1" applyBorder="1" applyAlignment="1">
      <alignment/>
      <protection/>
    </xf>
    <xf numFmtId="3" fontId="39" fillId="0" borderId="53" xfId="59" applyNumberFormat="1" applyFont="1" applyFill="1" applyBorder="1" applyAlignment="1">
      <alignment/>
      <protection/>
    </xf>
    <xf numFmtId="3" fontId="39" fillId="19" borderId="34" xfId="59" applyNumberFormat="1" applyFont="1" applyFill="1" applyBorder="1">
      <alignment/>
      <protection/>
    </xf>
    <xf numFmtId="3" fontId="32" fillId="0" borderId="57" xfId="59" applyNumberFormat="1" applyFont="1" applyFill="1" applyBorder="1" applyAlignment="1">
      <alignment horizontal="center"/>
      <protection/>
    </xf>
    <xf numFmtId="3" fontId="37" fillId="0" borderId="36" xfId="59" applyNumberFormat="1" applyFont="1" applyFill="1" applyBorder="1">
      <alignment/>
      <protection/>
    </xf>
    <xf numFmtId="3" fontId="37" fillId="0" borderId="37" xfId="59" applyNumberFormat="1" applyFont="1" applyFill="1" applyBorder="1">
      <alignment/>
      <protection/>
    </xf>
    <xf numFmtId="3" fontId="32" fillId="0" borderId="102" xfId="59" applyNumberFormat="1" applyFont="1" applyFill="1" applyBorder="1" applyAlignment="1">
      <alignment horizontal="center"/>
      <protection/>
    </xf>
    <xf numFmtId="3" fontId="37" fillId="0" borderId="35" xfId="59" applyNumberFormat="1" applyFont="1" applyFill="1" applyBorder="1">
      <alignment/>
      <protection/>
    </xf>
    <xf numFmtId="3" fontId="39" fillId="0" borderId="75" xfId="59" applyNumberFormat="1" applyFont="1" applyFill="1" applyBorder="1" applyAlignment="1">
      <alignment/>
      <protection/>
    </xf>
    <xf numFmtId="3" fontId="32" fillId="0" borderId="77" xfId="59" applyNumberFormat="1" applyFont="1" applyFill="1" applyBorder="1" applyAlignment="1">
      <alignment horizontal="center"/>
      <protection/>
    </xf>
    <xf numFmtId="3" fontId="37" fillId="0" borderId="103" xfId="59" applyNumberFormat="1" applyFont="1" applyFill="1" applyBorder="1">
      <alignment/>
      <protection/>
    </xf>
    <xf numFmtId="3" fontId="32" fillId="0" borderId="81" xfId="59" applyNumberFormat="1" applyFont="1" applyFill="1" applyBorder="1" applyAlignment="1">
      <alignment horizontal="center"/>
      <protection/>
    </xf>
    <xf numFmtId="3" fontId="37" fillId="0" borderId="72" xfId="59" applyNumberFormat="1" applyFont="1" applyFill="1" applyBorder="1">
      <alignment/>
      <protection/>
    </xf>
    <xf numFmtId="3" fontId="38" fillId="0" borderId="104" xfId="59" applyNumberFormat="1" applyFont="1" applyFill="1" applyBorder="1" applyAlignment="1">
      <alignment horizontal="center"/>
      <protection/>
    </xf>
    <xf numFmtId="3" fontId="39" fillId="19" borderId="58" xfId="59" applyNumberFormat="1" applyFont="1" applyFill="1" applyBorder="1">
      <alignment/>
      <protection/>
    </xf>
    <xf numFmtId="3" fontId="34" fillId="0" borderId="105" xfId="59" applyNumberFormat="1" applyFont="1" applyFill="1" applyBorder="1" applyAlignment="1">
      <alignment horizontal="right"/>
      <protection/>
    </xf>
    <xf numFmtId="3" fontId="34" fillId="0" borderId="106" xfId="59" applyNumberFormat="1" applyFont="1" applyFill="1" applyBorder="1" applyAlignment="1">
      <alignment horizontal="right"/>
      <protection/>
    </xf>
    <xf numFmtId="3" fontId="34" fillId="0" borderId="107" xfId="59" applyNumberFormat="1" applyFont="1" applyFill="1" applyBorder="1" applyAlignment="1">
      <alignment horizontal="right"/>
      <protection/>
    </xf>
    <xf numFmtId="3" fontId="33" fillId="7" borderId="33" xfId="59" applyNumberFormat="1" applyFont="1" applyFill="1" applyBorder="1" applyAlignment="1">
      <alignment horizontal="right"/>
      <protection/>
    </xf>
    <xf numFmtId="164" fontId="17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27" xfId="61" applyNumberFormat="1" applyFont="1" applyFill="1" applyBorder="1" applyAlignment="1" applyProtection="1">
      <alignment horizontal="right" vertical="center" wrapText="1" indent="1"/>
      <protection/>
    </xf>
    <xf numFmtId="3" fontId="33" fillId="0" borderId="108" xfId="60" applyNumberFormat="1" applyFont="1" applyFill="1" applyBorder="1" applyAlignment="1">
      <alignment horizontal="center" vertical="center" wrapText="1"/>
      <protection/>
    </xf>
    <xf numFmtId="3" fontId="39" fillId="0" borderId="109" xfId="60" applyNumberFormat="1" applyFont="1" applyFill="1" applyBorder="1" applyAlignment="1">
      <alignment horizontal="center" vertical="center" wrapText="1"/>
      <protection/>
    </xf>
    <xf numFmtId="3" fontId="32" fillId="0" borderId="110" xfId="60" applyNumberFormat="1" applyFont="1" applyBorder="1" applyAlignment="1">
      <alignment horizontal="center" vertical="center" wrapText="1"/>
      <protection/>
    </xf>
    <xf numFmtId="3" fontId="39" fillId="0" borderId="71" xfId="60" applyNumberFormat="1" applyFont="1" applyFill="1" applyBorder="1" applyAlignment="1">
      <alignment horizontal="center" vertical="center" wrapText="1"/>
      <protection/>
    </xf>
    <xf numFmtId="3" fontId="32" fillId="0" borderId="77" xfId="60" applyNumberFormat="1" applyFont="1" applyFill="1" applyBorder="1" applyAlignment="1">
      <alignment horizontal="center"/>
      <protection/>
    </xf>
    <xf numFmtId="3" fontId="37" fillId="0" borderId="111" xfId="60" applyNumberFormat="1" applyFont="1" applyFill="1" applyBorder="1">
      <alignment/>
      <protection/>
    </xf>
    <xf numFmtId="3" fontId="37" fillId="0" borderId="112" xfId="60" applyNumberFormat="1" applyFont="1" applyFill="1" applyBorder="1">
      <alignment/>
      <protection/>
    </xf>
    <xf numFmtId="3" fontId="37" fillId="0" borderId="34" xfId="60" applyNumberFormat="1" applyFont="1" applyFill="1" applyBorder="1">
      <alignment/>
      <protection/>
    </xf>
    <xf numFmtId="3" fontId="32" fillId="0" borderId="79" xfId="60" applyNumberFormat="1" applyFont="1" applyFill="1" applyBorder="1" applyAlignment="1">
      <alignment horizontal="center"/>
      <protection/>
    </xf>
    <xf numFmtId="3" fontId="37" fillId="0" borderId="113" xfId="60" applyNumberFormat="1" applyFont="1" applyFill="1" applyBorder="1">
      <alignment/>
      <protection/>
    </xf>
    <xf numFmtId="3" fontId="37" fillId="0" borderId="114" xfId="60" applyNumberFormat="1" applyFont="1" applyFill="1" applyBorder="1">
      <alignment/>
      <protection/>
    </xf>
    <xf numFmtId="3" fontId="32" fillId="0" borderId="81" xfId="60" applyNumberFormat="1" applyFont="1" applyFill="1" applyBorder="1" applyAlignment="1">
      <alignment horizontal="center"/>
      <protection/>
    </xf>
    <xf numFmtId="3" fontId="37" fillId="0" borderId="115" xfId="60" applyNumberFormat="1" applyFont="1" applyFill="1" applyBorder="1">
      <alignment/>
      <protection/>
    </xf>
    <xf numFmtId="3" fontId="32" fillId="0" borderId="83" xfId="60" applyNumberFormat="1" applyFont="1" applyFill="1" applyBorder="1" applyAlignment="1">
      <alignment horizontal="center"/>
      <protection/>
    </xf>
    <xf numFmtId="3" fontId="39" fillId="19" borderId="99" xfId="60" applyNumberFormat="1" applyFont="1" applyFill="1" applyBorder="1">
      <alignment/>
      <protection/>
    </xf>
    <xf numFmtId="3" fontId="37" fillId="0" borderId="87" xfId="60" applyNumberFormat="1" applyFont="1" applyFill="1" applyBorder="1" applyAlignment="1">
      <alignment vertical="center" wrapText="1"/>
      <protection/>
    </xf>
    <xf numFmtId="3" fontId="32" fillId="0" borderId="96" xfId="60" applyNumberFormat="1" applyFont="1" applyFill="1" applyBorder="1" applyAlignment="1">
      <alignment horizontal="center"/>
      <protection/>
    </xf>
    <xf numFmtId="3" fontId="37" fillId="0" borderId="116" xfId="60" applyNumberFormat="1" applyFont="1" applyFill="1" applyBorder="1">
      <alignment/>
      <protection/>
    </xf>
    <xf numFmtId="3" fontId="37" fillId="0" borderId="117" xfId="60" applyNumberFormat="1" applyFont="1" applyFill="1" applyBorder="1">
      <alignment/>
      <protection/>
    </xf>
    <xf numFmtId="3" fontId="38" fillId="0" borderId="104" xfId="60" applyNumberFormat="1" applyFont="1" applyFill="1" applyBorder="1" applyAlignment="1" quotePrefix="1">
      <alignment horizontal="center"/>
      <protection/>
    </xf>
    <xf numFmtId="3" fontId="39" fillId="0" borderId="118" xfId="60" applyNumberFormat="1" applyFont="1" applyFill="1" applyBorder="1" applyAlignment="1">
      <alignment/>
      <protection/>
    </xf>
    <xf numFmtId="3" fontId="39" fillId="19" borderId="33" xfId="60" applyNumberFormat="1" applyFont="1" applyFill="1" applyBorder="1">
      <alignment/>
      <protection/>
    </xf>
    <xf numFmtId="3" fontId="32" fillId="0" borderId="94" xfId="60" applyNumberFormat="1" applyFont="1" applyFill="1" applyBorder="1" applyAlignment="1">
      <alignment horizontal="center"/>
      <protection/>
    </xf>
    <xf numFmtId="3" fontId="37" fillId="0" borderId="119" xfId="60" applyNumberFormat="1" applyFont="1" applyFill="1" applyBorder="1">
      <alignment/>
      <protection/>
    </xf>
    <xf numFmtId="3" fontId="37" fillId="0" borderId="120" xfId="60" applyNumberFormat="1" applyFont="1" applyFill="1" applyBorder="1">
      <alignment/>
      <protection/>
    </xf>
    <xf numFmtId="3" fontId="37" fillId="0" borderId="121" xfId="60" applyNumberFormat="1" applyFont="1" applyFill="1" applyBorder="1">
      <alignment/>
      <protection/>
    </xf>
    <xf numFmtId="3" fontId="37" fillId="0" borderId="122" xfId="60" applyNumberFormat="1" applyFont="1" applyFill="1" applyBorder="1">
      <alignment/>
      <protection/>
    </xf>
    <xf numFmtId="3" fontId="32" fillId="0" borderId="123" xfId="60" applyNumberFormat="1" applyFont="1" applyFill="1" applyBorder="1" applyAlignment="1">
      <alignment horizontal="center"/>
      <protection/>
    </xf>
    <xf numFmtId="3" fontId="37" fillId="0" borderId="124" xfId="60" applyNumberFormat="1" applyFont="1" applyFill="1" applyBorder="1">
      <alignment/>
      <protection/>
    </xf>
    <xf numFmtId="3" fontId="37" fillId="0" borderId="36" xfId="60" applyNumberFormat="1" applyFont="1" applyFill="1" applyBorder="1">
      <alignment/>
      <protection/>
    </xf>
    <xf numFmtId="0" fontId="32" fillId="0" borderId="125" xfId="60" applyFont="1" applyBorder="1" applyAlignment="1">
      <alignment vertical="center"/>
      <protection/>
    </xf>
    <xf numFmtId="3" fontId="32" fillId="0" borderId="126" xfId="60" applyNumberFormat="1" applyFont="1" applyFill="1" applyBorder="1" applyAlignment="1">
      <alignment horizontal="center"/>
      <protection/>
    </xf>
    <xf numFmtId="0" fontId="32" fillId="0" borderId="127" xfId="60" applyBorder="1" applyAlignment="1">
      <alignment vertical="center"/>
      <protection/>
    </xf>
    <xf numFmtId="3" fontId="37" fillId="0" borderId="37" xfId="60" applyNumberFormat="1" applyFont="1" applyFill="1" applyBorder="1">
      <alignment/>
      <protection/>
    </xf>
    <xf numFmtId="3" fontId="38" fillId="0" borderId="128" xfId="60" applyNumberFormat="1" applyFont="1" applyFill="1" applyBorder="1" applyAlignment="1" quotePrefix="1">
      <alignment horizontal="center"/>
      <protection/>
    </xf>
    <xf numFmtId="3" fontId="39" fillId="19" borderId="129" xfId="60" applyNumberFormat="1" applyFont="1" applyFill="1" applyBorder="1">
      <alignment/>
      <protection/>
    </xf>
    <xf numFmtId="3" fontId="32" fillId="0" borderId="130" xfId="60" applyNumberFormat="1" applyFont="1" applyFill="1" applyBorder="1" applyAlignment="1">
      <alignment horizontal="center"/>
      <protection/>
    </xf>
    <xf numFmtId="3" fontId="37" fillId="0" borderId="131" xfId="60" applyNumberFormat="1" applyFont="1" applyFill="1" applyBorder="1" applyAlignment="1">
      <alignment vertical="center"/>
      <protection/>
    </xf>
    <xf numFmtId="3" fontId="37" fillId="0" borderId="132" xfId="60" applyNumberFormat="1" applyFont="1" applyFill="1" applyBorder="1">
      <alignment/>
      <protection/>
    </xf>
    <xf numFmtId="3" fontId="39" fillId="19" borderId="53" xfId="60" applyNumberFormat="1" applyFont="1" applyFill="1" applyBorder="1">
      <alignment/>
      <protection/>
    </xf>
    <xf numFmtId="0" fontId="32" fillId="0" borderId="133" xfId="60" applyFont="1" applyBorder="1" applyAlignment="1">
      <alignment vertical="center"/>
      <protection/>
    </xf>
    <xf numFmtId="3" fontId="37" fillId="0" borderId="134" xfId="60" applyNumberFormat="1" applyFont="1" applyFill="1" applyBorder="1">
      <alignment/>
      <protection/>
    </xf>
    <xf numFmtId="3" fontId="37" fillId="0" borderId="135" xfId="60" applyNumberFormat="1" applyFont="1" applyFill="1" applyBorder="1">
      <alignment/>
      <protection/>
    </xf>
    <xf numFmtId="3" fontId="39" fillId="19" borderId="72" xfId="60" applyNumberFormat="1" applyFont="1" applyFill="1" applyBorder="1">
      <alignment/>
      <protection/>
    </xf>
    <xf numFmtId="3" fontId="39" fillId="19" borderId="58" xfId="60" applyNumberFormat="1" applyFont="1" applyFill="1" applyBorder="1">
      <alignment/>
      <protection/>
    </xf>
    <xf numFmtId="3" fontId="37" fillId="0" borderId="136" xfId="60" applyNumberFormat="1" applyFont="1" applyFill="1" applyBorder="1">
      <alignment/>
      <protection/>
    </xf>
    <xf numFmtId="3" fontId="32" fillId="20" borderId="137" xfId="60" applyNumberFormat="1" applyFont="1" applyFill="1" applyBorder="1">
      <alignment/>
      <protection/>
    </xf>
    <xf numFmtId="3" fontId="34" fillId="20" borderId="34" xfId="60" applyNumberFormat="1" applyFont="1" applyFill="1" applyBorder="1">
      <alignment/>
      <protection/>
    </xf>
    <xf numFmtId="3" fontId="38" fillId="0" borderId="96" xfId="60" applyNumberFormat="1" applyFont="1" applyFill="1" applyBorder="1" applyAlignment="1">
      <alignment horizontal="center"/>
      <protection/>
    </xf>
    <xf numFmtId="3" fontId="39" fillId="0" borderId="97" xfId="60" applyNumberFormat="1" applyFont="1" applyFill="1" applyBorder="1" applyAlignment="1">
      <alignment/>
      <protection/>
    </xf>
    <xf numFmtId="3" fontId="39" fillId="0" borderId="98" xfId="60" applyNumberFormat="1" applyFont="1" applyFill="1" applyBorder="1" applyAlignment="1">
      <alignment/>
      <protection/>
    </xf>
    <xf numFmtId="3" fontId="39" fillId="19" borderId="98" xfId="60" applyNumberFormat="1" applyFont="1" applyFill="1" applyBorder="1">
      <alignment/>
      <protection/>
    </xf>
    <xf numFmtId="3" fontId="38" fillId="0" borderId="50" xfId="60" applyNumberFormat="1" applyFont="1" applyFill="1" applyBorder="1" applyAlignment="1" quotePrefix="1">
      <alignment horizontal="center"/>
      <protection/>
    </xf>
    <xf numFmtId="3" fontId="39" fillId="0" borderId="55" xfId="60" applyNumberFormat="1" applyFont="1" applyFill="1" applyBorder="1" applyAlignment="1">
      <alignment/>
      <protection/>
    </xf>
    <xf numFmtId="0" fontId="32" fillId="0" borderId="58" xfId="60" applyFont="1" applyBorder="1" applyAlignment="1">
      <alignment/>
      <protection/>
    </xf>
    <xf numFmtId="3" fontId="39" fillId="19" borderId="100" xfId="60" applyNumberFormat="1" applyFont="1" applyFill="1" applyBorder="1">
      <alignment/>
      <protection/>
    </xf>
    <xf numFmtId="3" fontId="34" fillId="0" borderId="38" xfId="60" applyNumberFormat="1" applyFont="1" applyFill="1" applyBorder="1" applyAlignment="1">
      <alignment horizontal="right"/>
      <protection/>
    </xf>
    <xf numFmtId="3" fontId="34" fillId="0" borderId="25" xfId="60" applyNumberFormat="1" applyFont="1" applyFill="1" applyBorder="1" applyAlignment="1">
      <alignment horizontal="right"/>
      <protection/>
    </xf>
    <xf numFmtId="3" fontId="38" fillId="0" borderId="83" xfId="60" applyNumberFormat="1" applyFont="1" applyFill="1" applyBorder="1" applyAlignment="1">
      <alignment horizontal="center"/>
      <protection/>
    </xf>
    <xf numFmtId="3" fontId="39" fillId="0" borderId="88" xfId="60" applyNumberFormat="1" applyFont="1" applyFill="1" applyBorder="1" applyAlignment="1">
      <alignment/>
      <protection/>
    </xf>
    <xf numFmtId="3" fontId="39" fillId="0" borderId="107" xfId="60" applyNumberFormat="1" applyFont="1" applyFill="1" applyBorder="1" applyAlignment="1">
      <alignment/>
      <protection/>
    </xf>
    <xf numFmtId="3" fontId="39" fillId="19" borderId="138" xfId="60" applyNumberFormat="1" applyFont="1" applyFill="1" applyBorder="1">
      <alignment/>
      <protection/>
    </xf>
    <xf numFmtId="3" fontId="32" fillId="0" borderId="139" xfId="60" applyNumberFormat="1" applyFont="1" applyFill="1" applyBorder="1" applyAlignment="1">
      <alignment horizontal="center"/>
      <protection/>
    </xf>
    <xf numFmtId="3" fontId="37" fillId="0" borderId="140" xfId="60" applyNumberFormat="1" applyFont="1" applyFill="1" applyBorder="1">
      <alignment/>
      <protection/>
    </xf>
    <xf numFmtId="3" fontId="32" fillId="0" borderId="141" xfId="60" applyNumberFormat="1" applyFont="1" applyFill="1" applyBorder="1" applyAlignment="1">
      <alignment horizontal="center"/>
      <protection/>
    </xf>
    <xf numFmtId="3" fontId="37" fillId="0" borderId="142" xfId="60" applyNumberFormat="1" applyFont="1" applyFill="1" applyBorder="1">
      <alignment/>
      <protection/>
    </xf>
    <xf numFmtId="3" fontId="39" fillId="0" borderId="143" xfId="60" applyNumberFormat="1" applyFont="1" applyFill="1" applyBorder="1" applyAlignment="1">
      <alignment vertical="center"/>
      <protection/>
    </xf>
    <xf numFmtId="3" fontId="37" fillId="0" borderId="144" xfId="60" applyNumberFormat="1" applyFont="1" applyFill="1" applyBorder="1">
      <alignment/>
      <protection/>
    </xf>
    <xf numFmtId="3" fontId="39" fillId="7" borderId="64" xfId="60" applyNumberFormat="1" applyFont="1" applyFill="1" applyBorder="1">
      <alignment/>
      <protection/>
    </xf>
    <xf numFmtId="3" fontId="32" fillId="0" borderId="92" xfId="60" applyNumberFormat="1" applyFont="1" applyFill="1" applyBorder="1" applyAlignment="1">
      <alignment horizontal="center"/>
      <protection/>
    </xf>
    <xf numFmtId="3" fontId="37" fillId="0" borderId="75" xfId="60" applyNumberFormat="1" applyFont="1" applyFill="1" applyBorder="1" applyAlignment="1">
      <alignment vertical="center" wrapText="1"/>
      <protection/>
    </xf>
    <xf numFmtId="3" fontId="37" fillId="0" borderId="145" xfId="60" applyNumberFormat="1" applyFont="1" applyFill="1" applyBorder="1">
      <alignment/>
      <protection/>
    </xf>
    <xf numFmtId="3" fontId="37" fillId="16" borderId="53" xfId="60" applyNumberFormat="1" applyFont="1" applyFill="1" applyBorder="1">
      <alignment/>
      <protection/>
    </xf>
    <xf numFmtId="3" fontId="32" fillId="0" borderId="146" xfId="60" applyNumberFormat="1" applyFont="1" applyFill="1" applyBorder="1" applyAlignment="1">
      <alignment horizontal="center"/>
      <protection/>
    </xf>
    <xf numFmtId="3" fontId="39" fillId="0" borderId="42" xfId="60" applyNumberFormat="1" applyFont="1" applyFill="1" applyBorder="1" applyAlignment="1">
      <alignment vertical="center" wrapText="1"/>
      <protection/>
    </xf>
    <xf numFmtId="0" fontId="38" fillId="0" borderId="60" xfId="60" applyFont="1" applyBorder="1" applyAlignment="1">
      <alignment/>
      <protection/>
    </xf>
    <xf numFmtId="3" fontId="39" fillId="7" borderId="60" xfId="60" applyNumberFormat="1" applyFont="1" applyFill="1" applyBorder="1">
      <alignment/>
      <protection/>
    </xf>
    <xf numFmtId="3" fontId="39" fillId="0" borderId="51" xfId="60" applyNumberFormat="1" applyFont="1" applyFill="1" applyBorder="1" applyAlignment="1">
      <alignment/>
      <protection/>
    </xf>
    <xf numFmtId="0" fontId="32" fillId="20" borderId="29" xfId="60" applyFont="1" applyFill="1" applyBorder="1" applyAlignment="1">
      <alignment/>
      <protection/>
    </xf>
    <xf numFmtId="3" fontId="39" fillId="21" borderId="58" xfId="60" applyNumberFormat="1" applyFont="1" applyFill="1" applyBorder="1">
      <alignment/>
      <protection/>
    </xf>
    <xf numFmtId="3" fontId="39" fillId="0" borderId="29" xfId="60" applyNumberFormat="1" applyFont="1" applyFill="1" applyBorder="1" applyAlignment="1">
      <alignment/>
      <protection/>
    </xf>
    <xf numFmtId="3" fontId="37" fillId="19" borderId="59" xfId="60" applyNumberFormat="1" applyFont="1" applyFill="1" applyBorder="1">
      <alignment/>
      <protection/>
    </xf>
    <xf numFmtId="3" fontId="37" fillId="19" borderId="53" xfId="60" applyNumberFormat="1" applyFont="1" applyFill="1" applyBorder="1">
      <alignment/>
      <protection/>
    </xf>
    <xf numFmtId="3" fontId="37" fillId="19" borderId="64" xfId="60" applyNumberFormat="1" applyFont="1" applyFill="1" applyBorder="1">
      <alignment/>
      <protection/>
    </xf>
    <xf numFmtId="3" fontId="37" fillId="14" borderId="134" xfId="60" applyNumberFormat="1" applyFont="1" applyFill="1" applyBorder="1">
      <alignment/>
      <protection/>
    </xf>
    <xf numFmtId="3" fontId="37" fillId="22" borderId="53" xfId="60" applyNumberFormat="1" applyFont="1" applyFill="1" applyBorder="1">
      <alignment/>
      <protection/>
    </xf>
    <xf numFmtId="3" fontId="32" fillId="0" borderId="147" xfId="60" applyNumberFormat="1" applyFont="1" applyFill="1" applyBorder="1" applyAlignment="1">
      <alignment horizontal="center"/>
      <protection/>
    </xf>
    <xf numFmtId="3" fontId="37" fillId="0" borderId="148" xfId="60" applyNumberFormat="1" applyFont="1" applyFill="1" applyBorder="1">
      <alignment/>
      <protection/>
    </xf>
    <xf numFmtId="3" fontId="37" fillId="19" borderId="149" xfId="60" applyNumberFormat="1" applyFont="1" applyFill="1" applyBorder="1">
      <alignment/>
      <protection/>
    </xf>
    <xf numFmtId="3" fontId="32" fillId="0" borderId="104" xfId="60" applyNumberFormat="1" applyFont="1" applyFill="1" applyBorder="1" applyAlignment="1">
      <alignment horizontal="center"/>
      <protection/>
    </xf>
    <xf numFmtId="3" fontId="39" fillId="0" borderId="150" xfId="60" applyNumberFormat="1" applyFont="1" applyFill="1" applyBorder="1">
      <alignment/>
      <protection/>
    </xf>
    <xf numFmtId="3" fontId="39" fillId="0" borderId="151" xfId="60" applyNumberFormat="1" applyFont="1" applyFill="1" applyBorder="1">
      <alignment/>
      <protection/>
    </xf>
    <xf numFmtId="164" fontId="14" fillId="0" borderId="10" xfId="0" applyNumberFormat="1" applyFont="1" applyFill="1" applyBorder="1" applyAlignment="1" applyProtection="1">
      <alignment vertical="center" wrapText="1"/>
      <protection locked="0"/>
    </xf>
    <xf numFmtId="0" fontId="21" fillId="0" borderId="11" xfId="0" applyFont="1" applyFill="1" applyBorder="1" applyAlignment="1" applyProtection="1">
      <alignment horizontal="left" wrapText="1" indent="1"/>
      <protection/>
    </xf>
    <xf numFmtId="164" fontId="17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30" xfId="61" applyFont="1" applyFill="1" applyBorder="1" applyAlignment="1" applyProtection="1">
      <alignment horizontal="left" vertical="center" wrapText="1" indent="1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6" fillId="0" borderId="31" xfId="61" applyFont="1" applyFill="1" applyBorder="1" applyAlignment="1" applyProtection="1">
      <alignment horizontal="left" vertical="center" wrapText="1" indent="1"/>
      <protection/>
    </xf>
    <xf numFmtId="164" fontId="14" fillId="0" borderId="31" xfId="0" applyNumberFormat="1" applyFont="1" applyFill="1" applyBorder="1" applyAlignment="1" applyProtection="1">
      <alignment vertical="center" wrapText="1"/>
      <protection locked="0"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0" fillId="0" borderId="55" xfId="0" applyNumberFormat="1" applyFont="1" applyFill="1" applyBorder="1" applyAlignment="1" applyProtection="1">
      <alignment horizontal="left" vertical="center" wrapText="1" indent="2"/>
      <protection/>
    </xf>
    <xf numFmtId="0" fontId="33" fillId="0" borderId="152" xfId="0" applyFont="1" applyBorder="1" applyAlignment="1">
      <alignment/>
    </xf>
    <xf numFmtId="0" fontId="0" fillId="0" borderId="61" xfId="0" applyBorder="1" applyAlignment="1">
      <alignment/>
    </xf>
    <xf numFmtId="172" fontId="33" fillId="0" borderId="153" xfId="0" applyNumberFormat="1" applyFont="1" applyBorder="1" applyAlignment="1">
      <alignment/>
    </xf>
    <xf numFmtId="3" fontId="0" fillId="0" borderId="65" xfId="0" applyNumberFormat="1" applyBorder="1" applyAlignment="1">
      <alignment horizontal="right"/>
    </xf>
    <xf numFmtId="0" fontId="0" fillId="0" borderId="57" xfId="0" applyBorder="1" applyAlignment="1">
      <alignment/>
    </xf>
    <xf numFmtId="3" fontId="33" fillId="0" borderId="74" xfId="0" applyNumberFormat="1" applyFont="1" applyBorder="1" applyAlignment="1">
      <alignment horizontal="center"/>
    </xf>
    <xf numFmtId="0" fontId="0" fillId="0" borderId="102" xfId="0" applyBorder="1" applyAlignment="1">
      <alignment/>
    </xf>
    <xf numFmtId="3" fontId="33" fillId="0" borderId="64" xfId="0" applyNumberFormat="1" applyFont="1" applyBorder="1" applyAlignment="1">
      <alignment/>
    </xf>
    <xf numFmtId="0" fontId="48" fillId="0" borderId="57" xfId="0" applyFont="1" applyBorder="1" applyAlignment="1">
      <alignment/>
    </xf>
    <xf numFmtId="3" fontId="48" fillId="0" borderId="74" xfId="0" applyNumberFormat="1" applyFont="1" applyBorder="1" applyAlignment="1">
      <alignment/>
    </xf>
    <xf numFmtId="0" fontId="49" fillId="0" borderId="74" xfId="0" applyNumberFormat="1" applyFont="1" applyBorder="1" applyAlignment="1" quotePrefix="1">
      <alignment/>
    </xf>
    <xf numFmtId="3" fontId="48" fillId="2" borderId="74" xfId="0" applyNumberFormat="1" applyFont="1" applyFill="1" applyBorder="1" applyAlignment="1">
      <alignment/>
    </xf>
    <xf numFmtId="0" fontId="48" fillId="0" borderId="57" xfId="0" applyFont="1" applyFill="1" applyBorder="1" applyAlignment="1">
      <alignment/>
    </xf>
    <xf numFmtId="0" fontId="49" fillId="2" borderId="74" xfId="0" applyNumberFormat="1" applyFont="1" applyFill="1" applyBorder="1" applyAlignment="1" quotePrefix="1">
      <alignment horizontal="right"/>
    </xf>
    <xf numFmtId="1" fontId="48" fillId="0" borderId="74" xfId="0" applyNumberFormat="1" applyFont="1" applyBorder="1" applyAlignment="1">
      <alignment/>
    </xf>
    <xf numFmtId="3" fontId="48" fillId="16" borderId="74" xfId="0" applyNumberFormat="1" applyFont="1" applyFill="1" applyBorder="1" applyAlignment="1">
      <alignment wrapText="1"/>
    </xf>
    <xf numFmtId="0" fontId="22" fillId="0" borderId="17" xfId="0" applyNumberFormat="1" applyFont="1" applyBorder="1" applyAlignment="1" applyProtection="1">
      <alignment horizontal="left" indent="1"/>
      <protection/>
    </xf>
    <xf numFmtId="3" fontId="49" fillId="16" borderId="53" xfId="0" applyNumberFormat="1" applyFont="1" applyFill="1" applyBorder="1" applyAlignment="1">
      <alignment wrapText="1"/>
    </xf>
    <xf numFmtId="0" fontId="48" fillId="0" borderId="57" xfId="0" applyFont="1" applyBorder="1" applyAlignment="1">
      <alignment/>
    </xf>
    <xf numFmtId="0" fontId="22" fillId="0" borderId="92" xfId="0" applyNumberFormat="1" applyFont="1" applyBorder="1" applyAlignment="1" applyProtection="1">
      <alignment horizontal="left" indent="1"/>
      <protection/>
    </xf>
    <xf numFmtId="0" fontId="48" fillId="0" borderId="74" xfId="0" applyFont="1" applyBorder="1" applyAlignment="1">
      <alignment horizontal="right" vertical="center" wrapText="1"/>
    </xf>
    <xf numFmtId="3" fontId="48" fillId="0" borderId="74" xfId="0" applyNumberFormat="1" applyFont="1" applyBorder="1" applyAlignment="1">
      <alignment horizontal="right" vertical="center" wrapText="1"/>
    </xf>
    <xf numFmtId="0" fontId="48" fillId="0" borderId="57" xfId="0" applyFont="1" applyFill="1" applyBorder="1" applyAlignment="1">
      <alignment/>
    </xf>
    <xf numFmtId="0" fontId="48" fillId="16" borderId="74" xfId="0" applyFont="1" applyFill="1" applyBorder="1" applyAlignment="1">
      <alignment horizontal="right" vertical="center" wrapText="1"/>
    </xf>
    <xf numFmtId="3" fontId="49" fillId="16" borderId="53" xfId="0" applyNumberFormat="1" applyFont="1" applyFill="1" applyBorder="1" applyAlignment="1">
      <alignment horizontal="right" vertical="center" wrapText="1"/>
    </xf>
    <xf numFmtId="3" fontId="48" fillId="16" borderId="74" xfId="0" applyNumberFormat="1" applyFont="1" applyFill="1" applyBorder="1" applyAlignment="1">
      <alignment/>
    </xf>
    <xf numFmtId="0" fontId="49" fillId="0" borderId="92" xfId="0" applyFont="1" applyBorder="1" applyAlignment="1">
      <alignment horizontal="left"/>
    </xf>
    <xf numFmtId="3" fontId="49" fillId="16" borderId="53" xfId="0" applyNumberFormat="1" applyFont="1" applyFill="1" applyBorder="1" applyAlignment="1">
      <alignment/>
    </xf>
    <xf numFmtId="3" fontId="51" fillId="0" borderId="6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/>
    </xf>
    <xf numFmtId="3" fontId="48" fillId="0" borderId="10" xfId="0" applyNumberFormat="1" applyFont="1" applyBorder="1" applyAlignment="1">
      <alignment/>
    </xf>
    <xf numFmtId="173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9" fillId="0" borderId="11" xfId="0" applyNumberFormat="1" applyFont="1" applyBorder="1" applyAlignment="1">
      <alignment/>
    </xf>
    <xf numFmtId="3" fontId="48" fillId="0" borderId="10" xfId="0" applyNumberFormat="1" applyFont="1" applyFill="1" applyBorder="1" applyAlignment="1">
      <alignment/>
    </xf>
    <xf numFmtId="3" fontId="48" fillId="0" borderId="10" xfId="0" applyNumberFormat="1" applyFont="1" applyBorder="1" applyAlignment="1">
      <alignment horizontal="right" vertical="center" wrapText="1"/>
    </xf>
    <xf numFmtId="3" fontId="49" fillId="0" borderId="11" xfId="0" applyNumberFormat="1" applyFont="1" applyBorder="1" applyAlignment="1">
      <alignment/>
    </xf>
    <xf numFmtId="3" fontId="49" fillId="0" borderId="11" xfId="0" applyNumberFormat="1" applyFont="1" applyFill="1" applyBorder="1" applyAlignment="1">
      <alignment/>
    </xf>
    <xf numFmtId="3" fontId="51" fillId="0" borderId="31" xfId="0" applyNumberFormat="1" applyFont="1" applyFill="1" applyBorder="1" applyAlignment="1">
      <alignment/>
    </xf>
    <xf numFmtId="3" fontId="33" fillId="0" borderId="28" xfId="0" applyNumberFormat="1" applyFont="1" applyBorder="1" applyAlignment="1">
      <alignment/>
    </xf>
    <xf numFmtId="3" fontId="33" fillId="0" borderId="10" xfId="0" applyNumberFormat="1" applyFont="1" applyBorder="1" applyAlignment="1">
      <alignment horizontal="center"/>
    </xf>
    <xf numFmtId="3" fontId="33" fillId="0" borderId="12" xfId="0" applyNumberFormat="1" applyFont="1" applyBorder="1" applyAlignment="1">
      <alignment/>
    </xf>
    <xf numFmtId="3" fontId="49" fillId="16" borderId="0" xfId="0" applyNumberFormat="1" applyFont="1" applyFill="1" applyBorder="1" applyAlignment="1">
      <alignment wrapText="1"/>
    </xf>
    <xf numFmtId="3" fontId="49" fillId="16" borderId="0" xfId="0" applyNumberFormat="1" applyFont="1" applyFill="1" applyBorder="1" applyAlignment="1">
      <alignment/>
    </xf>
    <xf numFmtId="3" fontId="3" fillId="0" borderId="49" xfId="0" applyNumberFormat="1" applyFont="1" applyFill="1" applyBorder="1" applyAlignment="1" applyProtection="1">
      <alignment horizontal="right" vertical="center" indent="1"/>
      <protection/>
    </xf>
    <xf numFmtId="0" fontId="17" fillId="0" borderId="15" xfId="0" applyFont="1" applyBorder="1" applyAlignment="1" applyProtection="1">
      <alignment horizontal="left" vertical="center" indent="1"/>
      <protection locked="0"/>
    </xf>
    <xf numFmtId="164" fontId="0" fillId="0" borderId="23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7" fillId="16" borderId="11" xfId="61" applyFont="1" applyFill="1" applyBorder="1" applyAlignment="1" applyProtection="1">
      <alignment horizontal="left" vertical="center" indent="6"/>
      <protection/>
    </xf>
    <xf numFmtId="164" fontId="15" fillId="0" borderId="4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36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34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49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4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7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1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1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39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6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92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45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59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5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66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1" xfId="61" applyNumberFormat="1" applyFont="1" applyFill="1" applyBorder="1" applyAlignment="1" applyProtection="1">
      <alignment horizontal="right" vertical="center" wrapText="1" indent="1"/>
      <protection/>
    </xf>
    <xf numFmtId="0" fontId="2" fillId="0" borderId="61" xfId="61" applyFill="1" applyBorder="1" applyProtection="1">
      <alignment/>
      <protection/>
    </xf>
    <xf numFmtId="164" fontId="15" fillId="0" borderId="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0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8" xfId="61" applyNumberFormat="1" applyFont="1" applyFill="1" applyBorder="1" applyAlignment="1" applyProtection="1">
      <alignment horizontal="right" vertical="center" wrapText="1" indent="1"/>
      <protection/>
    </xf>
    <xf numFmtId="49" fontId="17" fillId="0" borderId="30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31" xfId="61" applyFont="1" applyFill="1" applyBorder="1" applyAlignment="1" applyProtection="1">
      <alignment horizontal="left" vertical="center" wrapText="1" indent="1"/>
      <protection/>
    </xf>
    <xf numFmtId="164" fontId="17" fillId="0" borderId="66" xfId="61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9" xfId="0" applyFont="1" applyBorder="1" applyAlignment="1" applyProtection="1">
      <alignment horizontal="left" wrapText="1" indent="1"/>
      <protection/>
    </xf>
    <xf numFmtId="164" fontId="17" fillId="0" borderId="40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61" applyNumberFormat="1" applyFill="1" applyProtection="1">
      <alignment/>
      <protection/>
    </xf>
    <xf numFmtId="3" fontId="17" fillId="0" borderId="40" xfId="0" applyNumberFormat="1" applyFont="1" applyFill="1" applyBorder="1" applyAlignment="1" applyProtection="1" quotePrefix="1">
      <alignment horizontal="right" vertical="center" wrapText="1" indent="1"/>
      <protection locked="0"/>
    </xf>
    <xf numFmtId="0" fontId="21" fillId="0" borderId="31" xfId="0" applyFont="1" applyBorder="1" applyAlignment="1" applyProtection="1">
      <alignment horizontal="left" wrapText="1" indent="1"/>
      <protection/>
    </xf>
    <xf numFmtId="164" fontId="17" fillId="0" borderId="32" xfId="61" applyNumberFormat="1" applyFont="1" applyFill="1" applyBorder="1" applyAlignment="1" applyProtection="1">
      <alignment horizontal="right" vertical="center" wrapText="1" indent="1"/>
      <protection locked="0"/>
    </xf>
    <xf numFmtId="0" fontId="43" fillId="0" borderId="0" xfId="0" applyFont="1" applyAlignment="1" applyProtection="1">
      <alignment horizontal="right" vertical="center"/>
      <protection locked="0"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48" fillId="16" borderId="74" xfId="0" applyNumberFormat="1" applyFont="1" applyFill="1" applyBorder="1" applyAlignment="1">
      <alignment horizontal="right" vertical="center" wrapText="1"/>
    </xf>
    <xf numFmtId="3" fontId="17" fillId="0" borderId="73" xfId="0" applyNumberFormat="1" applyFont="1" applyBorder="1" applyAlignment="1" applyProtection="1">
      <alignment horizontal="right" vertical="center" indent="1"/>
      <protection locked="0"/>
    </xf>
    <xf numFmtId="3" fontId="17" fillId="0" borderId="75" xfId="0" applyNumberFormat="1" applyFont="1" applyBorder="1" applyAlignment="1" applyProtection="1">
      <alignment horizontal="right" vertical="center" indent="1"/>
      <protection locked="0"/>
    </xf>
    <xf numFmtId="3" fontId="3" fillId="0" borderId="51" xfId="0" applyNumberFormat="1" applyFont="1" applyFill="1" applyBorder="1" applyAlignment="1" applyProtection="1">
      <alignment horizontal="right" vertical="center" indent="1"/>
      <protection/>
    </xf>
    <xf numFmtId="3" fontId="3" fillId="0" borderId="71" xfId="0" applyNumberFormat="1" applyFont="1" applyBorder="1" applyAlignment="1">
      <alignment horizontal="center" vertical="center"/>
    </xf>
    <xf numFmtId="0" fontId="0" fillId="0" borderId="136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3" fontId="3" fillId="0" borderId="72" xfId="0" applyNumberFormat="1" applyFont="1" applyBorder="1" applyAlignment="1">
      <alignment horizontal="center" vertical="center"/>
    </xf>
    <xf numFmtId="164" fontId="17" fillId="0" borderId="11" xfId="0" applyNumberFormat="1" applyFont="1" applyFill="1" applyBorder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164" fontId="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0" xfId="0" applyNumberFormat="1" applyFont="1" applyFill="1" applyBorder="1" applyAlignment="1" applyProtection="1">
      <alignment horizontal="center" vertical="center" wrapText="1"/>
      <protection/>
    </xf>
    <xf numFmtId="164" fontId="15" fillId="0" borderId="62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3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vertical="center" wrapText="1"/>
      <protection/>
    </xf>
    <xf numFmtId="164" fontId="15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61" applyFont="1" applyFill="1" applyProtection="1">
      <alignment/>
      <protection/>
    </xf>
    <xf numFmtId="0" fontId="32" fillId="0" borderId="17" xfId="59" applyBorder="1" applyAlignment="1">
      <alignment horizontal="center" vertical="center" wrapText="1"/>
      <protection/>
    </xf>
    <xf numFmtId="164" fontId="6" fillId="0" borderId="61" xfId="61" applyNumberFormat="1" applyFont="1" applyFill="1" applyBorder="1" applyAlignment="1" applyProtection="1">
      <alignment horizontal="right" vertical="center" wrapText="1" indent="1"/>
      <protection/>
    </xf>
    <xf numFmtId="3" fontId="32" fillId="0" borderId="92" xfId="59" applyNumberFormat="1" applyFont="1" applyFill="1" applyBorder="1" applyAlignment="1">
      <alignment horizontal="center"/>
      <protection/>
    </xf>
    <xf numFmtId="3" fontId="37" fillId="0" borderId="101" xfId="59" applyNumberFormat="1" applyFont="1" applyFill="1" applyBorder="1">
      <alignment/>
      <protection/>
    </xf>
    <xf numFmtId="3" fontId="32" fillId="0" borderId="0" xfId="60" applyNumberFormat="1" applyFont="1" applyFill="1" applyBorder="1">
      <alignment/>
      <protection/>
    </xf>
    <xf numFmtId="0" fontId="0" fillId="0" borderId="0" xfId="0" applyFont="1" applyAlignment="1">
      <alignment/>
    </xf>
    <xf numFmtId="3" fontId="34" fillId="0" borderId="154" xfId="59" applyNumberFormat="1" applyFont="1" applyFill="1" applyBorder="1" applyAlignment="1">
      <alignment horizontal="right"/>
      <protection/>
    </xf>
    <xf numFmtId="0" fontId="3" fillId="0" borderId="27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164" fontId="7" fillId="0" borderId="136" xfId="0" applyNumberFormat="1" applyFont="1" applyFill="1" applyBorder="1" applyAlignment="1" applyProtection="1">
      <alignment horizontal="center" vertical="center" wrapText="1"/>
      <protection/>
    </xf>
    <xf numFmtId="164" fontId="7" fillId="0" borderId="14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61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3" xfId="61" applyFont="1" applyFill="1" applyBorder="1" applyAlignment="1">
      <alignment horizontal="center" vertical="center" wrapText="1"/>
      <protection/>
    </xf>
    <xf numFmtId="164" fontId="30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16" fillId="0" borderId="42" xfId="61" applyNumberFormat="1" applyFont="1" applyFill="1" applyBorder="1" applyAlignment="1" applyProtection="1">
      <alignment horizontal="left" vertical="center"/>
      <protection/>
    </xf>
    <xf numFmtId="164" fontId="6" fillId="0" borderId="0" xfId="61" applyNumberFormat="1" applyFont="1" applyFill="1" applyBorder="1" applyAlignment="1" applyProtection="1">
      <alignment horizontal="center" vertical="center"/>
      <protection/>
    </xf>
    <xf numFmtId="164" fontId="16" fillId="0" borderId="42" xfId="61" applyNumberFormat="1" applyFont="1" applyFill="1" applyBorder="1" applyAlignment="1" applyProtection="1">
      <alignment horizontal="left"/>
      <protection/>
    </xf>
    <xf numFmtId="0" fontId="6" fillId="0" borderId="0" xfId="61" applyFont="1" applyFill="1" applyAlignment="1" applyProtection="1">
      <alignment horizontal="center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61" applyFont="1" applyFill="1" applyBorder="1" applyAlignment="1" applyProtection="1">
      <alignment horizontal="left"/>
      <protection/>
    </xf>
    <xf numFmtId="0" fontId="7" fillId="0" borderId="23" xfId="61" applyFont="1" applyFill="1" applyBorder="1" applyAlignment="1" applyProtection="1">
      <alignment horizontal="left"/>
      <protection/>
    </xf>
    <xf numFmtId="0" fontId="17" fillId="0" borderId="61" xfId="61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164" fontId="14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30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0" xfId="0" applyNumberFormat="1" applyFont="1" applyFill="1" applyBorder="1" applyAlignment="1" applyProtection="1">
      <alignment vertical="center" wrapTex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 locked="0"/>
    </xf>
    <xf numFmtId="49" fontId="14" fillId="0" borderId="10" xfId="0" applyNumberFormat="1" applyFont="1" applyFill="1" applyBorder="1" applyAlignment="1" applyProtection="1">
      <alignment vertical="center" wrapText="1"/>
      <protection locked="0"/>
    </xf>
    <xf numFmtId="49" fontId="14" fillId="0" borderId="31" xfId="0" applyNumberFormat="1" applyFont="1" applyFill="1" applyBorder="1" applyAlignment="1" applyProtection="1">
      <alignment vertical="center" wrapText="1"/>
      <protection locked="0"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14" fillId="0" borderId="32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27" fillId="0" borderId="42" xfId="61" applyNumberFormat="1" applyFont="1" applyFill="1" applyBorder="1" applyAlignment="1" applyProtection="1">
      <alignment horizontal="left"/>
      <protection/>
    </xf>
    <xf numFmtId="164" fontId="27" fillId="0" borderId="42" xfId="61" applyNumberFormat="1" applyFont="1" applyFill="1" applyBorder="1" applyAlignment="1" applyProtection="1">
      <alignment horizontal="left" vertical="center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5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155" xfId="0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1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5" xfId="62" applyFont="1" applyFill="1" applyBorder="1" applyAlignment="1" applyProtection="1">
      <alignment horizontal="left" vertical="center" indent="1"/>
      <protection/>
    </xf>
    <xf numFmtId="0" fontId="16" fillId="0" borderId="51" xfId="62" applyFont="1" applyFill="1" applyBorder="1" applyAlignment="1" applyProtection="1">
      <alignment horizontal="left" vertical="center" indent="1"/>
      <protection/>
    </xf>
    <xf numFmtId="0" fontId="16" fillId="0" borderId="58" xfId="62" applyFont="1" applyFill="1" applyBorder="1" applyAlignment="1" applyProtection="1">
      <alignment horizontal="left" vertical="center" indent="1"/>
      <protection/>
    </xf>
    <xf numFmtId="0" fontId="6" fillId="0" borderId="0" xfId="62" applyFont="1" applyFill="1" applyAlignment="1" applyProtection="1">
      <alignment horizontal="center" wrapText="1"/>
      <protection/>
    </xf>
    <xf numFmtId="0" fontId="6" fillId="0" borderId="0" xfId="62" applyFont="1" applyFill="1" applyAlignment="1" applyProtection="1">
      <alignment horizontal="center"/>
      <protection/>
    </xf>
    <xf numFmtId="0" fontId="51" fillId="0" borderId="146" xfId="0" applyFont="1" applyBorder="1" applyAlignment="1">
      <alignment horizontal="left"/>
    </xf>
    <xf numFmtId="0" fontId="52" fillId="0" borderId="42" xfId="0" applyFont="1" applyBorder="1" applyAlignment="1">
      <alignment horizontal="left"/>
    </xf>
    <xf numFmtId="0" fontId="4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8" fillId="0" borderId="57" xfId="0" applyFont="1" applyBorder="1" applyAlignment="1">
      <alignment/>
    </xf>
    <xf numFmtId="0" fontId="48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48" fillId="0" borderId="57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9" fillId="0" borderId="92" xfId="0" applyFont="1" applyFill="1" applyBorder="1" applyAlignment="1">
      <alignment wrapText="1"/>
    </xf>
    <xf numFmtId="0" fontId="0" fillId="0" borderId="75" xfId="0" applyBorder="1" applyAlignment="1">
      <alignment wrapText="1"/>
    </xf>
    <xf numFmtId="0" fontId="0" fillId="0" borderId="53" xfId="0" applyBorder="1" applyAlignment="1">
      <alignment wrapText="1"/>
    </xf>
    <xf numFmtId="0" fontId="7" fillId="0" borderId="50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16" fillId="0" borderId="0" xfId="0" applyFont="1" applyAlignment="1" applyProtection="1">
      <alignment horizontal="right"/>
      <protection/>
    </xf>
    <xf numFmtId="0" fontId="0" fillId="0" borderId="0" xfId="0" applyFont="1" applyAlignment="1">
      <alignment horizontal="right" wrapText="1"/>
    </xf>
    <xf numFmtId="3" fontId="3" fillId="0" borderId="71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3" fillId="0" borderId="72" xfId="0" applyNumberFormat="1" applyFont="1" applyBorder="1" applyAlignment="1">
      <alignment horizontal="center" vertical="center" wrapText="1"/>
    </xf>
    <xf numFmtId="3" fontId="33" fillId="0" borderId="156" xfId="59" applyNumberFormat="1" applyFont="1" applyFill="1" applyBorder="1" applyAlignment="1">
      <alignment wrapText="1"/>
      <protection/>
    </xf>
    <xf numFmtId="3" fontId="34" fillId="0" borderId="157" xfId="59" applyNumberFormat="1" applyFont="1" applyFill="1" applyBorder="1" applyAlignment="1">
      <alignment horizontal="left" vertical="center"/>
      <protection/>
    </xf>
    <xf numFmtId="3" fontId="34" fillId="0" borderId="158" xfId="59" applyNumberFormat="1" applyFont="1" applyFill="1" applyBorder="1" applyAlignment="1">
      <alignment horizontal="left" vertical="center"/>
      <protection/>
    </xf>
    <xf numFmtId="3" fontId="34" fillId="0" borderId="159" xfId="59" applyNumberFormat="1" applyFont="1" applyFill="1" applyBorder="1" applyAlignment="1">
      <alignment horizontal="left" vertical="center"/>
      <protection/>
    </xf>
    <xf numFmtId="3" fontId="33" fillId="0" borderId="75" xfId="59" applyNumberFormat="1" applyFont="1" applyFill="1" applyBorder="1" applyAlignment="1">
      <alignment/>
      <protection/>
    </xf>
    <xf numFmtId="3" fontId="36" fillId="0" borderId="51" xfId="59" applyNumberFormat="1" applyFont="1" applyFill="1" applyBorder="1" applyAlignment="1">
      <alignment horizontal="center" vertical="center"/>
      <protection/>
    </xf>
    <xf numFmtId="3" fontId="36" fillId="0" borderId="49" xfId="59" applyNumberFormat="1" applyFont="1" applyFill="1" applyBorder="1" applyAlignment="1">
      <alignment horizontal="center" vertical="center"/>
      <protection/>
    </xf>
    <xf numFmtId="3" fontId="37" fillId="0" borderId="133" xfId="59" applyNumberFormat="1" applyFont="1" applyFill="1" applyBorder="1" applyAlignment="1">
      <alignment vertical="center" wrapText="1"/>
      <protection/>
    </xf>
    <xf numFmtId="3" fontId="33" fillId="0" borderId="51" xfId="59" applyNumberFormat="1" applyFont="1" applyFill="1" applyBorder="1" applyAlignment="1">
      <alignment/>
      <protection/>
    </xf>
    <xf numFmtId="3" fontId="33" fillId="0" borderId="62" xfId="59" applyNumberFormat="1" applyFont="1" applyFill="1" applyBorder="1" applyAlignment="1">
      <alignment vertical="center" wrapText="1"/>
      <protection/>
    </xf>
    <xf numFmtId="3" fontId="33" fillId="0" borderId="68" xfId="59" applyNumberFormat="1" applyFont="1" applyFill="1" applyBorder="1" applyAlignment="1">
      <alignment vertical="center" wrapText="1"/>
      <protection/>
    </xf>
    <xf numFmtId="3" fontId="34" fillId="0" borderId="69" xfId="59" applyNumberFormat="1" applyFont="1" applyFill="1" applyBorder="1" applyAlignment="1">
      <alignment vertical="center" wrapText="1"/>
      <protection/>
    </xf>
    <xf numFmtId="3" fontId="34" fillId="0" borderId="62" xfId="59" applyNumberFormat="1" applyFont="1" applyFill="1" applyBorder="1" applyAlignment="1">
      <alignment vertical="center" wrapText="1"/>
      <protection/>
    </xf>
    <xf numFmtId="3" fontId="34" fillId="0" borderId="67" xfId="59" applyNumberFormat="1" applyFont="1" applyFill="1" applyBorder="1" applyAlignment="1">
      <alignment vertical="center" wrapText="1"/>
      <protection/>
    </xf>
    <xf numFmtId="3" fontId="34" fillId="0" borderId="157" xfId="59" applyNumberFormat="1" applyFont="1" applyFill="1" applyBorder="1" applyAlignment="1">
      <alignment vertical="center" wrapText="1"/>
      <protection/>
    </xf>
    <xf numFmtId="3" fontId="34" fillId="0" borderId="158" xfId="59" applyNumberFormat="1" applyFont="1" applyFill="1" applyBorder="1" applyAlignment="1">
      <alignment vertical="center" wrapText="1"/>
      <protection/>
    </xf>
    <xf numFmtId="0" fontId="32" fillId="0" borderId="11" xfId="59" applyBorder="1" applyAlignment="1">
      <alignment horizontal="center" vertical="center" wrapText="1"/>
      <protection/>
    </xf>
    <xf numFmtId="3" fontId="37" fillId="0" borderId="160" xfId="59" applyNumberFormat="1" applyFont="1" applyFill="1" applyBorder="1" applyAlignment="1">
      <alignment vertical="center" wrapText="1"/>
      <protection/>
    </xf>
    <xf numFmtId="3" fontId="39" fillId="0" borderId="133" xfId="59" applyNumberFormat="1" applyFont="1" applyFill="1" applyBorder="1" applyAlignment="1">
      <alignment vertical="center" wrapText="1"/>
      <protection/>
    </xf>
    <xf numFmtId="3" fontId="36" fillId="0" borderId="161" xfId="59" applyNumberFormat="1" applyFont="1" applyFill="1" applyBorder="1" applyAlignment="1">
      <alignment horizontal="center" vertical="center"/>
      <protection/>
    </xf>
    <xf numFmtId="3" fontId="36" fillId="0" borderId="155" xfId="59" applyNumberFormat="1" applyFont="1" applyFill="1" applyBorder="1" applyAlignment="1">
      <alignment horizontal="center" vertical="center"/>
      <protection/>
    </xf>
    <xf numFmtId="3" fontId="33" fillId="0" borderId="162" xfId="59" applyNumberFormat="1" applyFont="1" applyFill="1" applyBorder="1" applyAlignment="1">
      <alignment/>
      <protection/>
    </xf>
    <xf numFmtId="3" fontId="33" fillId="0" borderId="118" xfId="59" applyNumberFormat="1" applyFont="1" applyFill="1" applyBorder="1" applyAlignment="1">
      <alignment/>
      <protection/>
    </xf>
    <xf numFmtId="3" fontId="34" fillId="0" borderId="159" xfId="59" applyNumberFormat="1" applyFont="1" applyFill="1" applyBorder="1" applyAlignment="1">
      <alignment vertical="center" wrapText="1"/>
      <protection/>
    </xf>
    <xf numFmtId="3" fontId="33" fillId="0" borderId="163" xfId="59" applyNumberFormat="1" applyFont="1" applyFill="1" applyBorder="1" applyAlignment="1">
      <alignment/>
      <protection/>
    </xf>
    <xf numFmtId="3" fontId="33" fillId="0" borderId="88" xfId="59" applyNumberFormat="1" applyFont="1" applyFill="1" applyBorder="1" applyAlignment="1">
      <alignment/>
      <protection/>
    </xf>
    <xf numFmtId="3" fontId="36" fillId="0" borderId="24" xfId="59" applyNumberFormat="1" applyFont="1" applyFill="1" applyBorder="1" applyAlignment="1">
      <alignment horizontal="center" vertical="center" wrapText="1"/>
      <protection/>
    </xf>
    <xf numFmtId="3" fontId="36" fillId="0" borderId="18" xfId="59" applyNumberFormat="1" applyFont="1" applyFill="1" applyBorder="1" applyAlignment="1">
      <alignment horizontal="center" vertical="center" wrapText="1"/>
      <protection/>
    </xf>
    <xf numFmtId="3" fontId="36" fillId="0" borderId="153" xfId="59" applyNumberFormat="1" applyFont="1" applyFill="1" applyBorder="1" applyAlignment="1">
      <alignment horizontal="left" vertical="center" wrapText="1"/>
      <protection/>
    </xf>
    <xf numFmtId="3" fontId="36" fillId="0" borderId="164" xfId="59" applyNumberFormat="1" applyFont="1" applyFill="1" applyBorder="1" applyAlignment="1">
      <alignment horizontal="left" vertical="center" wrapText="1"/>
      <protection/>
    </xf>
    <xf numFmtId="3" fontId="36" fillId="0" borderId="67" xfId="59" applyNumberFormat="1" applyFont="1" applyFill="1" applyBorder="1" applyAlignment="1">
      <alignment horizontal="left" vertical="center" wrapText="1"/>
      <protection/>
    </xf>
    <xf numFmtId="3" fontId="36" fillId="0" borderId="44" xfId="59" applyNumberFormat="1" applyFont="1" applyFill="1" applyBorder="1" applyAlignment="1">
      <alignment horizontal="left" vertical="center" wrapText="1"/>
      <protection/>
    </xf>
    <xf numFmtId="3" fontId="37" fillId="0" borderId="165" xfId="59" applyNumberFormat="1" applyFont="1" applyFill="1" applyBorder="1" applyAlignment="1">
      <alignment vertical="center" wrapText="1"/>
      <protection/>
    </xf>
    <xf numFmtId="3" fontId="37" fillId="0" borderId="87" xfId="59" applyNumberFormat="1" applyFont="1" applyFill="1" applyBorder="1" applyAlignment="1">
      <alignment vertical="center" wrapText="1"/>
      <protection/>
    </xf>
    <xf numFmtId="3" fontId="37" fillId="0" borderId="133" xfId="59" applyNumberFormat="1" applyFont="1" applyFill="1" applyBorder="1" applyAlignment="1">
      <alignment wrapText="1"/>
      <protection/>
    </xf>
    <xf numFmtId="3" fontId="37" fillId="0" borderId="166" xfId="59" applyNumberFormat="1" applyFont="1" applyFill="1" applyBorder="1" applyAlignment="1">
      <alignment wrapText="1"/>
      <protection/>
    </xf>
    <xf numFmtId="3" fontId="39" fillId="0" borderId="167" xfId="59" applyNumberFormat="1" applyFont="1" applyFill="1" applyBorder="1" applyAlignment="1">
      <alignment/>
      <protection/>
    </xf>
    <xf numFmtId="3" fontId="34" fillId="0" borderId="133" xfId="59" applyNumberFormat="1" applyFont="1" applyFill="1" applyBorder="1" applyAlignment="1">
      <alignment vertical="center"/>
      <protection/>
    </xf>
    <xf numFmtId="3" fontId="33" fillId="0" borderId="168" xfId="59" applyNumberFormat="1" applyFont="1" applyFill="1" applyBorder="1" applyAlignment="1">
      <alignment/>
      <protection/>
    </xf>
    <xf numFmtId="3" fontId="33" fillId="0" borderId="169" xfId="59" applyNumberFormat="1" applyFont="1" applyFill="1" applyBorder="1" applyAlignment="1">
      <alignment/>
      <protection/>
    </xf>
    <xf numFmtId="3" fontId="34" fillId="0" borderId="170" xfId="59" applyNumberFormat="1" applyFont="1" applyFill="1" applyBorder="1" applyAlignment="1">
      <alignment vertical="center"/>
      <protection/>
    </xf>
    <xf numFmtId="3" fontId="33" fillId="0" borderId="171" xfId="59" applyNumberFormat="1" applyFont="1" applyFill="1" applyBorder="1" applyAlignment="1">
      <alignment vertical="center" wrapText="1"/>
      <protection/>
    </xf>
    <xf numFmtId="3" fontId="33" fillId="0" borderId="133" xfId="59" applyNumberFormat="1" applyFont="1" applyFill="1" applyBorder="1" applyAlignment="1">
      <alignment vertical="center" wrapText="1"/>
      <protection/>
    </xf>
    <xf numFmtId="3" fontId="33" fillId="0" borderId="172" xfId="59" applyNumberFormat="1" applyFont="1" applyFill="1" applyBorder="1" applyAlignment="1">
      <alignment vertical="center" wrapText="1"/>
      <protection/>
    </xf>
    <xf numFmtId="3" fontId="37" fillId="0" borderId="165" xfId="60" applyNumberFormat="1" applyFont="1" applyFill="1" applyBorder="1" applyAlignment="1">
      <alignment vertical="center"/>
      <protection/>
    </xf>
    <xf numFmtId="3" fontId="37" fillId="0" borderId="131" xfId="60" applyNumberFormat="1" applyFont="1" applyFill="1" applyBorder="1" applyAlignment="1">
      <alignment vertical="center"/>
      <protection/>
    </xf>
    <xf numFmtId="3" fontId="37" fillId="0" borderId="113" xfId="60" applyNumberFormat="1" applyFont="1" applyFill="1" applyBorder="1" applyAlignment="1">
      <alignment vertical="center"/>
      <protection/>
    </xf>
    <xf numFmtId="3" fontId="39" fillId="0" borderId="173" xfId="60" applyNumberFormat="1" applyFont="1" applyFill="1" applyBorder="1" applyAlignment="1">
      <alignment/>
      <protection/>
    </xf>
    <xf numFmtId="3" fontId="39" fillId="0" borderId="174" xfId="60" applyNumberFormat="1" applyFont="1" applyFill="1" applyBorder="1" applyAlignment="1">
      <alignment/>
      <protection/>
    </xf>
    <xf numFmtId="3" fontId="39" fillId="0" borderId="163" xfId="60" applyNumberFormat="1" applyFont="1" applyFill="1" applyBorder="1" applyAlignment="1">
      <alignment/>
      <protection/>
    </xf>
    <xf numFmtId="3" fontId="39" fillId="0" borderId="144" xfId="60" applyNumberFormat="1" applyFont="1" applyFill="1" applyBorder="1" applyAlignment="1">
      <alignment/>
      <protection/>
    </xf>
    <xf numFmtId="0" fontId="34" fillId="0" borderId="175" xfId="60" applyFont="1" applyBorder="1" applyAlignment="1">
      <alignment vertical="center"/>
      <protection/>
    </xf>
    <xf numFmtId="0" fontId="34" fillId="0" borderId="176" xfId="60" applyFont="1" applyBorder="1" applyAlignment="1">
      <alignment vertical="center"/>
      <protection/>
    </xf>
    <xf numFmtId="0" fontId="34" fillId="0" borderId="177" xfId="60" applyFont="1" applyBorder="1" applyAlignment="1">
      <alignment vertical="center"/>
      <protection/>
    </xf>
    <xf numFmtId="3" fontId="39" fillId="0" borderId="97" xfId="60" applyNumberFormat="1" applyFont="1" applyFill="1" applyBorder="1" applyAlignment="1">
      <alignment vertical="center" wrapText="1"/>
      <protection/>
    </xf>
    <xf numFmtId="0" fontId="38" fillId="0" borderId="98" xfId="60" applyFont="1" applyBorder="1" applyAlignment="1">
      <alignment/>
      <protection/>
    </xf>
    <xf numFmtId="3" fontId="37" fillId="0" borderId="178" xfId="60" applyNumberFormat="1" applyFont="1" applyFill="1" applyBorder="1" applyAlignment="1">
      <alignment vertical="center"/>
      <protection/>
    </xf>
    <xf numFmtId="3" fontId="37" fillId="0" borderId="179" xfId="60" applyNumberFormat="1" applyFont="1" applyFill="1" applyBorder="1" applyAlignment="1">
      <alignment vertical="center"/>
      <protection/>
    </xf>
    <xf numFmtId="3" fontId="37" fillId="0" borderId="171" xfId="60" applyNumberFormat="1" applyFont="1" applyFill="1" applyBorder="1" applyAlignment="1">
      <alignment vertical="center"/>
      <protection/>
    </xf>
    <xf numFmtId="3" fontId="37" fillId="0" borderId="133" xfId="60" applyNumberFormat="1" applyFont="1" applyFill="1" applyBorder="1" applyAlignment="1">
      <alignment vertical="center"/>
      <protection/>
    </xf>
    <xf numFmtId="3" fontId="37" fillId="0" borderId="170" xfId="60" applyNumberFormat="1" applyFont="1" applyFill="1" applyBorder="1" applyAlignment="1">
      <alignment vertical="center"/>
      <protection/>
    </xf>
    <xf numFmtId="3" fontId="37" fillId="0" borderId="165" xfId="60" applyNumberFormat="1" applyFont="1" applyFill="1" applyBorder="1" applyAlignment="1">
      <alignment vertical="center" wrapText="1"/>
      <protection/>
    </xf>
    <xf numFmtId="3" fontId="37" fillId="0" borderId="133" xfId="60" applyNumberFormat="1" applyFont="1" applyFill="1" applyBorder="1" applyAlignment="1">
      <alignment vertical="center" wrapText="1"/>
      <protection/>
    </xf>
    <xf numFmtId="3" fontId="37" fillId="0" borderId="87" xfId="60" applyNumberFormat="1" applyFont="1" applyFill="1" applyBorder="1" applyAlignment="1">
      <alignment vertical="center" wrapText="1"/>
      <protection/>
    </xf>
    <xf numFmtId="3" fontId="37" fillId="0" borderId="171" xfId="60" applyNumberFormat="1" applyFont="1" applyFill="1" applyBorder="1" applyAlignment="1">
      <alignment vertical="center" wrapText="1"/>
      <protection/>
    </xf>
    <xf numFmtId="3" fontId="39" fillId="0" borderId="167" xfId="60" applyNumberFormat="1" applyFont="1" applyFill="1" applyBorder="1" applyAlignment="1">
      <alignment/>
      <protection/>
    </xf>
    <xf numFmtId="3" fontId="39" fillId="0" borderId="118" xfId="60" applyNumberFormat="1" applyFont="1" applyFill="1" applyBorder="1" applyAlignment="1">
      <alignment/>
      <protection/>
    </xf>
    <xf numFmtId="3" fontId="39" fillId="0" borderId="180" xfId="60" applyNumberFormat="1" applyFont="1" applyFill="1" applyBorder="1" applyAlignment="1">
      <alignment/>
      <protection/>
    </xf>
    <xf numFmtId="3" fontId="39" fillId="0" borderId="181" xfId="60" applyNumberFormat="1" applyFont="1" applyFill="1" applyBorder="1" applyAlignment="1">
      <alignment/>
      <protection/>
    </xf>
    <xf numFmtId="3" fontId="37" fillId="0" borderId="170" xfId="60" applyNumberFormat="1" applyFont="1" applyFill="1" applyBorder="1" applyAlignment="1">
      <alignment vertical="center" wrapText="1"/>
      <protection/>
    </xf>
    <xf numFmtId="0" fontId="32" fillId="0" borderId="166" xfId="60" applyBorder="1" applyAlignment="1">
      <alignment vertical="center" wrapText="1"/>
      <protection/>
    </xf>
    <xf numFmtId="3" fontId="39" fillId="0" borderId="151" xfId="60" applyNumberFormat="1" applyFont="1" applyFill="1" applyBorder="1" applyAlignment="1">
      <alignment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25" fillId="0" borderId="2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153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Már látott hiperhivatkozás" xfId="58"/>
    <cellStyle name="Normál_7. sz tájékoztató" xfId="59"/>
    <cellStyle name="Normál_8. sz. táblázat" xfId="60"/>
    <cellStyle name="Normál_KVRENMUNKA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externalLink" Target="externalLinks/externalLink2.xml" /><Relationship Id="rId47" Type="http://schemas.openxmlformats.org/officeDocument/2006/relationships/externalLink" Target="externalLinks/externalLink3.xml" /><Relationship Id="rId48" Type="http://schemas.openxmlformats.org/officeDocument/2006/relationships/externalLink" Target="externalLinks/externalLink4.xml" /><Relationship Id="rId49" Type="http://schemas.openxmlformats.org/officeDocument/2006/relationships/externalLink" Target="externalLinks/externalLink5.xml" /><Relationship Id="rId50" Type="http://schemas.openxmlformats.org/officeDocument/2006/relationships/externalLink" Target="externalLinks/externalLink6.xml" /><Relationship Id="rId51" Type="http://schemas.openxmlformats.org/officeDocument/2006/relationships/externalLink" Target="externalLinks/externalLink7.xml" /><Relationship Id="rId52" Type="http://schemas.openxmlformats.org/officeDocument/2006/relationships/externalLink" Target="externalLinks/externalLink8.xml" /><Relationship Id="rId53" Type="http://schemas.openxmlformats.org/officeDocument/2006/relationships/externalLink" Target="externalLinks/externalLink9.xml" /><Relationship Id="rId54" Type="http://schemas.openxmlformats.org/officeDocument/2006/relationships/externalLink" Target="externalLinks/externalLink10.xml" /><Relationship Id="rId55" Type="http://schemas.openxmlformats.org/officeDocument/2006/relationships/externalLink" Target="externalLinks/externalLink11.xml" /><Relationship Id="rId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K&#250;lt&#250;rh&#225;z%202016.&#233;vi%20k&#246;lts&#233;gvet&#233;s\Kult&#250;r%20k&#246;lts&#233;gvet&#233;si%20t&#225;bla%20%20K%203%20dologi%20kiad&#225;sok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RENDSZ~1\LOCALS~1\Temp\Xl000027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&#246;lts&#233;gvet&#233;s%202016.%20T&#225;t%20&#214;nkorm&#225;nyzat\Kiad&#225;sok%20%20K%205%20Egy&#233;b%20m&#369;k&#246;d&#233;si%20kiad&#225;s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K&#250;lt&#250;rh&#225;z%202016.&#233;vi%20k&#246;lts&#233;gvet&#233;s\Kult&#250;r%20k&#246;lts&#233;gvet&#233;si%20t&#225;bla%20K1,%20K2%20b&#233;r%20&#233;s%20j&#225;rul&#233;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K&#214;H%202016.&#233;vi%20k&#246;lts&#233;gvet&#233;s\K&#214;H%202016%20&#233;vi%20k&#246;lts&#233;gvet&#233;s\K&#214;H.%20K&#246;lts&#233;gvet&#233;si%20t&#225;bla%20%20K%203%20dologi%20kiad&#225;s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K&#214;H%202016.&#233;vi%20k&#246;lts&#233;gvet&#233;s\K&#214;H%202016%20&#233;vi%20k&#246;lts&#233;gvet&#233;s\K&#214;H.%20k&#246;lts&#233;gvet&#233;si%20t&#225;bla%20K%201%20,%20K%202%20,B&#233;rek%20&#233;s%20J&#225;rul&#233;kok%2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Szent%20Gy&#246;rgy%202016.&#233;vi%20k&#246;lts&#233;gvet&#233;s\Szent%20Gy&#246;rgy%20k&#246;lts&#233;gvet&#233;si%20t&#225;bla%20K%201%20,%20K%202%20,B&#233;rek%20&#233;s%20J&#225;rul&#233;kok%2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Szent%20Gy&#246;rgy%202016.&#233;vi%20k&#246;lts&#233;gvet&#233;s\Szent%20Gy&#246;ryg%20K&#246;lts&#233;gvet&#233;si%20t&#225;bla%20%20K%203%20dologi%20kiad&#225;so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RENDSZ~1\LOCALS~1\Temp\Xl000027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RENDSZ~1\LOCALS~1\Temp\Xl000027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K&#246;lts&#233;gvet&#233;s%202016.%20T&#225;t%20&#214;nkorm&#225;nyzat\Kiad&#225;sok%20%20K%203%20dologi%20kiad&#225;sok2old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97">
          <cell r="B97">
            <v>1100</v>
          </cell>
          <cell r="C97">
            <v>750</v>
          </cell>
          <cell r="D97">
            <v>440</v>
          </cell>
          <cell r="E97">
            <v>5580</v>
          </cell>
          <cell r="F97">
            <v>596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45">
          <cell r="B45">
            <v>1100</v>
          </cell>
          <cell r="C45">
            <v>979</v>
          </cell>
          <cell r="D45">
            <v>1757</v>
          </cell>
          <cell r="G45">
            <v>3775</v>
          </cell>
          <cell r="H45">
            <v>500</v>
          </cell>
          <cell r="I45">
            <v>1500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5">
          <cell r="E5">
            <v>2000</v>
          </cell>
        </row>
        <row r="9">
          <cell r="E9">
            <v>126149</v>
          </cell>
        </row>
        <row r="15">
          <cell r="E15">
            <v>2800</v>
          </cell>
        </row>
        <row r="17">
          <cell r="E17">
            <v>400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45">
          <cell r="B45">
            <v>1733</v>
          </cell>
          <cell r="C45">
            <v>8140</v>
          </cell>
        </row>
        <row r="64">
          <cell r="B64">
            <v>468</v>
          </cell>
          <cell r="C64">
            <v>2127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97">
          <cell r="B97">
            <v>15304</v>
          </cell>
          <cell r="C97">
            <v>437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45">
          <cell r="B45">
            <v>66232</v>
          </cell>
          <cell r="C45">
            <v>2018</v>
          </cell>
        </row>
        <row r="64">
          <cell r="B64">
            <v>18125</v>
          </cell>
          <cell r="C64">
            <v>545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45">
          <cell r="B45">
            <v>59115</v>
          </cell>
          <cell r="C45">
            <v>3939</v>
          </cell>
          <cell r="D45">
            <v>963</v>
          </cell>
          <cell r="E45">
            <v>962</v>
          </cell>
        </row>
        <row r="64">
          <cell r="B64">
            <v>16965</v>
          </cell>
          <cell r="C64">
            <v>1057</v>
          </cell>
          <cell r="D64">
            <v>262</v>
          </cell>
          <cell r="E64">
            <v>262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97">
          <cell r="B97">
            <v>56669</v>
          </cell>
          <cell r="C97">
            <v>170</v>
          </cell>
          <cell r="D97">
            <v>130</v>
          </cell>
          <cell r="E97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47">
          <cell r="B47">
            <v>4317</v>
          </cell>
          <cell r="C47">
            <v>6514</v>
          </cell>
          <cell r="D47">
            <v>14888</v>
          </cell>
          <cell r="E47">
            <v>1326</v>
          </cell>
          <cell r="F47">
            <v>5538</v>
          </cell>
          <cell r="G47">
            <v>5432</v>
          </cell>
        </row>
        <row r="66">
          <cell r="B66">
            <v>1137</v>
          </cell>
          <cell r="C66">
            <v>1734</v>
          </cell>
          <cell r="D66">
            <v>4132</v>
          </cell>
          <cell r="E66">
            <v>358</v>
          </cell>
          <cell r="F66">
            <v>1495</v>
          </cell>
          <cell r="G66">
            <v>1630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99">
          <cell r="B99">
            <v>25400</v>
          </cell>
          <cell r="C99">
            <v>1778</v>
          </cell>
          <cell r="D99">
            <v>15240</v>
          </cell>
          <cell r="E99">
            <v>500</v>
          </cell>
          <cell r="F99">
            <v>500</v>
          </cell>
          <cell r="G99">
            <v>2920</v>
          </cell>
          <cell r="H99">
            <v>10160</v>
          </cell>
          <cell r="I99">
            <v>9000</v>
          </cell>
          <cell r="J99">
            <v>700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99">
          <cell r="B99">
            <v>335</v>
          </cell>
          <cell r="C99">
            <v>2200</v>
          </cell>
          <cell r="F99">
            <v>5079</v>
          </cell>
          <cell r="G99">
            <v>5675</v>
          </cell>
          <cell r="H99">
            <v>50000</v>
          </cell>
          <cell r="I99">
            <v>2032</v>
          </cell>
          <cell r="J99">
            <v>2565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673</v>
      </c>
    </row>
    <row r="4" spans="1:2" ht="12.75">
      <c r="A4" s="135"/>
      <c r="B4" s="135"/>
    </row>
    <row r="5" spans="1:2" s="146" customFormat="1" ht="15.75">
      <c r="A5" s="88" t="s">
        <v>22</v>
      </c>
      <c r="B5" s="145"/>
    </row>
    <row r="6" spans="1:2" ht="12.75">
      <c r="A6" s="135"/>
      <c r="B6" s="135"/>
    </row>
    <row r="7" spans="1:2" ht="12.75">
      <c r="A7" s="135" t="s">
        <v>142</v>
      </c>
      <c r="B7" s="135" t="s">
        <v>143</v>
      </c>
    </row>
    <row r="8" spans="1:2" ht="12.75">
      <c r="A8" s="135" t="s">
        <v>144</v>
      </c>
      <c r="B8" s="135" t="s">
        <v>145</v>
      </c>
    </row>
    <row r="9" spans="1:2" ht="12.75">
      <c r="A9" s="135" t="s">
        <v>146</v>
      </c>
      <c r="B9" s="135" t="s">
        <v>147</v>
      </c>
    </row>
    <row r="10" spans="1:2" ht="12.75">
      <c r="A10" s="135"/>
      <c r="B10" s="135"/>
    </row>
    <row r="11" spans="1:2" ht="12.75">
      <c r="A11" s="135"/>
      <c r="B11" s="135"/>
    </row>
    <row r="12" spans="1:2" s="146" customFormat="1" ht="15.75">
      <c r="A12" s="88" t="s">
        <v>23</v>
      </c>
      <c r="B12" s="145"/>
    </row>
    <row r="13" spans="1:2" ht="12.75">
      <c r="A13" s="135"/>
      <c r="B13" s="135"/>
    </row>
    <row r="14" spans="1:2" ht="12.75">
      <c r="A14" s="135" t="s">
        <v>153</v>
      </c>
      <c r="B14" s="135" t="s">
        <v>152</v>
      </c>
    </row>
    <row r="15" spans="1:2" ht="12.75">
      <c r="A15" s="135" t="s">
        <v>782</v>
      </c>
      <c r="B15" s="135" t="s">
        <v>149</v>
      </c>
    </row>
    <row r="16" spans="1:2" ht="12.75">
      <c r="A16" s="135" t="s">
        <v>154</v>
      </c>
      <c r="B16" s="135" t="s">
        <v>148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C6" sqref="C6"/>
    </sheetView>
  </sheetViews>
  <sheetFormatPr defaultColWidth="9.00390625" defaultRowHeight="12.75"/>
  <cols>
    <col min="1" max="1" width="5.625" style="148" customWidth="1"/>
    <col min="2" max="2" width="68.625" style="148" customWidth="1"/>
    <col min="3" max="3" width="19.50390625" style="148" customWidth="1"/>
    <col min="4" max="16384" width="9.375" style="148" customWidth="1"/>
  </cols>
  <sheetData>
    <row r="1" spans="1:3" ht="33" customHeight="1">
      <c r="A1" s="1054" t="s">
        <v>205</v>
      </c>
      <c r="B1" s="1054"/>
      <c r="C1" s="1054"/>
    </row>
    <row r="2" spans="1:4" ht="15.75" customHeight="1" thickBot="1">
      <c r="A2" s="149"/>
      <c r="B2" s="149"/>
      <c r="C2" s="161"/>
      <c r="D2" s="156"/>
    </row>
    <row r="3" spans="1:3" ht="26.25" customHeight="1" thickBot="1">
      <c r="A3" s="179" t="s">
        <v>540</v>
      </c>
      <c r="B3" s="180" t="s">
        <v>718</v>
      </c>
      <c r="C3" s="181" t="s">
        <v>447</v>
      </c>
    </row>
    <row r="4" spans="1:3" ht="15.75" thickBot="1">
      <c r="A4" s="182">
        <v>1</v>
      </c>
      <c r="B4" s="183">
        <v>2</v>
      </c>
      <c r="C4" s="184">
        <v>3</v>
      </c>
    </row>
    <row r="5" spans="1:3" ht="15">
      <c r="A5" s="185" t="s">
        <v>542</v>
      </c>
      <c r="B5" s="358" t="s">
        <v>580</v>
      </c>
      <c r="C5" s="355">
        <v>125800000</v>
      </c>
    </row>
    <row r="6" spans="1:3" ht="24.75">
      <c r="A6" s="186" t="s">
        <v>543</v>
      </c>
      <c r="B6" s="384" t="s">
        <v>779</v>
      </c>
      <c r="C6" s="356"/>
    </row>
    <row r="7" spans="1:3" ht="15">
      <c r="A7" s="186" t="s">
        <v>544</v>
      </c>
      <c r="B7" s="385" t="s">
        <v>202</v>
      </c>
      <c r="C7" s="356"/>
    </row>
    <row r="8" spans="1:3" ht="24.75">
      <c r="A8" s="186" t="s">
        <v>545</v>
      </c>
      <c r="B8" s="385" t="s">
        <v>781</v>
      </c>
      <c r="C8" s="356"/>
    </row>
    <row r="9" spans="1:3" ht="15">
      <c r="A9" s="187" t="s">
        <v>546</v>
      </c>
      <c r="B9" s="385" t="s">
        <v>780</v>
      </c>
      <c r="C9" s="357">
        <v>800000</v>
      </c>
    </row>
    <row r="10" spans="1:3" ht="15.75" thickBot="1">
      <c r="A10" s="186" t="s">
        <v>547</v>
      </c>
      <c r="B10" s="386" t="s">
        <v>719</v>
      </c>
      <c r="C10" s="356"/>
    </row>
    <row r="11" spans="1:3" ht="15.75" thickBot="1">
      <c r="A11" s="1068" t="s">
        <v>722</v>
      </c>
      <c r="B11" s="1069"/>
      <c r="C11" s="188">
        <f>SUM(C5:C10)</f>
        <v>126600000</v>
      </c>
    </row>
    <row r="12" spans="1:3" ht="23.25" customHeight="1">
      <c r="A12" s="1070" t="s">
        <v>751</v>
      </c>
      <c r="B12" s="1070"/>
      <c r="C12" s="1070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az 1/2017. (II.07.)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C25" sqref="C25"/>
    </sheetView>
  </sheetViews>
  <sheetFormatPr defaultColWidth="9.00390625" defaultRowHeight="12.75"/>
  <cols>
    <col min="1" max="1" width="5.625" style="148" customWidth="1"/>
    <col min="2" max="2" width="66.875" style="148" customWidth="1"/>
    <col min="3" max="3" width="27.00390625" style="148" customWidth="1"/>
    <col min="4" max="16384" width="9.375" style="148" customWidth="1"/>
  </cols>
  <sheetData>
    <row r="1" spans="1:3" ht="33" customHeight="1">
      <c r="A1" s="1054" t="s">
        <v>311</v>
      </c>
      <c r="B1" s="1054"/>
      <c r="C1" s="1054"/>
    </row>
    <row r="2" spans="1:4" ht="15.75" customHeight="1" thickBot="1">
      <c r="A2" s="149"/>
      <c r="B2" s="149"/>
      <c r="C2" s="161"/>
      <c r="D2" s="156"/>
    </row>
    <row r="3" spans="1:3" ht="26.25" customHeight="1" thickBot="1">
      <c r="A3" s="179" t="s">
        <v>540</v>
      </c>
      <c r="B3" s="180" t="s">
        <v>723</v>
      </c>
      <c r="C3" s="181" t="s">
        <v>749</v>
      </c>
    </row>
    <row r="4" spans="1:3" ht="15.75" thickBot="1">
      <c r="A4" s="182">
        <v>1</v>
      </c>
      <c r="B4" s="183">
        <v>2</v>
      </c>
      <c r="C4" s="184">
        <v>3</v>
      </c>
    </row>
    <row r="5" spans="1:3" ht="15">
      <c r="A5" s="185" t="s">
        <v>542</v>
      </c>
      <c r="B5" s="192" t="s">
        <v>412</v>
      </c>
      <c r="C5" s="189"/>
    </row>
    <row r="6" spans="1:3" ht="15">
      <c r="A6" s="186" t="s">
        <v>543</v>
      </c>
      <c r="B6" s="193"/>
      <c r="C6" s="190"/>
    </row>
    <row r="7" spans="1:3" ht="15.75" thickBot="1">
      <c r="A7" s="187" t="s">
        <v>544</v>
      </c>
      <c r="B7" s="194"/>
      <c r="C7" s="191"/>
    </row>
    <row r="8" spans="1:3" s="456" customFormat="1" ht="17.25" customHeight="1" thickBot="1">
      <c r="A8" s="457" t="s">
        <v>545</v>
      </c>
      <c r="B8" s="131" t="s">
        <v>724</v>
      </c>
      <c r="C8" s="188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1/2017. (II.07.)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view="pageLayout" workbookViewId="0" topLeftCell="C1">
      <selection activeCell="D19" sqref="D19:E19"/>
    </sheetView>
  </sheetViews>
  <sheetFormatPr defaultColWidth="9.00390625" defaultRowHeight="12.75"/>
  <cols>
    <col min="1" max="1" width="55.625" style="43" customWidth="1"/>
    <col min="2" max="2" width="15.625" style="42" customWidth="1"/>
    <col min="3" max="3" width="21.625" style="42" customWidth="1"/>
    <col min="4" max="4" width="16.50390625" style="42" customWidth="1"/>
    <col min="5" max="5" width="16.625" style="42" customWidth="1"/>
    <col min="6" max="6" width="25.375" style="42" customWidth="1"/>
    <col min="7" max="7" width="17.875" style="56" customWidth="1"/>
    <col min="8" max="9" width="12.875" style="42" customWidth="1"/>
    <col min="10" max="10" width="13.875" style="42" customWidth="1"/>
    <col min="11" max="16384" width="9.375" style="42" customWidth="1"/>
  </cols>
  <sheetData>
    <row r="1" spans="1:7" ht="25.5" customHeight="1">
      <c r="A1" s="1071" t="s">
        <v>524</v>
      </c>
      <c r="B1" s="1071"/>
      <c r="C1" s="1071"/>
      <c r="D1" s="1071"/>
      <c r="E1" s="1071"/>
      <c r="F1" s="1071"/>
      <c r="G1" s="1071"/>
    </row>
    <row r="2" spans="1:7" ht="22.5" customHeight="1" thickBot="1">
      <c r="A2" s="195"/>
      <c r="B2" s="56"/>
      <c r="C2" s="56"/>
      <c r="D2" s="56"/>
      <c r="E2" s="56"/>
      <c r="F2" s="56"/>
      <c r="G2" s="51"/>
    </row>
    <row r="3" spans="1:7" s="45" customFormat="1" ht="44.25" customHeight="1" thickBot="1">
      <c r="A3" s="196" t="s">
        <v>590</v>
      </c>
      <c r="B3" s="197" t="s">
        <v>591</v>
      </c>
      <c r="C3" s="197" t="s">
        <v>592</v>
      </c>
      <c r="D3" s="197" t="s">
        <v>879</v>
      </c>
      <c r="E3" s="197" t="s">
        <v>447</v>
      </c>
      <c r="F3" s="197" t="s">
        <v>386</v>
      </c>
      <c r="G3" s="52" t="s">
        <v>881</v>
      </c>
    </row>
    <row r="4" spans="1:7" s="56" customFormat="1" ht="12" customHeight="1" thickBot="1">
      <c r="A4" s="679">
        <v>1</v>
      </c>
      <c r="B4" s="680">
        <v>2</v>
      </c>
      <c r="C4" s="680">
        <v>3</v>
      </c>
      <c r="D4" s="680">
        <v>4</v>
      </c>
      <c r="E4" s="680">
        <v>5</v>
      </c>
      <c r="F4" s="680">
        <v>6</v>
      </c>
      <c r="G4" s="681">
        <v>7</v>
      </c>
    </row>
    <row r="5" spans="1:7" s="56" customFormat="1" ht="12" customHeight="1">
      <c r="A5" s="970" t="s">
        <v>884</v>
      </c>
      <c r="B5" s="686">
        <v>140411285</v>
      </c>
      <c r="C5" s="711" t="s">
        <v>880</v>
      </c>
      <c r="D5" s="686"/>
      <c r="E5" s="686">
        <v>140411285</v>
      </c>
      <c r="F5" s="686">
        <v>133390721</v>
      </c>
      <c r="G5" s="702"/>
    </row>
    <row r="6" spans="1:7" s="56" customFormat="1" ht="12" customHeight="1">
      <c r="A6" s="682"/>
      <c r="B6" s="683"/>
      <c r="C6" s="691"/>
      <c r="D6" s="683"/>
      <c r="E6" s="683"/>
      <c r="F6" s="683"/>
      <c r="G6" s="921"/>
    </row>
    <row r="7" spans="1:7" s="56" customFormat="1" ht="12" customHeight="1">
      <c r="A7" s="970"/>
      <c r="B7" s="686"/>
      <c r="C7" s="711"/>
      <c r="D7" s="686"/>
      <c r="E7" s="686"/>
      <c r="F7" s="686"/>
      <c r="G7" s="687">
        <f>F7:G7-E7:F7</f>
        <v>0</v>
      </c>
    </row>
    <row r="8" spans="1:7" ht="15.75" customHeight="1" thickBot="1">
      <c r="A8" s="693"/>
      <c r="B8" s="703"/>
      <c r="C8" s="704"/>
      <c r="D8" s="703"/>
      <c r="E8" s="703"/>
      <c r="F8" s="703"/>
      <c r="G8" s="705"/>
    </row>
    <row r="9" spans="1:7" ht="15.75" customHeight="1" thickBot="1">
      <c r="A9" s="696" t="s">
        <v>338</v>
      </c>
      <c r="B9" s="706">
        <f>B5+B6+B7</f>
        <v>140411285</v>
      </c>
      <c r="C9" s="707"/>
      <c r="D9" s="706">
        <f>D5+D6+D7</f>
        <v>0</v>
      </c>
      <c r="E9" s="706">
        <f>E5+E6+E7+E8</f>
        <v>140411285</v>
      </c>
      <c r="F9" s="706">
        <f>F5+F6</f>
        <v>133390721</v>
      </c>
      <c r="G9" s="708">
        <f>G5+G6+G7</f>
        <v>0</v>
      </c>
    </row>
    <row r="10" spans="1:7" ht="15.75" customHeight="1">
      <c r="A10" s="692" t="s">
        <v>337</v>
      </c>
      <c r="B10" s="700"/>
      <c r="C10" s="701"/>
      <c r="D10" s="700"/>
      <c r="E10" s="700"/>
      <c r="F10" s="700"/>
      <c r="G10" s="702">
        <f aca="true" t="shared" si="0" ref="G10:G23">B10-D10-E10</f>
        <v>0</v>
      </c>
    </row>
    <row r="11" spans="1:7" ht="15.75" customHeight="1">
      <c r="A11" s="1072" t="s">
        <v>336</v>
      </c>
      <c r="B11" s="1074"/>
      <c r="C11" s="1076"/>
      <c r="D11" s="1074"/>
      <c r="E11" s="1074"/>
      <c r="F11" s="912"/>
      <c r="G11" s="1078">
        <f>B11-D11-E11</f>
        <v>0</v>
      </c>
    </row>
    <row r="12" spans="1:7" ht="15.75" customHeight="1" thickBot="1">
      <c r="A12" s="1073"/>
      <c r="B12" s="1075"/>
      <c r="C12" s="1077"/>
      <c r="D12" s="1075"/>
      <c r="E12" s="1075"/>
      <c r="F12" s="920"/>
      <c r="G12" s="1079"/>
    </row>
    <row r="13" spans="1:7" ht="15.75" customHeight="1" thickBot="1">
      <c r="A13" s="697" t="s">
        <v>339</v>
      </c>
      <c r="B13" s="698"/>
      <c r="C13" s="709"/>
      <c r="D13" s="698"/>
      <c r="E13" s="698">
        <f>SUM(E10+E11)</f>
        <v>0</v>
      </c>
      <c r="F13" s="698"/>
      <c r="G13" s="699"/>
    </row>
    <row r="14" spans="1:7" ht="15.75" customHeight="1">
      <c r="A14" s="690"/>
      <c r="B14" s="694"/>
      <c r="C14" s="710"/>
      <c r="D14" s="694"/>
      <c r="E14" s="694"/>
      <c r="F14" s="694"/>
      <c r="G14" s="695">
        <f t="shared" si="0"/>
        <v>0</v>
      </c>
    </row>
    <row r="15" spans="1:7" ht="15.75" customHeight="1">
      <c r="A15" s="682"/>
      <c r="B15" s="683"/>
      <c r="C15" s="691"/>
      <c r="D15" s="683"/>
      <c r="E15" s="683"/>
      <c r="F15" s="683"/>
      <c r="G15" s="684">
        <f t="shared" si="0"/>
        <v>0</v>
      </c>
    </row>
    <row r="16" spans="1:7" ht="15.75" customHeight="1">
      <c r="A16" s="682"/>
      <c r="B16" s="683"/>
      <c r="C16" s="691"/>
      <c r="D16" s="683"/>
      <c r="E16" s="683"/>
      <c r="F16" s="683"/>
      <c r="G16" s="684">
        <f t="shared" si="0"/>
        <v>0</v>
      </c>
    </row>
    <row r="17" spans="1:7" ht="15.75" customHeight="1">
      <c r="A17" s="682"/>
      <c r="B17" s="683"/>
      <c r="C17" s="691"/>
      <c r="D17" s="683"/>
      <c r="E17" s="683"/>
      <c r="F17" s="683"/>
      <c r="G17" s="684">
        <f t="shared" si="0"/>
        <v>0</v>
      </c>
    </row>
    <row r="18" spans="1:7" ht="15.75" customHeight="1">
      <c r="A18" s="682"/>
      <c r="B18" s="683"/>
      <c r="C18" s="691"/>
      <c r="D18" s="683"/>
      <c r="E18" s="683"/>
      <c r="F18" s="683"/>
      <c r="G18" s="684">
        <f t="shared" si="0"/>
        <v>0</v>
      </c>
    </row>
    <row r="19" spans="1:7" ht="15.75" customHeight="1">
      <c r="A19" s="682"/>
      <c r="B19" s="683"/>
      <c r="C19" s="691"/>
      <c r="D19" s="683"/>
      <c r="E19" s="683"/>
      <c r="F19" s="683"/>
      <c r="G19" s="684">
        <f t="shared" si="0"/>
        <v>0</v>
      </c>
    </row>
    <row r="20" spans="1:7" ht="15.75" customHeight="1">
      <c r="A20" s="682"/>
      <c r="B20" s="683"/>
      <c r="C20" s="691"/>
      <c r="D20" s="683"/>
      <c r="E20" s="683"/>
      <c r="F20" s="683"/>
      <c r="G20" s="684">
        <f t="shared" si="0"/>
        <v>0</v>
      </c>
    </row>
    <row r="21" spans="1:7" ht="15.75" customHeight="1">
      <c r="A21" s="682"/>
      <c r="B21" s="683"/>
      <c r="C21" s="691"/>
      <c r="D21" s="683"/>
      <c r="E21" s="683"/>
      <c r="F21" s="683"/>
      <c r="G21" s="684">
        <f t="shared" si="0"/>
        <v>0</v>
      </c>
    </row>
    <row r="22" spans="1:7" ht="15.75" customHeight="1">
      <c r="A22" s="682"/>
      <c r="B22" s="683"/>
      <c r="C22" s="691"/>
      <c r="D22" s="683"/>
      <c r="E22" s="683"/>
      <c r="F22" s="683"/>
      <c r="G22" s="684">
        <f t="shared" si="0"/>
        <v>0</v>
      </c>
    </row>
    <row r="23" spans="1:7" ht="15.75" customHeight="1" thickBot="1">
      <c r="A23" s="685"/>
      <c r="B23" s="686"/>
      <c r="C23" s="711"/>
      <c r="D23" s="686"/>
      <c r="E23" s="686"/>
      <c r="F23" s="703"/>
      <c r="G23" s="687">
        <f t="shared" si="0"/>
        <v>0</v>
      </c>
    </row>
    <row r="24" spans="1:7" s="58" customFormat="1" ht="18" customHeight="1" thickBot="1">
      <c r="A24" s="688" t="s">
        <v>589</v>
      </c>
      <c r="B24" s="689">
        <f aca="true" t="shared" si="1" ref="B24:G24">B9+B13</f>
        <v>140411285</v>
      </c>
      <c r="C24" s="689">
        <f t="shared" si="1"/>
        <v>0</v>
      </c>
      <c r="D24" s="689">
        <f t="shared" si="1"/>
        <v>0</v>
      </c>
      <c r="E24" s="689">
        <f t="shared" si="1"/>
        <v>140411285</v>
      </c>
      <c r="F24" s="689">
        <f t="shared" si="1"/>
        <v>133390721</v>
      </c>
      <c r="G24" s="689">
        <f t="shared" si="1"/>
        <v>0</v>
      </c>
    </row>
  </sheetData>
  <sheetProtection/>
  <mergeCells count="7">
    <mergeCell ref="A1:G1"/>
    <mergeCell ref="A11:A12"/>
    <mergeCell ref="B11:B12"/>
    <mergeCell ref="C11:C12"/>
    <mergeCell ref="D11:D12"/>
    <mergeCell ref="E11:E12"/>
    <mergeCell ref="G11:G12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85" r:id="rId1"/>
  <headerFooter alignWithMargins="0">
    <oddHeader>&amp;R&amp;"Times New Roman CE,Félkövér dőlt"&amp;11 6. melléklet az 1/2017.(II.07.)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5"/>
  <sheetViews>
    <sheetView view="pageLayout" workbookViewId="0" topLeftCell="A1">
      <selection activeCell="A1" sqref="A1:G1"/>
    </sheetView>
  </sheetViews>
  <sheetFormatPr defaultColWidth="9.00390625" defaultRowHeight="12.75"/>
  <cols>
    <col min="1" max="1" width="44.87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6.50390625" style="42" bestFit="1" customWidth="1"/>
    <col min="7" max="7" width="18.875" style="42" customWidth="1"/>
    <col min="8" max="9" width="12.875" style="42" customWidth="1"/>
    <col min="10" max="10" width="13.875" style="42" customWidth="1"/>
    <col min="11" max="16384" width="9.375" style="42" customWidth="1"/>
  </cols>
  <sheetData>
    <row r="1" spans="1:7" ht="24.75" customHeight="1">
      <c r="A1" s="1071" t="s">
        <v>525</v>
      </c>
      <c r="B1" s="1071"/>
      <c r="C1" s="1071"/>
      <c r="D1" s="1071"/>
      <c r="E1" s="1071"/>
      <c r="F1" s="1071"/>
      <c r="G1" s="1071"/>
    </row>
    <row r="2" spans="1:7" ht="23.25" customHeight="1" thickBot="1">
      <c r="A2" s="195"/>
      <c r="B2" s="56"/>
      <c r="C2" s="56"/>
      <c r="D2" s="56"/>
      <c r="E2" s="56"/>
      <c r="F2" s="56"/>
      <c r="G2" s="51"/>
    </row>
    <row r="3" spans="1:7" s="45" customFormat="1" ht="48.75" customHeight="1" thickBot="1">
      <c r="A3" s="196" t="s">
        <v>593</v>
      </c>
      <c r="B3" s="197" t="s">
        <v>591</v>
      </c>
      <c r="C3" s="197" t="s">
        <v>592</v>
      </c>
      <c r="D3" s="197" t="s">
        <v>883</v>
      </c>
      <c r="E3" s="197" t="s">
        <v>447</v>
      </c>
      <c r="F3" s="575" t="s">
        <v>386</v>
      </c>
      <c r="G3" s="52" t="s">
        <v>882</v>
      </c>
    </row>
    <row r="4" spans="1:7" s="56" customFormat="1" ht="15" customHeight="1" thickBot="1">
      <c r="A4" s="53">
        <v>1</v>
      </c>
      <c r="B4" s="54">
        <v>2</v>
      </c>
      <c r="C4" s="54">
        <v>3</v>
      </c>
      <c r="D4" s="54">
        <v>4</v>
      </c>
      <c r="E4" s="54">
        <v>5</v>
      </c>
      <c r="F4" s="576">
        <v>6</v>
      </c>
      <c r="G4" s="55">
        <v>7</v>
      </c>
    </row>
    <row r="5" spans="1:7" s="56" customFormat="1" ht="15" customHeight="1">
      <c r="A5" s="1034" t="s">
        <v>885</v>
      </c>
      <c r="B5" s="1035">
        <v>181000000</v>
      </c>
      <c r="C5" s="1035" t="s">
        <v>1</v>
      </c>
      <c r="D5" s="1035"/>
      <c r="E5" s="1035">
        <v>181000000</v>
      </c>
      <c r="F5" s="1036">
        <v>181000000</v>
      </c>
      <c r="G5" s="1037"/>
    </row>
    <row r="6" spans="1:7" s="56" customFormat="1" ht="15" customHeight="1">
      <c r="A6" s="571" t="s">
        <v>888</v>
      </c>
      <c r="B6" s="1032">
        <v>13000000</v>
      </c>
      <c r="C6" s="1032"/>
      <c r="D6" s="1032"/>
      <c r="E6" s="1032">
        <v>13000000</v>
      </c>
      <c r="F6" s="1032">
        <v>13000000</v>
      </c>
      <c r="G6" s="1033"/>
    </row>
    <row r="7" spans="1:7" s="56" customFormat="1" ht="15" customHeight="1">
      <c r="A7" s="571" t="s">
        <v>886</v>
      </c>
      <c r="B7" s="1032">
        <v>45000000</v>
      </c>
      <c r="C7" s="1032"/>
      <c r="D7" s="1032"/>
      <c r="E7" s="1032">
        <v>45000000</v>
      </c>
      <c r="F7" s="1032">
        <v>45000000</v>
      </c>
      <c r="G7" s="1033"/>
    </row>
    <row r="8" spans="1:7" s="56" customFormat="1" ht="15" customHeight="1">
      <c r="A8" s="571" t="s">
        <v>887</v>
      </c>
      <c r="B8" s="972">
        <v>82000000</v>
      </c>
      <c r="C8" s="972"/>
      <c r="D8" s="972"/>
      <c r="E8" s="972">
        <v>82000000</v>
      </c>
      <c r="F8" s="972">
        <v>82000000</v>
      </c>
      <c r="G8" s="971"/>
    </row>
    <row r="9" spans="1:7" s="56" customFormat="1" ht="15" customHeight="1">
      <c r="A9" s="571" t="s">
        <v>0</v>
      </c>
      <c r="B9" s="1032">
        <v>21000000</v>
      </c>
      <c r="C9" s="1032"/>
      <c r="D9" s="1032"/>
      <c r="E9" s="1032">
        <v>21000000</v>
      </c>
      <c r="F9" s="1032">
        <v>21000000</v>
      </c>
      <c r="G9" s="1033"/>
    </row>
    <row r="10" spans="1:7" ht="15.75" customHeight="1" thickBot="1">
      <c r="A10" s="571" t="s">
        <v>208</v>
      </c>
      <c r="B10" s="974">
        <v>20000000</v>
      </c>
      <c r="C10" s="973"/>
      <c r="D10" s="974"/>
      <c r="E10" s="974">
        <v>20000000</v>
      </c>
      <c r="F10" s="1038">
        <v>20000000</v>
      </c>
      <c r="G10" s="1039"/>
    </row>
    <row r="11" spans="1:7" ht="15.75" customHeight="1" thickBot="1">
      <c r="A11" s="722" t="s">
        <v>338</v>
      </c>
      <c r="B11" s="975">
        <f>B6:C6+B7:C7+B8:C8+B9:C9+B10:C10</f>
        <v>181000000</v>
      </c>
      <c r="C11" s="975"/>
      <c r="D11" s="975">
        <f>D5+D10</f>
        <v>0</v>
      </c>
      <c r="E11" s="975">
        <f>E6:F6+E7:F7+E8:F8+E9:F9+E10:F10</f>
        <v>181000000</v>
      </c>
      <c r="F11" s="975">
        <f>F6+F7+F8+F9:G9+F10:G10</f>
        <v>181000000</v>
      </c>
      <c r="G11" s="976">
        <f>G5+G10</f>
        <v>0</v>
      </c>
    </row>
    <row r="12" spans="1:7" ht="15.75" customHeight="1" thickBot="1">
      <c r="A12" s="724"/>
      <c r="B12" s="725"/>
      <c r="C12" s="726"/>
      <c r="D12" s="725"/>
      <c r="E12" s="725"/>
      <c r="F12" s="727"/>
      <c r="G12" s="723">
        <v>0</v>
      </c>
    </row>
    <row r="13" spans="1:7" ht="15.75" customHeight="1" thickBot="1">
      <c r="A13" s="722" t="s">
        <v>338</v>
      </c>
      <c r="B13" s="717"/>
      <c r="C13" s="718"/>
      <c r="D13" s="717"/>
      <c r="E13" s="721"/>
      <c r="F13" s="719"/>
      <c r="G13" s="720">
        <v>0</v>
      </c>
    </row>
    <row r="14" spans="1:7" ht="15.75" customHeight="1">
      <c r="A14" s="712"/>
      <c r="B14" s="713"/>
      <c r="C14" s="714"/>
      <c r="D14" s="713"/>
      <c r="E14" s="713"/>
      <c r="F14" s="715"/>
      <c r="G14" s="716">
        <f aca="true" t="shared" si="0" ref="G14:G24">B14-D14-E14</f>
        <v>0</v>
      </c>
    </row>
    <row r="15" spans="1:7" ht="15.75" customHeight="1">
      <c r="A15" s="570"/>
      <c r="B15" s="564"/>
      <c r="C15" s="565"/>
      <c r="D15" s="564"/>
      <c r="E15" s="564"/>
      <c r="F15" s="577"/>
      <c r="G15" s="566">
        <f t="shared" si="0"/>
        <v>0</v>
      </c>
    </row>
    <row r="16" spans="1:7" ht="15.75" customHeight="1">
      <c r="A16" s="570"/>
      <c r="B16" s="564"/>
      <c r="C16" s="565"/>
      <c r="D16" s="564"/>
      <c r="E16" s="564"/>
      <c r="F16" s="577"/>
      <c r="G16" s="566">
        <f t="shared" si="0"/>
        <v>0</v>
      </c>
    </row>
    <row r="17" spans="1:7" ht="15.75" customHeight="1">
      <c r="A17" s="570"/>
      <c r="B17" s="564"/>
      <c r="C17" s="565"/>
      <c r="D17" s="564"/>
      <c r="E17" s="564"/>
      <c r="F17" s="577"/>
      <c r="G17" s="566">
        <f t="shared" si="0"/>
        <v>0</v>
      </c>
    </row>
    <row r="18" spans="1:7" ht="15.75" customHeight="1">
      <c r="A18" s="570"/>
      <c r="B18" s="564"/>
      <c r="C18" s="565"/>
      <c r="D18" s="564"/>
      <c r="E18" s="564"/>
      <c r="F18" s="577"/>
      <c r="G18" s="566">
        <f t="shared" si="0"/>
        <v>0</v>
      </c>
    </row>
    <row r="19" spans="1:7" ht="15.75" customHeight="1">
      <c r="A19" s="570"/>
      <c r="B19" s="564"/>
      <c r="C19" s="565"/>
      <c r="D19" s="564"/>
      <c r="E19" s="564"/>
      <c r="F19" s="577"/>
      <c r="G19" s="566">
        <f t="shared" si="0"/>
        <v>0</v>
      </c>
    </row>
    <row r="20" spans="1:7" ht="15.75" customHeight="1">
      <c r="A20" s="570"/>
      <c r="B20" s="564"/>
      <c r="C20" s="565"/>
      <c r="D20" s="564"/>
      <c r="E20" s="564"/>
      <c r="F20" s="577"/>
      <c r="G20" s="566">
        <f t="shared" si="0"/>
        <v>0</v>
      </c>
    </row>
    <row r="21" spans="1:7" ht="15.75" customHeight="1">
      <c r="A21" s="570"/>
      <c r="B21" s="564"/>
      <c r="C21" s="565"/>
      <c r="D21" s="564"/>
      <c r="E21" s="564"/>
      <c r="F21" s="577"/>
      <c r="G21" s="566">
        <f t="shared" si="0"/>
        <v>0</v>
      </c>
    </row>
    <row r="22" spans="1:7" ht="15.75" customHeight="1">
      <c r="A22" s="570"/>
      <c r="B22" s="564"/>
      <c r="C22" s="565"/>
      <c r="D22" s="564"/>
      <c r="E22" s="564"/>
      <c r="F22" s="577"/>
      <c r="G22" s="566">
        <f t="shared" si="0"/>
        <v>0</v>
      </c>
    </row>
    <row r="23" spans="1:7" ht="15.75" customHeight="1">
      <c r="A23" s="570"/>
      <c r="B23" s="564"/>
      <c r="C23" s="565"/>
      <c r="D23" s="564"/>
      <c r="E23" s="564"/>
      <c r="F23" s="577"/>
      <c r="G23" s="566">
        <f t="shared" si="0"/>
        <v>0</v>
      </c>
    </row>
    <row r="24" spans="1:7" ht="15.75" customHeight="1" thickBot="1">
      <c r="A24" s="571"/>
      <c r="B24" s="572"/>
      <c r="C24" s="573"/>
      <c r="D24" s="572"/>
      <c r="E24" s="572"/>
      <c r="F24" s="578"/>
      <c r="G24" s="574">
        <f t="shared" si="0"/>
        <v>0</v>
      </c>
    </row>
    <row r="25" spans="1:7" s="58" customFormat="1" ht="18" customHeight="1" thickBot="1">
      <c r="A25" s="567" t="s">
        <v>589</v>
      </c>
      <c r="B25" s="568">
        <f aca="true" t="shared" si="1" ref="B25:G25">B11+B13</f>
        <v>181000000</v>
      </c>
      <c r="C25" s="568">
        <f t="shared" si="1"/>
        <v>0</v>
      </c>
      <c r="D25" s="568">
        <f t="shared" si="1"/>
        <v>0</v>
      </c>
      <c r="E25" s="568">
        <f t="shared" si="1"/>
        <v>181000000</v>
      </c>
      <c r="F25" s="568">
        <f t="shared" si="1"/>
        <v>181000000</v>
      </c>
      <c r="G25" s="569">
        <f t="shared" si="1"/>
        <v>0</v>
      </c>
    </row>
  </sheetData>
  <sheetProtection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az 1/2017. (II.07.)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21"/>
  <sheetViews>
    <sheetView view="pageLayout" workbookViewId="0" topLeftCell="A1">
      <selection activeCell="D20" sqref="D20"/>
    </sheetView>
  </sheetViews>
  <sheetFormatPr defaultColWidth="9.00390625" defaultRowHeight="12.75"/>
  <cols>
    <col min="1" max="1" width="38.625" style="47" customWidth="1"/>
    <col min="2" max="5" width="13.875" style="47" customWidth="1"/>
    <col min="6" max="16384" width="9.375" style="47" customWidth="1"/>
  </cols>
  <sheetData>
    <row r="1" spans="1:5" ht="12.75">
      <c r="A1" s="213"/>
      <c r="B1" s="213"/>
      <c r="C1" s="213"/>
      <c r="D1" s="213"/>
      <c r="E1" s="213"/>
    </row>
    <row r="2" spans="1:5" ht="15.75">
      <c r="A2" s="214" t="s">
        <v>661</v>
      </c>
      <c r="B2" s="1080" t="s">
        <v>412</v>
      </c>
      <c r="C2" s="1080"/>
      <c r="D2" s="1080"/>
      <c r="E2" s="1080"/>
    </row>
    <row r="3" spans="1:5" ht="14.25" thickBot="1">
      <c r="A3" s="213"/>
      <c r="B3" s="213"/>
      <c r="C3" s="213"/>
      <c r="D3" s="1081"/>
      <c r="E3" s="1081"/>
    </row>
    <row r="4" spans="1:5" ht="15" customHeight="1" thickBot="1">
      <c r="A4" s="215" t="s">
        <v>654</v>
      </c>
      <c r="B4" s="216" t="s">
        <v>776</v>
      </c>
      <c r="C4" s="216" t="s">
        <v>777</v>
      </c>
      <c r="D4" s="216" t="s">
        <v>278</v>
      </c>
      <c r="E4" s="217" t="s">
        <v>574</v>
      </c>
    </row>
    <row r="5" spans="1:5" ht="12.75">
      <c r="A5" s="218" t="s">
        <v>655</v>
      </c>
      <c r="B5" s="89"/>
      <c r="C5" s="89"/>
      <c r="D5" s="89"/>
      <c r="E5" s="219">
        <f aca="true" t="shared" si="0" ref="E5:E11">SUM(B5:D5)</f>
        <v>0</v>
      </c>
    </row>
    <row r="6" spans="1:5" ht="12.75">
      <c r="A6" s="220" t="s">
        <v>667</v>
      </c>
      <c r="B6" s="90"/>
      <c r="C6" s="90"/>
      <c r="D6" s="90"/>
      <c r="E6" s="221">
        <f t="shared" si="0"/>
        <v>0</v>
      </c>
    </row>
    <row r="7" spans="1:5" ht="12.75">
      <c r="A7" s="222" t="s">
        <v>656</v>
      </c>
      <c r="B7" s="91"/>
      <c r="C7" s="91"/>
      <c r="D7" s="91"/>
      <c r="E7" s="223">
        <f t="shared" si="0"/>
        <v>0</v>
      </c>
    </row>
    <row r="8" spans="1:5" ht="12.75">
      <c r="A8" s="222" t="s">
        <v>669</v>
      </c>
      <c r="B8" s="91"/>
      <c r="C8" s="91"/>
      <c r="D8" s="91"/>
      <c r="E8" s="223">
        <f t="shared" si="0"/>
        <v>0</v>
      </c>
    </row>
    <row r="9" spans="1:5" ht="12.75">
      <c r="A9" s="222" t="s">
        <v>657</v>
      </c>
      <c r="B9" s="91"/>
      <c r="C9" s="91"/>
      <c r="D9" s="91"/>
      <c r="E9" s="223">
        <f t="shared" si="0"/>
        <v>0</v>
      </c>
    </row>
    <row r="10" spans="1:5" ht="12.75">
      <c r="A10" s="222" t="s">
        <v>658</v>
      </c>
      <c r="B10" s="91"/>
      <c r="C10" s="91"/>
      <c r="D10" s="91"/>
      <c r="E10" s="223">
        <f t="shared" si="0"/>
        <v>0</v>
      </c>
    </row>
    <row r="11" spans="1:5" ht="13.5" thickBot="1">
      <c r="A11" s="92"/>
      <c r="B11" s="93"/>
      <c r="C11" s="93"/>
      <c r="D11" s="93"/>
      <c r="E11" s="223">
        <f t="shared" si="0"/>
        <v>0</v>
      </c>
    </row>
    <row r="12" spans="1:5" ht="13.5" thickBot="1">
      <c r="A12" s="224" t="s">
        <v>660</v>
      </c>
      <c r="B12" s="225">
        <f>B5+SUM(B7:B11)</f>
        <v>0</v>
      </c>
      <c r="C12" s="225">
        <f>C5+SUM(C7:C11)</f>
        <v>0</v>
      </c>
      <c r="D12" s="225">
        <f>D5+SUM(D7:D11)</f>
        <v>0</v>
      </c>
      <c r="E12" s="226">
        <f>E5+SUM(E7:E11)</f>
        <v>0</v>
      </c>
    </row>
    <row r="13" spans="1:5" ht="13.5" thickBot="1">
      <c r="A13" s="50"/>
      <c r="B13" s="50"/>
      <c r="C13" s="50"/>
      <c r="D13" s="50"/>
      <c r="E13" s="50"/>
    </row>
    <row r="14" spans="1:5" ht="15" customHeight="1" thickBot="1">
      <c r="A14" s="215" t="s">
        <v>659</v>
      </c>
      <c r="B14" s="216" t="s">
        <v>776</v>
      </c>
      <c r="C14" s="216" t="s">
        <v>777</v>
      </c>
      <c r="D14" s="216" t="s">
        <v>278</v>
      </c>
      <c r="E14" s="217" t="s">
        <v>574</v>
      </c>
    </row>
    <row r="15" spans="1:5" ht="12.75">
      <c r="A15" s="218" t="s">
        <v>663</v>
      </c>
      <c r="B15" s="89"/>
      <c r="C15" s="89"/>
      <c r="D15" s="89"/>
      <c r="E15" s="219">
        <f>SUM(B15:D15)</f>
        <v>0</v>
      </c>
    </row>
    <row r="16" spans="1:5" ht="12.75">
      <c r="A16" s="227" t="s">
        <v>664</v>
      </c>
      <c r="B16" s="91"/>
      <c r="C16" s="91"/>
      <c r="D16" s="91"/>
      <c r="E16" s="223">
        <f>SUM(B16:D16)</f>
        <v>0</v>
      </c>
    </row>
    <row r="17" spans="1:5" ht="12.75">
      <c r="A17" s="222" t="s">
        <v>665</v>
      </c>
      <c r="B17" s="91"/>
      <c r="C17" s="91"/>
      <c r="D17" s="91"/>
      <c r="E17" s="223">
        <f>SUM(B17:D17)</f>
        <v>0</v>
      </c>
    </row>
    <row r="18" spans="1:5" ht="13.5" thickBot="1">
      <c r="A18" s="222" t="s">
        <v>666</v>
      </c>
      <c r="B18" s="91"/>
      <c r="C18" s="91"/>
      <c r="D18" s="91"/>
      <c r="E18" s="223">
        <f>SUM(B18:D18)</f>
        <v>0</v>
      </c>
    </row>
    <row r="19" spans="1:5" ht="13.5" thickBot="1">
      <c r="A19" s="224" t="s">
        <v>575</v>
      </c>
      <c r="B19" s="225"/>
      <c r="C19" s="225">
        <f>SUM(C15:C18)</f>
        <v>0</v>
      </c>
      <c r="D19" s="225">
        <f>SUM(D15:D18)</f>
        <v>0</v>
      </c>
      <c r="E19" s="226">
        <f>SUM(E15:E18)</f>
        <v>0</v>
      </c>
    </row>
    <row r="20" spans="1:5" ht="12.75">
      <c r="A20" s="213"/>
      <c r="B20" s="213"/>
      <c r="C20" s="213"/>
      <c r="D20" s="213"/>
      <c r="E20" s="213"/>
    </row>
    <row r="21" spans="1:5" ht="12.75">
      <c r="A21" s="213"/>
      <c r="B21" s="213"/>
      <c r="C21" s="213"/>
      <c r="D21" s="213"/>
      <c r="E21" s="213"/>
    </row>
  </sheetData>
  <sheetProtection/>
  <mergeCells count="2">
    <mergeCell ref="B2:E2"/>
    <mergeCell ref="D3:E3"/>
  </mergeCells>
  <conditionalFormatting sqref="B19:E19 E5:E12 B12:D12 E15:E18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1/2017. (II.07.)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390" customWidth="1"/>
    <col min="2" max="2" width="76.00390625" style="391" customWidth="1"/>
    <col min="3" max="3" width="25.00390625" style="392" customWidth="1"/>
    <col min="4" max="16384" width="9.375" style="3" customWidth="1"/>
  </cols>
  <sheetData>
    <row r="1" spans="1:3" s="2" customFormat="1" ht="16.5" customHeight="1" thickBot="1">
      <c r="A1" s="228"/>
      <c r="B1" s="230"/>
      <c r="C1" s="253" t="s">
        <v>26</v>
      </c>
    </row>
    <row r="2" spans="1:3" s="94" customFormat="1" ht="21" customHeight="1">
      <c r="A2" s="397" t="s">
        <v>587</v>
      </c>
      <c r="B2" s="359" t="s">
        <v>750</v>
      </c>
      <c r="C2" s="361" t="s">
        <v>576</v>
      </c>
    </row>
    <row r="3" spans="1:3" s="94" customFormat="1" ht="16.5" thickBot="1">
      <c r="A3" s="231" t="s">
        <v>725</v>
      </c>
      <c r="B3" s="360" t="s">
        <v>162</v>
      </c>
      <c r="C3" s="362">
        <v>1</v>
      </c>
    </row>
    <row r="4" spans="1:3" s="95" customFormat="1" ht="15.75" customHeight="1" thickBot="1">
      <c r="A4" s="232"/>
      <c r="B4" s="232"/>
      <c r="C4" s="233"/>
    </row>
    <row r="5" spans="1:3" ht="13.5" thickBot="1">
      <c r="A5" s="398" t="s">
        <v>727</v>
      </c>
      <c r="B5" s="234" t="s">
        <v>577</v>
      </c>
      <c r="C5" s="363" t="s">
        <v>578</v>
      </c>
    </row>
    <row r="6" spans="1:3" s="59" customFormat="1" ht="12.75" customHeight="1" thickBot="1">
      <c r="A6" s="201">
        <v>1</v>
      </c>
      <c r="B6" s="202">
        <v>2</v>
      </c>
      <c r="C6" s="203">
        <v>3</v>
      </c>
    </row>
    <row r="7" spans="1:3" s="59" customFormat="1" ht="15.75" customHeight="1" thickBot="1">
      <c r="A7" s="236"/>
      <c r="B7" s="237" t="s">
        <v>579</v>
      </c>
      <c r="C7" s="364"/>
    </row>
    <row r="8" spans="1:3" s="59" customFormat="1" ht="12" customHeight="1" thickBot="1">
      <c r="A8" s="32" t="s">
        <v>542</v>
      </c>
      <c r="B8" s="21" t="s">
        <v>784</v>
      </c>
      <c r="C8" s="298">
        <f>+C9+C10+C11+C12+C13+C14</f>
        <v>393077057</v>
      </c>
    </row>
    <row r="9" spans="1:3" s="96" customFormat="1" ht="12" customHeight="1">
      <c r="A9" s="425" t="s">
        <v>625</v>
      </c>
      <c r="B9" s="407" t="s">
        <v>785</v>
      </c>
      <c r="C9" s="315">
        <v>126761325</v>
      </c>
    </row>
    <row r="10" spans="1:3" s="97" customFormat="1" ht="12" customHeight="1">
      <c r="A10" s="426" t="s">
        <v>626</v>
      </c>
      <c r="B10" s="408" t="s">
        <v>786</v>
      </c>
      <c r="C10" s="300">
        <v>123139166</v>
      </c>
    </row>
    <row r="11" spans="1:3" s="97" customFormat="1" ht="12" customHeight="1">
      <c r="A11" s="426" t="s">
        <v>627</v>
      </c>
      <c r="B11" s="408" t="s">
        <v>787</v>
      </c>
      <c r="C11" s="300">
        <v>136398531</v>
      </c>
    </row>
    <row r="12" spans="1:3" s="97" customFormat="1" ht="12" customHeight="1">
      <c r="A12" s="426" t="s">
        <v>628</v>
      </c>
      <c r="B12" s="408" t="s">
        <v>788</v>
      </c>
      <c r="C12" s="300">
        <v>6271140</v>
      </c>
    </row>
    <row r="13" spans="1:3" s="97" customFormat="1" ht="12" customHeight="1">
      <c r="A13" s="426" t="s">
        <v>670</v>
      </c>
      <c r="B13" s="408" t="s">
        <v>789</v>
      </c>
      <c r="C13" s="818">
        <v>506895</v>
      </c>
    </row>
    <row r="14" spans="1:3" s="96" customFormat="1" ht="12" customHeight="1" thickBot="1">
      <c r="A14" s="427" t="s">
        <v>629</v>
      </c>
      <c r="B14" s="409" t="s">
        <v>790</v>
      </c>
      <c r="C14" s="819"/>
    </row>
    <row r="15" spans="1:3" s="96" customFormat="1" ht="12" customHeight="1" thickBot="1">
      <c r="A15" s="32" t="s">
        <v>543</v>
      </c>
      <c r="B15" s="293" t="s">
        <v>791</v>
      </c>
      <c r="C15" s="298">
        <f>+C16+C17+C18+C19+C20</f>
        <v>10280000</v>
      </c>
    </row>
    <row r="16" spans="1:3" s="96" customFormat="1" ht="12" customHeight="1">
      <c r="A16" s="425" t="s">
        <v>631</v>
      </c>
      <c r="B16" s="407" t="s">
        <v>792</v>
      </c>
      <c r="C16" s="301"/>
    </row>
    <row r="17" spans="1:3" s="96" customFormat="1" ht="12" customHeight="1">
      <c r="A17" s="426" t="s">
        <v>632</v>
      </c>
      <c r="B17" s="408" t="s">
        <v>793</v>
      </c>
      <c r="C17" s="300"/>
    </row>
    <row r="18" spans="1:3" s="96" customFormat="1" ht="12" customHeight="1">
      <c r="A18" s="426" t="s">
        <v>633</v>
      </c>
      <c r="B18" s="408" t="s">
        <v>341</v>
      </c>
      <c r="C18" s="300"/>
    </row>
    <row r="19" spans="1:3" s="96" customFormat="1" ht="12" customHeight="1">
      <c r="A19" s="426" t="s">
        <v>634</v>
      </c>
      <c r="B19" s="913" t="s">
        <v>317</v>
      </c>
      <c r="C19" s="300">
        <v>10280000</v>
      </c>
    </row>
    <row r="20" spans="1:3" s="96" customFormat="1" ht="12" customHeight="1">
      <c r="A20" s="426" t="s">
        <v>635</v>
      </c>
      <c r="B20" s="913" t="s">
        <v>325</v>
      </c>
      <c r="C20" s="300"/>
    </row>
    <row r="21" spans="1:3" s="97" customFormat="1" ht="12" customHeight="1" thickBot="1">
      <c r="A21" s="427" t="s">
        <v>644</v>
      </c>
      <c r="B21" s="409" t="s">
        <v>795</v>
      </c>
      <c r="C21" s="302"/>
    </row>
    <row r="22" spans="1:3" s="97" customFormat="1" ht="12" customHeight="1" thickBot="1">
      <c r="A22" s="32" t="s">
        <v>544</v>
      </c>
      <c r="B22" s="21" t="s">
        <v>796</v>
      </c>
      <c r="C22" s="298">
        <f>+C23+C24+C25+C26+C27</f>
        <v>157449027</v>
      </c>
    </row>
    <row r="23" spans="1:3" s="97" customFormat="1" ht="12" customHeight="1">
      <c r="A23" s="425" t="s">
        <v>614</v>
      </c>
      <c r="B23" s="407" t="s">
        <v>797</v>
      </c>
      <c r="C23" s="301"/>
    </row>
    <row r="24" spans="1:3" s="96" customFormat="1" ht="12" customHeight="1">
      <c r="A24" s="426" t="s">
        <v>615</v>
      </c>
      <c r="B24" s="408" t="s">
        <v>798</v>
      </c>
      <c r="C24" s="300"/>
    </row>
    <row r="25" spans="1:3" s="97" customFormat="1" ht="12" customHeight="1">
      <c r="A25" s="426" t="s">
        <v>616</v>
      </c>
      <c r="B25" s="408" t="s">
        <v>193</v>
      </c>
      <c r="C25" s="300"/>
    </row>
    <row r="26" spans="1:3" s="97" customFormat="1" ht="12" customHeight="1">
      <c r="A26" s="426" t="s">
        <v>617</v>
      </c>
      <c r="B26" s="913" t="s">
        <v>3</v>
      </c>
      <c r="C26" s="300">
        <v>133390721</v>
      </c>
    </row>
    <row r="27" spans="1:3" s="97" customFormat="1" ht="12" customHeight="1">
      <c r="A27" s="426" t="s">
        <v>693</v>
      </c>
      <c r="B27" s="913" t="s">
        <v>4</v>
      </c>
      <c r="C27" s="300">
        <v>24058306</v>
      </c>
    </row>
    <row r="28" spans="1:3" s="97" customFormat="1" ht="12" customHeight="1" thickBot="1">
      <c r="A28" s="427" t="s">
        <v>694</v>
      </c>
      <c r="B28" s="409" t="s">
        <v>800</v>
      </c>
      <c r="C28" s="302"/>
    </row>
    <row r="29" spans="1:3" s="97" customFormat="1" ht="12" customHeight="1" thickBot="1">
      <c r="A29" s="32" t="s">
        <v>695</v>
      </c>
      <c r="B29" s="21" t="s">
        <v>801</v>
      </c>
      <c r="C29" s="304">
        <f>+C30+C33+C34+C36+C35</f>
        <v>145800000</v>
      </c>
    </row>
    <row r="30" spans="1:3" s="97" customFormat="1" ht="12" customHeight="1">
      <c r="A30" s="425" t="s">
        <v>802</v>
      </c>
      <c r="B30" s="407" t="s">
        <v>808</v>
      </c>
      <c r="C30" s="402">
        <v>125800000</v>
      </c>
    </row>
    <row r="31" spans="1:3" s="97" customFormat="1" ht="12" customHeight="1">
      <c r="A31" s="426" t="s">
        <v>803</v>
      </c>
      <c r="B31" s="644" t="s">
        <v>318</v>
      </c>
      <c r="C31" s="300">
        <v>5800000</v>
      </c>
    </row>
    <row r="32" spans="1:3" s="97" customFormat="1" ht="12" customHeight="1">
      <c r="A32" s="426" t="s">
        <v>804</v>
      </c>
      <c r="B32" s="644" t="s">
        <v>323</v>
      </c>
      <c r="C32" s="300">
        <v>120000000</v>
      </c>
    </row>
    <row r="33" spans="1:3" s="97" customFormat="1" ht="12" customHeight="1">
      <c r="A33" s="426" t="s">
        <v>805</v>
      </c>
      <c r="B33" s="408" t="s">
        <v>811</v>
      </c>
      <c r="C33" s="300">
        <v>18000000</v>
      </c>
    </row>
    <row r="34" spans="1:3" s="97" customFormat="1" ht="12" customHeight="1">
      <c r="A34" s="426" t="s">
        <v>806</v>
      </c>
      <c r="B34" s="408" t="s">
        <v>319</v>
      </c>
      <c r="C34" s="300">
        <v>300000</v>
      </c>
    </row>
    <row r="35" spans="1:3" s="97" customFormat="1" ht="12" customHeight="1">
      <c r="A35" s="426" t="s">
        <v>807</v>
      </c>
      <c r="B35" s="409" t="s">
        <v>322</v>
      </c>
      <c r="C35" s="302">
        <v>900000</v>
      </c>
    </row>
    <row r="36" spans="1:3" s="97" customFormat="1" ht="12" customHeight="1" thickBot="1">
      <c r="A36" s="426" t="s">
        <v>320</v>
      </c>
      <c r="B36" s="409" t="s">
        <v>321</v>
      </c>
      <c r="C36" s="302">
        <v>800000</v>
      </c>
    </row>
    <row r="37" spans="1:3" s="97" customFormat="1" ht="12" customHeight="1" thickBot="1">
      <c r="A37" s="32" t="s">
        <v>546</v>
      </c>
      <c r="B37" s="21" t="s">
        <v>814</v>
      </c>
      <c r="C37" s="298">
        <f>SUM(C38:C47)</f>
        <v>32030000</v>
      </c>
    </row>
    <row r="38" spans="1:3" s="97" customFormat="1" ht="12" customHeight="1">
      <c r="A38" s="425" t="s">
        <v>618</v>
      </c>
      <c r="B38" s="407" t="s">
        <v>817</v>
      </c>
      <c r="C38" s="301"/>
    </row>
    <row r="39" spans="1:3" s="97" customFormat="1" ht="12" customHeight="1">
      <c r="A39" s="426" t="s">
        <v>619</v>
      </c>
      <c r="B39" s="408" t="s">
        <v>818</v>
      </c>
      <c r="C39" s="300">
        <v>6800000</v>
      </c>
    </row>
    <row r="40" spans="1:3" s="97" customFormat="1" ht="12" customHeight="1">
      <c r="A40" s="426" t="s">
        <v>620</v>
      </c>
      <c r="B40" s="408" t="s">
        <v>819</v>
      </c>
      <c r="C40" s="300">
        <v>300000</v>
      </c>
    </row>
    <row r="41" spans="1:3" s="97" customFormat="1" ht="12" customHeight="1">
      <c r="A41" s="426" t="s">
        <v>697</v>
      </c>
      <c r="B41" s="408" t="s">
        <v>820</v>
      </c>
      <c r="C41" s="300">
        <v>3200000</v>
      </c>
    </row>
    <row r="42" spans="1:3" s="97" customFormat="1" ht="12" customHeight="1">
      <c r="A42" s="426" t="s">
        <v>698</v>
      </c>
      <c r="B42" s="408" t="s">
        <v>821</v>
      </c>
      <c r="C42" s="300">
        <v>8150000</v>
      </c>
    </row>
    <row r="43" spans="1:3" s="97" customFormat="1" ht="12" customHeight="1">
      <c r="A43" s="426" t="s">
        <v>699</v>
      </c>
      <c r="B43" s="408" t="s">
        <v>822</v>
      </c>
      <c r="C43" s="300">
        <v>3280000</v>
      </c>
    </row>
    <row r="44" spans="1:3" s="97" customFormat="1" ht="12" customHeight="1">
      <c r="A44" s="426" t="s">
        <v>700</v>
      </c>
      <c r="B44" s="408" t="s">
        <v>823</v>
      </c>
      <c r="C44" s="300">
        <v>9300000</v>
      </c>
    </row>
    <row r="45" spans="1:3" s="97" customFormat="1" ht="12" customHeight="1">
      <c r="A45" s="426" t="s">
        <v>701</v>
      </c>
      <c r="B45" s="408" t="s">
        <v>824</v>
      </c>
      <c r="C45" s="300">
        <v>1000000</v>
      </c>
    </row>
    <row r="46" spans="1:3" s="97" customFormat="1" ht="12" customHeight="1">
      <c r="A46" s="426" t="s">
        <v>815</v>
      </c>
      <c r="B46" s="408" t="s">
        <v>825</v>
      </c>
      <c r="C46" s="303"/>
    </row>
    <row r="47" spans="1:3" s="97" customFormat="1" ht="12" customHeight="1" thickBot="1">
      <c r="A47" s="427" t="s">
        <v>816</v>
      </c>
      <c r="B47" s="409" t="s">
        <v>826</v>
      </c>
      <c r="C47" s="396"/>
    </row>
    <row r="48" spans="1:3" s="97" customFormat="1" ht="12" customHeight="1" thickBot="1">
      <c r="A48" s="32" t="s">
        <v>547</v>
      </c>
      <c r="B48" s="21" t="s">
        <v>827</v>
      </c>
      <c r="C48" s="298">
        <f>SUM(C49:C53)</f>
        <v>0</v>
      </c>
    </row>
    <row r="49" spans="1:3" s="97" customFormat="1" ht="12" customHeight="1">
      <c r="A49" s="425" t="s">
        <v>621</v>
      </c>
      <c r="B49" s="407" t="s">
        <v>831</v>
      </c>
      <c r="C49" s="451"/>
    </row>
    <row r="50" spans="1:3" s="97" customFormat="1" ht="12" customHeight="1">
      <c r="A50" s="426" t="s">
        <v>622</v>
      </c>
      <c r="B50" s="408" t="s">
        <v>832</v>
      </c>
      <c r="C50" s="303"/>
    </row>
    <row r="51" spans="1:3" s="97" customFormat="1" ht="12" customHeight="1">
      <c r="A51" s="426" t="s">
        <v>828</v>
      </c>
      <c r="B51" s="408" t="s">
        <v>833</v>
      </c>
      <c r="C51" s="303"/>
    </row>
    <row r="52" spans="1:3" s="97" customFormat="1" ht="12" customHeight="1">
      <c r="A52" s="426" t="s">
        <v>829</v>
      </c>
      <c r="B52" s="408" t="s">
        <v>834</v>
      </c>
      <c r="C52" s="303"/>
    </row>
    <row r="53" spans="1:3" s="97" customFormat="1" ht="12" customHeight="1" thickBot="1">
      <c r="A53" s="427" t="s">
        <v>830</v>
      </c>
      <c r="B53" s="409" t="s">
        <v>835</v>
      </c>
      <c r="C53" s="396"/>
    </row>
    <row r="54" spans="1:3" s="97" customFormat="1" ht="12" customHeight="1" thickBot="1">
      <c r="A54" s="32" t="s">
        <v>702</v>
      </c>
      <c r="B54" s="21" t="s">
        <v>836</v>
      </c>
      <c r="C54" s="298">
        <f>SUM(C55:C57)</f>
        <v>0</v>
      </c>
    </row>
    <row r="55" spans="1:3" s="97" customFormat="1" ht="12" customHeight="1">
      <c r="A55" s="425" t="s">
        <v>623</v>
      </c>
      <c r="B55" s="407" t="s">
        <v>837</v>
      </c>
      <c r="C55" s="301"/>
    </row>
    <row r="56" spans="1:3" s="97" customFormat="1" ht="12" customHeight="1">
      <c r="A56" s="426" t="s">
        <v>624</v>
      </c>
      <c r="B56" s="408" t="s">
        <v>340</v>
      </c>
      <c r="C56" s="300"/>
    </row>
    <row r="57" spans="1:3" s="97" customFormat="1" ht="12" customHeight="1">
      <c r="A57" s="426" t="s">
        <v>840</v>
      </c>
      <c r="B57" s="408" t="s">
        <v>342</v>
      </c>
      <c r="C57" s="300"/>
    </row>
    <row r="58" spans="1:3" s="97" customFormat="1" ht="12" customHeight="1" thickBot="1">
      <c r="A58" s="427" t="s">
        <v>841</v>
      </c>
      <c r="B58" s="409" t="s">
        <v>839</v>
      </c>
      <c r="C58" s="302"/>
    </row>
    <row r="59" spans="1:3" s="97" customFormat="1" ht="12" customHeight="1" thickBot="1">
      <c r="A59" s="32" t="s">
        <v>549</v>
      </c>
      <c r="B59" s="293" t="s">
        <v>842</v>
      </c>
      <c r="C59" s="298">
        <f>SUM(C60:C62)</f>
        <v>0</v>
      </c>
    </row>
    <row r="60" spans="1:3" s="97" customFormat="1" ht="12" customHeight="1">
      <c r="A60" s="425" t="s">
        <v>703</v>
      </c>
      <c r="B60" s="407" t="s">
        <v>844</v>
      </c>
      <c r="C60" s="303"/>
    </row>
    <row r="61" spans="1:3" s="97" customFormat="1" ht="12" customHeight="1">
      <c r="A61" s="426" t="s">
        <v>704</v>
      </c>
      <c r="B61" s="408" t="s">
        <v>196</v>
      </c>
      <c r="C61" s="303"/>
    </row>
    <row r="62" spans="1:3" s="97" customFormat="1" ht="12" customHeight="1">
      <c r="A62" s="426" t="s">
        <v>756</v>
      </c>
      <c r="B62" s="408" t="s">
        <v>343</v>
      </c>
      <c r="C62" s="303"/>
    </row>
    <row r="63" spans="1:3" s="97" customFormat="1" ht="12" customHeight="1" thickBot="1">
      <c r="A63" s="427" t="s">
        <v>843</v>
      </c>
      <c r="B63" s="409" t="s">
        <v>846</v>
      </c>
      <c r="C63" s="303"/>
    </row>
    <row r="64" spans="1:3" s="97" customFormat="1" ht="12" customHeight="1" thickBot="1">
      <c r="A64" s="32" t="s">
        <v>550</v>
      </c>
      <c r="B64" s="21" t="s">
        <v>847</v>
      </c>
      <c r="C64" s="304">
        <f>+C8+C15+C22+C29+C37+C48+C54+C59</f>
        <v>738636084</v>
      </c>
    </row>
    <row r="65" spans="1:3" s="97" customFormat="1" ht="12" customHeight="1" thickBot="1">
      <c r="A65" s="428" t="s">
        <v>157</v>
      </c>
      <c r="B65" s="293" t="s">
        <v>849</v>
      </c>
      <c r="C65" s="298">
        <f>SUM(C66:C68)</f>
        <v>0</v>
      </c>
    </row>
    <row r="66" spans="1:3" s="97" customFormat="1" ht="12" customHeight="1">
      <c r="A66" s="425" t="s">
        <v>54</v>
      </c>
      <c r="B66" s="407" t="s">
        <v>850</v>
      </c>
      <c r="C66" s="303"/>
    </row>
    <row r="67" spans="1:3" s="97" customFormat="1" ht="12" customHeight="1">
      <c r="A67" s="426" t="s">
        <v>63</v>
      </c>
      <c r="B67" s="408" t="s">
        <v>851</v>
      </c>
      <c r="C67" s="303"/>
    </row>
    <row r="68" spans="1:3" s="97" customFormat="1" ht="12" customHeight="1" thickBot="1">
      <c r="A68" s="427" t="s">
        <v>64</v>
      </c>
      <c r="B68" s="411" t="s">
        <v>852</v>
      </c>
      <c r="C68" s="303"/>
    </row>
    <row r="69" spans="1:3" s="97" customFormat="1" ht="12" customHeight="1" thickBot="1">
      <c r="A69" s="428" t="s">
        <v>853</v>
      </c>
      <c r="B69" s="293" t="s">
        <v>854</v>
      </c>
      <c r="C69" s="298">
        <f>SUM(C70:C73)</f>
        <v>0</v>
      </c>
    </row>
    <row r="70" spans="1:3" s="97" customFormat="1" ht="12" customHeight="1">
      <c r="A70" s="425" t="s">
        <v>671</v>
      </c>
      <c r="B70" s="407" t="s">
        <v>855</v>
      </c>
      <c r="C70" s="303"/>
    </row>
    <row r="71" spans="1:3" s="97" customFormat="1" ht="12" customHeight="1">
      <c r="A71" s="426" t="s">
        <v>672</v>
      </c>
      <c r="B71" s="408" t="s">
        <v>856</v>
      </c>
      <c r="C71" s="303"/>
    </row>
    <row r="72" spans="1:3" s="97" customFormat="1" ht="12" customHeight="1">
      <c r="A72" s="426" t="s">
        <v>55</v>
      </c>
      <c r="B72" s="408" t="s">
        <v>857</v>
      </c>
      <c r="C72" s="303"/>
    </row>
    <row r="73" spans="1:3" s="97" customFormat="1" ht="12" customHeight="1" thickBot="1">
      <c r="A73" s="427" t="s">
        <v>56</v>
      </c>
      <c r="B73" s="409" t="s">
        <v>858</v>
      </c>
      <c r="C73" s="303"/>
    </row>
    <row r="74" spans="1:3" s="97" customFormat="1" ht="12" customHeight="1" thickBot="1">
      <c r="A74" s="428" t="s">
        <v>859</v>
      </c>
      <c r="B74" s="293" t="s">
        <v>860</v>
      </c>
      <c r="C74" s="298">
        <f>SUM(C75:C76)</f>
        <v>199880000</v>
      </c>
    </row>
    <row r="75" spans="1:3" s="97" customFormat="1" ht="12" customHeight="1">
      <c r="A75" s="425" t="s">
        <v>57</v>
      </c>
      <c r="B75" s="407" t="s">
        <v>346</v>
      </c>
      <c r="C75" s="303">
        <v>199880000</v>
      </c>
    </row>
    <row r="76" spans="1:3" s="97" customFormat="1" ht="12" customHeight="1" thickBot="1">
      <c r="A76" s="427" t="s">
        <v>58</v>
      </c>
      <c r="B76" s="409" t="s">
        <v>862</v>
      </c>
      <c r="C76" s="303"/>
    </row>
    <row r="77" spans="1:3" s="96" customFormat="1" ht="12" customHeight="1" thickBot="1">
      <c r="A77" s="428" t="s">
        <v>863</v>
      </c>
      <c r="B77" s="293" t="s">
        <v>864</v>
      </c>
      <c r="C77" s="298">
        <f>SUM(C78:C80)</f>
        <v>0</v>
      </c>
    </row>
    <row r="78" spans="1:3" s="97" customFormat="1" ht="12" customHeight="1">
      <c r="A78" s="425" t="s">
        <v>59</v>
      </c>
      <c r="B78" s="407" t="s">
        <v>865</v>
      </c>
      <c r="C78" s="303"/>
    </row>
    <row r="79" spans="1:3" s="97" customFormat="1" ht="12" customHeight="1">
      <c r="A79" s="426" t="s">
        <v>60</v>
      </c>
      <c r="B79" s="408" t="s">
        <v>866</v>
      </c>
      <c r="C79" s="303"/>
    </row>
    <row r="80" spans="1:3" s="97" customFormat="1" ht="12" customHeight="1" thickBot="1">
      <c r="A80" s="427" t="s">
        <v>61</v>
      </c>
      <c r="B80" s="409" t="s">
        <v>867</v>
      </c>
      <c r="C80" s="303"/>
    </row>
    <row r="81" spans="1:3" s="97" customFormat="1" ht="12" customHeight="1" thickBot="1">
      <c r="A81" s="428" t="s">
        <v>868</v>
      </c>
      <c r="B81" s="293" t="s">
        <v>62</v>
      </c>
      <c r="C81" s="298">
        <f>SUM(C82:C85)</f>
        <v>295000000</v>
      </c>
    </row>
    <row r="82" spans="1:3" s="97" customFormat="1" ht="12" customHeight="1">
      <c r="A82" s="429" t="s">
        <v>869</v>
      </c>
      <c r="B82" s="407" t="s">
        <v>42</v>
      </c>
      <c r="C82" s="303">
        <v>295000000</v>
      </c>
    </row>
    <row r="83" spans="1:3" s="97" customFormat="1" ht="12" customHeight="1">
      <c r="A83" s="430" t="s">
        <v>43</v>
      </c>
      <c r="B83" s="408" t="s">
        <v>44</v>
      </c>
      <c r="C83" s="303"/>
    </row>
    <row r="84" spans="1:3" s="97" customFormat="1" ht="12" customHeight="1">
      <c r="A84" s="430" t="s">
        <v>45</v>
      </c>
      <c r="B84" s="408" t="s">
        <v>46</v>
      </c>
      <c r="C84" s="303"/>
    </row>
    <row r="85" spans="1:3" s="96" customFormat="1" ht="12" customHeight="1" thickBot="1">
      <c r="A85" s="431" t="s">
        <v>47</v>
      </c>
      <c r="B85" s="409" t="s">
        <v>48</v>
      </c>
      <c r="C85" s="303"/>
    </row>
    <row r="86" spans="1:3" s="96" customFormat="1" ht="12" customHeight="1" thickBot="1">
      <c r="A86" s="428" t="s">
        <v>49</v>
      </c>
      <c r="B86" s="293" t="s">
        <v>50</v>
      </c>
      <c r="C86" s="452"/>
    </row>
    <row r="87" spans="1:3" s="96" customFormat="1" ht="12" customHeight="1" thickBot="1">
      <c r="A87" s="428" t="s">
        <v>51</v>
      </c>
      <c r="B87" s="415" t="s">
        <v>52</v>
      </c>
      <c r="C87" s="304">
        <f>+C65+C69+C74+C77+C81+C86</f>
        <v>494880000</v>
      </c>
    </row>
    <row r="88" spans="1:3" s="96" customFormat="1" ht="12" customHeight="1" thickBot="1">
      <c r="A88" s="432" t="s">
        <v>65</v>
      </c>
      <c r="B88" s="417" t="s">
        <v>184</v>
      </c>
      <c r="C88" s="304">
        <f>+C64+C87</f>
        <v>1233516084</v>
      </c>
    </row>
    <row r="89" spans="1:3" s="97" customFormat="1" ht="15" customHeight="1">
      <c r="A89" s="242"/>
      <c r="B89" s="243"/>
      <c r="C89" s="369"/>
    </row>
    <row r="90" spans="1:3" ht="13.5" thickBot="1">
      <c r="A90" s="433"/>
      <c r="B90" s="245"/>
      <c r="C90" s="370"/>
    </row>
    <row r="91" spans="1:3" s="59" customFormat="1" ht="16.5" customHeight="1" thickBot="1">
      <c r="A91" s="246"/>
      <c r="B91" s="247" t="s">
        <v>581</v>
      </c>
      <c r="C91" s="371"/>
    </row>
    <row r="92" spans="1:3" s="98" customFormat="1" ht="12" customHeight="1" thickBot="1">
      <c r="A92" s="399" t="s">
        <v>542</v>
      </c>
      <c r="B92" s="31" t="s">
        <v>68</v>
      </c>
      <c r="C92" s="297">
        <f>SUM(C93:C97)</f>
        <v>337871192</v>
      </c>
    </row>
    <row r="93" spans="1:3" ht="12" customHeight="1">
      <c r="A93" s="434" t="s">
        <v>625</v>
      </c>
      <c r="B93" s="10" t="s">
        <v>572</v>
      </c>
      <c r="C93" s="299">
        <v>39848800</v>
      </c>
    </row>
    <row r="94" spans="1:3" ht="12" customHeight="1">
      <c r="A94" s="426" t="s">
        <v>626</v>
      </c>
      <c r="B94" s="8" t="s">
        <v>705</v>
      </c>
      <c r="C94" s="300">
        <v>8963751</v>
      </c>
    </row>
    <row r="95" spans="1:3" ht="12" customHeight="1">
      <c r="A95" s="426" t="s">
        <v>627</v>
      </c>
      <c r="B95" s="8" t="s">
        <v>404</v>
      </c>
      <c r="C95" s="302">
        <v>135305000</v>
      </c>
    </row>
    <row r="96" spans="1:3" ht="12" customHeight="1">
      <c r="A96" s="426" t="s">
        <v>628</v>
      </c>
      <c r="B96" s="11" t="s">
        <v>706</v>
      </c>
      <c r="C96" s="302">
        <v>9611000</v>
      </c>
    </row>
    <row r="97" spans="1:3" ht="12" customHeight="1">
      <c r="A97" s="426" t="s">
        <v>639</v>
      </c>
      <c r="B97" s="19" t="s">
        <v>707</v>
      </c>
      <c r="C97" s="302">
        <f>C102+C98+C103+C107</f>
        <v>144142641</v>
      </c>
    </row>
    <row r="98" spans="1:3" ht="12" customHeight="1">
      <c r="A98" s="426" t="s">
        <v>629</v>
      </c>
      <c r="B98" s="8" t="s">
        <v>69</v>
      </c>
      <c r="C98" s="302"/>
    </row>
    <row r="99" spans="1:3" ht="12" customHeight="1">
      <c r="A99" s="426" t="s">
        <v>630</v>
      </c>
      <c r="B99" s="141" t="s">
        <v>70</v>
      </c>
      <c r="C99" s="302"/>
    </row>
    <row r="100" spans="1:3" ht="12" customHeight="1">
      <c r="A100" s="426" t="s">
        <v>640</v>
      </c>
      <c r="B100" s="142" t="s">
        <v>71</v>
      </c>
      <c r="C100" s="302"/>
    </row>
    <row r="101" spans="1:3" ht="12" customHeight="1">
      <c r="A101" s="426" t="s">
        <v>641</v>
      </c>
      <c r="B101" s="142" t="s">
        <v>72</v>
      </c>
      <c r="C101" s="302"/>
    </row>
    <row r="102" spans="1:3" ht="12" customHeight="1">
      <c r="A102" s="426" t="s">
        <v>642</v>
      </c>
      <c r="B102" s="141" t="s">
        <v>405</v>
      </c>
      <c r="C102" s="302">
        <v>138942641</v>
      </c>
    </row>
    <row r="103" spans="1:3" ht="12" customHeight="1">
      <c r="A103" s="426" t="s">
        <v>643</v>
      </c>
      <c r="B103" s="141" t="s">
        <v>406</v>
      </c>
      <c r="C103" s="302">
        <v>2000000</v>
      </c>
    </row>
    <row r="104" spans="1:3" ht="12" customHeight="1">
      <c r="A104" s="426" t="s">
        <v>645</v>
      </c>
      <c r="B104" s="142" t="s">
        <v>75</v>
      </c>
      <c r="C104" s="302"/>
    </row>
    <row r="105" spans="1:3" ht="12.75">
      <c r="A105" s="435" t="s">
        <v>708</v>
      </c>
      <c r="B105" s="143" t="s">
        <v>76</v>
      </c>
      <c r="C105" s="302"/>
    </row>
    <row r="106" spans="1:3" ht="22.5">
      <c r="A106" s="426" t="s">
        <v>66</v>
      </c>
      <c r="B106" s="142" t="s">
        <v>371</v>
      </c>
      <c r="C106" s="302"/>
    </row>
    <row r="107" spans="1:3" ht="23.25" thickBot="1">
      <c r="A107" s="436" t="s">
        <v>67</v>
      </c>
      <c r="B107" s="678" t="s">
        <v>407</v>
      </c>
      <c r="C107" s="306">
        <v>3200000</v>
      </c>
    </row>
    <row r="108" spans="1:3" ht="12" customHeight="1" thickBot="1">
      <c r="A108" s="32" t="s">
        <v>543</v>
      </c>
      <c r="B108" s="30" t="s">
        <v>79</v>
      </c>
      <c r="C108" s="298">
        <f>+C109+C111+C113</f>
        <v>321411285</v>
      </c>
    </row>
    <row r="109" spans="1:3" ht="12" customHeight="1">
      <c r="A109" s="425" t="s">
        <v>631</v>
      </c>
      <c r="B109" s="8" t="s">
        <v>754</v>
      </c>
      <c r="C109" s="301">
        <v>140411285</v>
      </c>
    </row>
    <row r="110" spans="1:3" ht="12" customHeight="1">
      <c r="A110" s="425" t="s">
        <v>632</v>
      </c>
      <c r="B110" s="12" t="s">
        <v>83</v>
      </c>
      <c r="C110" s="301"/>
    </row>
    <row r="111" spans="1:3" ht="12" customHeight="1">
      <c r="A111" s="425" t="s">
        <v>633</v>
      </c>
      <c r="B111" s="12" t="s">
        <v>709</v>
      </c>
      <c r="C111" s="300">
        <v>181000000</v>
      </c>
    </row>
    <row r="112" spans="1:3" ht="12" customHeight="1">
      <c r="A112" s="425" t="s">
        <v>634</v>
      </c>
      <c r="B112" s="12" t="s">
        <v>84</v>
      </c>
      <c r="C112" s="271"/>
    </row>
    <row r="113" spans="1:3" ht="12" customHeight="1">
      <c r="A113" s="425" t="s">
        <v>635</v>
      </c>
      <c r="B113" s="295" t="s">
        <v>757</v>
      </c>
      <c r="C113" s="271"/>
    </row>
    <row r="114" spans="1:3" ht="12" customHeight="1">
      <c r="A114" s="425" t="s">
        <v>644</v>
      </c>
      <c r="B114" s="294" t="s">
        <v>197</v>
      </c>
      <c r="C114" s="271"/>
    </row>
    <row r="115" spans="1:3" ht="12" customHeight="1">
      <c r="A115" s="425" t="s">
        <v>646</v>
      </c>
      <c r="B115" s="403" t="s">
        <v>89</v>
      </c>
      <c r="C115" s="271"/>
    </row>
    <row r="116" spans="1:3" ht="12" customHeight="1">
      <c r="A116" s="425" t="s">
        <v>710</v>
      </c>
      <c r="B116" s="728" t="s">
        <v>391</v>
      </c>
      <c r="C116" s="271"/>
    </row>
    <row r="117" spans="1:3" ht="18.75" customHeight="1">
      <c r="A117" s="425" t="s">
        <v>711</v>
      </c>
      <c r="B117" s="977" t="s">
        <v>392</v>
      </c>
      <c r="C117" s="271"/>
    </row>
    <row r="118" spans="1:3" ht="12" customHeight="1">
      <c r="A118" s="425" t="s">
        <v>712</v>
      </c>
      <c r="B118" s="142" t="s">
        <v>87</v>
      </c>
      <c r="C118" s="271"/>
    </row>
    <row r="119" spans="1:3" ht="12" customHeight="1">
      <c r="A119" s="425" t="s">
        <v>80</v>
      </c>
      <c r="B119" s="142" t="s">
        <v>75</v>
      </c>
      <c r="C119" s="271"/>
    </row>
    <row r="120" spans="1:3" ht="12" customHeight="1">
      <c r="A120" s="425" t="s">
        <v>81</v>
      </c>
      <c r="B120" s="142" t="s">
        <v>86</v>
      </c>
      <c r="C120" s="271"/>
    </row>
    <row r="121" spans="1:3" ht="12" customHeight="1" thickBot="1">
      <c r="A121" s="435" t="s">
        <v>82</v>
      </c>
      <c r="B121" s="142" t="s">
        <v>85</v>
      </c>
      <c r="C121" s="272"/>
    </row>
    <row r="122" spans="1:3" ht="12" customHeight="1" thickBot="1">
      <c r="A122" s="32" t="s">
        <v>544</v>
      </c>
      <c r="B122" s="124" t="s">
        <v>90</v>
      </c>
      <c r="C122" s="298">
        <f>+C123+C124</f>
        <v>369260504</v>
      </c>
    </row>
    <row r="123" spans="1:3" ht="12" customHeight="1">
      <c r="A123" s="425" t="s">
        <v>614</v>
      </c>
      <c r="B123" s="9" t="s">
        <v>409</v>
      </c>
      <c r="C123" s="301">
        <v>38342762</v>
      </c>
    </row>
    <row r="124" spans="1:3" ht="12" customHeight="1" thickBot="1">
      <c r="A124" s="427" t="s">
        <v>615</v>
      </c>
      <c r="B124" s="12" t="s">
        <v>410</v>
      </c>
      <c r="C124" s="302">
        <v>330917742</v>
      </c>
    </row>
    <row r="125" spans="1:3" ht="12" customHeight="1" thickBot="1">
      <c r="A125" s="32" t="s">
        <v>545</v>
      </c>
      <c r="B125" s="124" t="s">
        <v>91</v>
      </c>
      <c r="C125" s="298">
        <f>+C92+C108+C122</f>
        <v>1028542981</v>
      </c>
    </row>
    <row r="126" spans="1:3" ht="12" customHeight="1" thickBot="1">
      <c r="A126" s="32" t="s">
        <v>546</v>
      </c>
      <c r="B126" s="124" t="s">
        <v>92</v>
      </c>
      <c r="C126" s="298">
        <f>+C127+C128+C129</f>
        <v>0</v>
      </c>
    </row>
    <row r="127" spans="1:3" s="98" customFormat="1" ht="12" customHeight="1">
      <c r="A127" s="425" t="s">
        <v>618</v>
      </c>
      <c r="B127" s="9" t="s">
        <v>93</v>
      </c>
      <c r="C127" s="271"/>
    </row>
    <row r="128" spans="1:3" ht="12" customHeight="1">
      <c r="A128" s="425" t="s">
        <v>619</v>
      </c>
      <c r="B128" s="9" t="s">
        <v>94</v>
      </c>
      <c r="C128" s="271"/>
    </row>
    <row r="129" spans="1:3" ht="12" customHeight="1" thickBot="1">
      <c r="A129" s="435" t="s">
        <v>620</v>
      </c>
      <c r="B129" s="7" t="s">
        <v>95</v>
      </c>
      <c r="C129" s="271"/>
    </row>
    <row r="130" spans="1:3" ht="12" customHeight="1" thickBot="1">
      <c r="A130" s="32" t="s">
        <v>547</v>
      </c>
      <c r="B130" s="124" t="s">
        <v>156</v>
      </c>
      <c r="C130" s="298">
        <f>+C131+C132+C133+C134</f>
        <v>0</v>
      </c>
    </row>
    <row r="131" spans="1:3" ht="12" customHeight="1">
      <c r="A131" s="425" t="s">
        <v>621</v>
      </c>
      <c r="B131" s="9" t="s">
        <v>96</v>
      </c>
      <c r="C131" s="271"/>
    </row>
    <row r="132" spans="1:3" ht="12" customHeight="1">
      <c r="A132" s="425" t="s">
        <v>622</v>
      </c>
      <c r="B132" s="9" t="s">
        <v>97</v>
      </c>
      <c r="C132" s="271"/>
    </row>
    <row r="133" spans="1:3" ht="12" customHeight="1">
      <c r="A133" s="425" t="s">
        <v>828</v>
      </c>
      <c r="B133" s="9" t="s">
        <v>98</v>
      </c>
      <c r="C133" s="271"/>
    </row>
    <row r="134" spans="1:3" s="98" customFormat="1" ht="12" customHeight="1" thickBot="1">
      <c r="A134" s="435" t="s">
        <v>829</v>
      </c>
      <c r="B134" s="7" t="s">
        <v>99</v>
      </c>
      <c r="C134" s="271"/>
    </row>
    <row r="135" spans="1:11" ht="12" customHeight="1" thickBot="1">
      <c r="A135" s="32" t="s">
        <v>548</v>
      </c>
      <c r="B135" s="124" t="s">
        <v>100</v>
      </c>
      <c r="C135" s="304">
        <f>+C136+C137+C138+C139</f>
        <v>204973103</v>
      </c>
      <c r="K135" s="254"/>
    </row>
    <row r="136" spans="1:3" ht="12.75">
      <c r="A136" s="425" t="s">
        <v>623</v>
      </c>
      <c r="B136" s="9" t="s">
        <v>101</v>
      </c>
      <c r="C136" s="271"/>
    </row>
    <row r="137" spans="1:3" ht="12" customHeight="1">
      <c r="A137" s="425" t="s">
        <v>624</v>
      </c>
      <c r="B137" s="9" t="s">
        <v>111</v>
      </c>
      <c r="C137" s="271"/>
    </row>
    <row r="138" spans="1:3" s="98" customFormat="1" ht="12" customHeight="1">
      <c r="A138" s="425" t="s">
        <v>840</v>
      </c>
      <c r="B138" s="9" t="s">
        <v>408</v>
      </c>
      <c r="C138" s="271">
        <v>204973103</v>
      </c>
    </row>
    <row r="139" spans="1:3" s="98" customFormat="1" ht="12" customHeight="1" thickBot="1">
      <c r="A139" s="435" t="s">
        <v>841</v>
      </c>
      <c r="B139" s="7" t="s">
        <v>103</v>
      </c>
      <c r="C139" s="271"/>
    </row>
    <row r="140" spans="1:3" s="98" customFormat="1" ht="12" customHeight="1" thickBot="1">
      <c r="A140" s="32" t="s">
        <v>549</v>
      </c>
      <c r="B140" s="124" t="s">
        <v>104</v>
      </c>
      <c r="C140" s="307">
        <f>+C141+C142+C143+C144</f>
        <v>0</v>
      </c>
    </row>
    <row r="141" spans="1:3" s="98" customFormat="1" ht="12" customHeight="1">
      <c r="A141" s="425" t="s">
        <v>703</v>
      </c>
      <c r="B141" s="9" t="s">
        <v>105</v>
      </c>
      <c r="C141" s="271"/>
    </row>
    <row r="142" spans="1:3" s="98" customFormat="1" ht="12" customHeight="1">
      <c r="A142" s="425" t="s">
        <v>704</v>
      </c>
      <c r="B142" s="9" t="s">
        <v>106</v>
      </c>
      <c r="C142" s="271"/>
    </row>
    <row r="143" spans="1:3" s="98" customFormat="1" ht="12" customHeight="1">
      <c r="A143" s="425" t="s">
        <v>756</v>
      </c>
      <c r="B143" s="9" t="s">
        <v>107</v>
      </c>
      <c r="C143" s="271"/>
    </row>
    <row r="144" spans="1:3" ht="12.75" customHeight="1" thickBot="1">
      <c r="A144" s="425" t="s">
        <v>843</v>
      </c>
      <c r="B144" s="9" t="s">
        <v>108</v>
      </c>
      <c r="C144" s="271"/>
    </row>
    <row r="145" spans="1:3" ht="12" customHeight="1" thickBot="1">
      <c r="A145" s="32" t="s">
        <v>550</v>
      </c>
      <c r="B145" s="124" t="s">
        <v>109</v>
      </c>
      <c r="C145" s="419">
        <f>+C126+C130+C135+C140</f>
        <v>204973103</v>
      </c>
    </row>
    <row r="146" spans="1:3" ht="15" customHeight="1" thickBot="1">
      <c r="A146" s="437" t="s">
        <v>551</v>
      </c>
      <c r="B146" s="380" t="s">
        <v>110</v>
      </c>
      <c r="C146" s="419">
        <f>+C125+C145</f>
        <v>1233516084</v>
      </c>
    </row>
    <row r="147" spans="1:3" ht="13.5" thickBot="1">
      <c r="A147" s="387"/>
      <c r="B147" s="388"/>
      <c r="C147" s="389"/>
    </row>
    <row r="148" spans="1:3" ht="15" customHeight="1" thickBot="1">
      <c r="A148" s="251" t="s">
        <v>728</v>
      </c>
      <c r="B148" s="252"/>
      <c r="C148" s="121">
        <v>17</v>
      </c>
    </row>
    <row r="149" spans="1:3" ht="14.25" customHeight="1" thickBot="1">
      <c r="A149" s="251" t="s">
        <v>729</v>
      </c>
      <c r="B149" s="252"/>
      <c r="C149" s="121">
        <v>15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="85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390" customWidth="1"/>
    <col min="2" max="2" width="72.00390625" style="391" customWidth="1"/>
    <col min="3" max="3" width="25.00390625" style="392" customWidth="1"/>
    <col min="4" max="16384" width="9.375" style="3" customWidth="1"/>
  </cols>
  <sheetData>
    <row r="1" spans="1:3" s="2" customFormat="1" ht="16.5" customHeight="1" thickBot="1">
      <c r="A1" s="228"/>
      <c r="B1" s="230"/>
      <c r="C1" s="253" t="s">
        <v>27</v>
      </c>
    </row>
    <row r="2" spans="1:3" s="94" customFormat="1" ht="21" customHeight="1">
      <c r="A2" s="397" t="s">
        <v>587</v>
      </c>
      <c r="B2" s="359" t="s">
        <v>750</v>
      </c>
      <c r="C2" s="361" t="s">
        <v>576</v>
      </c>
    </row>
    <row r="3" spans="1:3" s="94" customFormat="1" ht="16.5" thickBot="1">
      <c r="A3" s="231" t="s">
        <v>725</v>
      </c>
      <c r="B3" s="360" t="s">
        <v>198</v>
      </c>
      <c r="C3" s="362">
        <v>2</v>
      </c>
    </row>
    <row r="4" spans="1:3" s="95" customFormat="1" ht="15.75" customHeight="1" thickBot="1">
      <c r="A4" s="232"/>
      <c r="B4" s="232"/>
      <c r="C4" s="233"/>
    </row>
    <row r="5" spans="1:3" ht="13.5" thickBot="1">
      <c r="A5" s="398" t="s">
        <v>727</v>
      </c>
      <c r="B5" s="234" t="s">
        <v>577</v>
      </c>
      <c r="C5" s="363" t="s">
        <v>578</v>
      </c>
    </row>
    <row r="6" spans="1:3" s="59" customFormat="1" ht="12.75" customHeight="1" thickBot="1">
      <c r="A6" s="201">
        <v>1</v>
      </c>
      <c r="B6" s="202">
        <v>2</v>
      </c>
      <c r="C6" s="203">
        <v>3</v>
      </c>
    </row>
    <row r="7" spans="1:3" s="59" customFormat="1" ht="15.75" customHeight="1" thickBot="1">
      <c r="A7" s="236"/>
      <c r="B7" s="237" t="s">
        <v>579</v>
      </c>
      <c r="C7" s="364"/>
    </row>
    <row r="8" spans="1:3" s="59" customFormat="1" ht="12" customHeight="1" thickBot="1">
      <c r="A8" s="32" t="s">
        <v>542</v>
      </c>
      <c r="B8" s="21" t="s">
        <v>784</v>
      </c>
      <c r="C8" s="298">
        <f>+C9+C10+C11+C12+C13+C14</f>
        <v>293199529</v>
      </c>
    </row>
    <row r="9" spans="1:3" s="96" customFormat="1" ht="12" customHeight="1">
      <c r="A9" s="425" t="s">
        <v>625</v>
      </c>
      <c r="B9" s="407" t="s">
        <v>785</v>
      </c>
      <c r="C9" s="301">
        <f>'9.1. melléklet'!C9-'9.1.3. melléklet '!C9</f>
        <v>26883797</v>
      </c>
    </row>
    <row r="10" spans="1:3" s="97" customFormat="1" ht="12" customHeight="1">
      <c r="A10" s="426" t="s">
        <v>626</v>
      </c>
      <c r="B10" s="408" t="s">
        <v>786</v>
      </c>
      <c r="C10" s="301">
        <f>'9.1. melléklet'!C10-'9.1.2.melléklet'!C10-'9.1.3. melléklet '!C10</f>
        <v>123139166</v>
      </c>
    </row>
    <row r="11" spans="1:3" s="97" customFormat="1" ht="12" customHeight="1">
      <c r="A11" s="426" t="s">
        <v>627</v>
      </c>
      <c r="B11" s="408" t="s">
        <v>787</v>
      </c>
      <c r="C11" s="301">
        <f>'9.1. melléklet'!C11-'9.1.2.melléklet'!C11-'9.1.3. melléklet '!C11</f>
        <v>136398531</v>
      </c>
    </row>
    <row r="12" spans="1:3" s="97" customFormat="1" ht="12" customHeight="1">
      <c r="A12" s="426" t="s">
        <v>628</v>
      </c>
      <c r="B12" s="408" t="s">
        <v>788</v>
      </c>
      <c r="C12" s="301">
        <f>'9.1. melléklet'!C12-'9.1.2.melléklet'!C12-'9.1.3. melléklet '!C12</f>
        <v>6271140</v>
      </c>
    </row>
    <row r="13" spans="1:3" s="97" customFormat="1" ht="12" customHeight="1">
      <c r="A13" s="426" t="s">
        <v>670</v>
      </c>
      <c r="B13" s="408" t="s">
        <v>789</v>
      </c>
      <c r="C13" s="301">
        <v>506895</v>
      </c>
    </row>
    <row r="14" spans="1:3" s="96" customFormat="1" ht="12" customHeight="1" thickBot="1">
      <c r="A14" s="427" t="s">
        <v>629</v>
      </c>
      <c r="B14" s="409" t="s">
        <v>790</v>
      </c>
      <c r="C14" s="914">
        <f>'9.1. melléklet'!C14-'9.1.2.melléklet'!C14-'9.1.3. melléklet '!C14</f>
        <v>0</v>
      </c>
    </row>
    <row r="15" spans="1:3" s="96" customFormat="1" ht="12" customHeight="1" thickBot="1">
      <c r="A15" s="32" t="s">
        <v>543</v>
      </c>
      <c r="B15" s="293" t="s">
        <v>791</v>
      </c>
      <c r="C15" s="915">
        <f>'9.1. melléklet'!C15-'9.1.2.melléklet'!C15-'9.1.3. melléklet '!C15</f>
        <v>10280000</v>
      </c>
    </row>
    <row r="16" spans="1:3" s="96" customFormat="1" ht="12" customHeight="1">
      <c r="A16" s="425" t="s">
        <v>631</v>
      </c>
      <c r="B16" s="407" t="s">
        <v>792</v>
      </c>
      <c r="C16" s="301">
        <f>'9.1. melléklet'!C16-'9.1.2.melléklet'!C16-'9.1.3. melléklet '!C16</f>
        <v>0</v>
      </c>
    </row>
    <row r="17" spans="1:3" s="96" customFormat="1" ht="12" customHeight="1">
      <c r="A17" s="426" t="s">
        <v>632</v>
      </c>
      <c r="B17" s="408" t="s">
        <v>793</v>
      </c>
      <c r="C17" s="301">
        <f>'9.1. melléklet'!C17-'9.1.2.melléklet'!C17-'9.1.3. melléklet '!C17</f>
        <v>0</v>
      </c>
    </row>
    <row r="18" spans="1:3" s="96" customFormat="1" ht="12" customHeight="1">
      <c r="A18" s="426" t="s">
        <v>633</v>
      </c>
      <c r="B18" s="408" t="s">
        <v>341</v>
      </c>
      <c r="C18" s="301">
        <f>'9.1. melléklet'!C18-'9.1.2.melléklet'!C18-'9.1.3. melléklet '!C18</f>
        <v>0</v>
      </c>
    </row>
    <row r="19" spans="1:3" s="96" customFormat="1" ht="12" customHeight="1">
      <c r="A19" s="426" t="s">
        <v>634</v>
      </c>
      <c r="B19" s="408" t="s">
        <v>317</v>
      </c>
      <c r="C19" s="301">
        <f>'9.1. melléklet'!C19-'9.1.2.melléklet'!C19-'9.1.3. melléklet '!C19</f>
        <v>10280000</v>
      </c>
    </row>
    <row r="20" spans="1:3" s="96" customFormat="1" ht="12" customHeight="1">
      <c r="A20" s="426" t="s">
        <v>635</v>
      </c>
      <c r="B20" s="729" t="s">
        <v>325</v>
      </c>
      <c r="C20" s="301">
        <f>'9.1. melléklet'!C20-'9.1.2.melléklet'!C20-'9.1.3. melléklet '!C20</f>
        <v>0</v>
      </c>
    </row>
    <row r="21" spans="1:3" s="97" customFormat="1" ht="12" customHeight="1" thickBot="1">
      <c r="A21" s="427" t="s">
        <v>644</v>
      </c>
      <c r="B21" s="409" t="s">
        <v>795</v>
      </c>
      <c r="C21" s="914">
        <f>'9.1. melléklet'!C21-'9.1.2.melléklet'!C21-'9.1.3. melléklet '!C21</f>
        <v>0</v>
      </c>
    </row>
    <row r="22" spans="1:3" s="97" customFormat="1" ht="12" customHeight="1" thickBot="1">
      <c r="A22" s="32" t="s">
        <v>544</v>
      </c>
      <c r="B22" s="21" t="s">
        <v>796</v>
      </c>
      <c r="C22" s="915">
        <f>'9.1. melléklet'!C22-'9.1.2.melléklet'!C22-'9.1.3. melléklet '!C22</f>
        <v>157449027</v>
      </c>
    </row>
    <row r="23" spans="1:3" s="97" customFormat="1" ht="12" customHeight="1">
      <c r="A23" s="425" t="s">
        <v>614</v>
      </c>
      <c r="B23" s="407" t="s">
        <v>797</v>
      </c>
      <c r="C23" s="301">
        <f>'9.1. melléklet'!C23-'9.1.2.melléklet'!C23-'9.1.3. melléklet '!C23</f>
        <v>0</v>
      </c>
    </row>
    <row r="24" spans="1:3" s="96" customFormat="1" ht="12" customHeight="1">
      <c r="A24" s="426" t="s">
        <v>615</v>
      </c>
      <c r="B24" s="408" t="s">
        <v>798</v>
      </c>
      <c r="C24" s="301">
        <f>'9.1. melléklet'!C24-'9.1.2.melléklet'!C24-'9.1.3. melléklet '!C24</f>
        <v>0</v>
      </c>
    </row>
    <row r="25" spans="1:3" s="97" customFormat="1" ht="12" customHeight="1">
      <c r="A25" s="426" t="s">
        <v>616</v>
      </c>
      <c r="B25" s="408" t="s">
        <v>193</v>
      </c>
      <c r="C25" s="301">
        <f>'9.1. melléklet'!C25-'9.1.2.melléklet'!C25-'9.1.3. melléklet '!C25</f>
        <v>0</v>
      </c>
    </row>
    <row r="26" spans="1:3" s="97" customFormat="1" ht="12" customHeight="1">
      <c r="A26" s="426" t="s">
        <v>617</v>
      </c>
      <c r="B26" s="729" t="s">
        <v>347</v>
      </c>
      <c r="C26" s="301">
        <f>'9.1. melléklet'!C26-'9.1.2.melléklet'!C26-'9.1.3. melléklet '!C26</f>
        <v>133390721</v>
      </c>
    </row>
    <row r="27" spans="1:3" s="97" customFormat="1" ht="12" customHeight="1">
      <c r="A27" s="426" t="s">
        <v>693</v>
      </c>
      <c r="B27" s="729" t="s">
        <v>324</v>
      </c>
      <c r="C27" s="301">
        <f>'9.1. melléklet'!C27-'9.1.2.melléklet'!C27-'9.1.3. melléklet '!C27</f>
        <v>24058306</v>
      </c>
    </row>
    <row r="28" spans="1:3" s="97" customFormat="1" ht="12" customHeight="1" thickBot="1">
      <c r="A28" s="427" t="s">
        <v>694</v>
      </c>
      <c r="B28" s="409" t="s">
        <v>800</v>
      </c>
      <c r="C28" s="914">
        <f>'9.1. melléklet'!C28-'9.1.2.melléklet'!C28-'9.1.3. melléklet '!C28</f>
        <v>0</v>
      </c>
    </row>
    <row r="29" spans="1:3" s="97" customFormat="1" ht="12" customHeight="1" thickBot="1">
      <c r="A29" s="32" t="s">
        <v>695</v>
      </c>
      <c r="B29" s="21" t="s">
        <v>801</v>
      </c>
      <c r="C29" s="915">
        <f>'9.1. melléklet'!C29-'9.1.2.melléklet'!C29-'9.1.3. melléklet '!C29</f>
        <v>145800000</v>
      </c>
    </row>
    <row r="30" spans="1:3" s="97" customFormat="1" ht="12" customHeight="1">
      <c r="A30" s="425" t="s">
        <v>802</v>
      </c>
      <c r="B30" s="407" t="s">
        <v>808</v>
      </c>
      <c r="C30" s="301">
        <f>'9.1. melléklet'!C30-'9.1.2.melléklet'!C30-'9.1.3. melléklet '!C30</f>
        <v>125800000</v>
      </c>
    </row>
    <row r="31" spans="1:3" s="97" customFormat="1" ht="12" customHeight="1">
      <c r="A31" s="426" t="s">
        <v>803</v>
      </c>
      <c r="B31" s="644" t="s">
        <v>318</v>
      </c>
      <c r="C31" s="301">
        <f>'9.1. melléklet'!C31-'9.1.2.melléklet'!C31-'9.1.3. melléklet '!C31</f>
        <v>5800000</v>
      </c>
    </row>
    <row r="32" spans="1:3" s="97" customFormat="1" ht="12" customHeight="1">
      <c r="A32" s="426" t="s">
        <v>804</v>
      </c>
      <c r="B32" s="644" t="s">
        <v>323</v>
      </c>
      <c r="C32" s="301">
        <f>'9.1. melléklet'!C32-'9.1.2.melléklet'!C32-'9.1.3. melléklet '!C32</f>
        <v>120000000</v>
      </c>
    </row>
    <row r="33" spans="1:3" s="97" customFormat="1" ht="12" customHeight="1">
      <c r="A33" s="426" t="s">
        <v>805</v>
      </c>
      <c r="B33" s="408" t="s">
        <v>811</v>
      </c>
      <c r="C33" s="301">
        <f>'9.1. melléklet'!C33-'9.1.2.melléklet'!C33-'9.1.3. melléklet '!C33</f>
        <v>18000000</v>
      </c>
    </row>
    <row r="34" spans="1:3" s="97" customFormat="1" ht="12" customHeight="1">
      <c r="A34" s="426" t="s">
        <v>806</v>
      </c>
      <c r="B34" s="408" t="s">
        <v>319</v>
      </c>
      <c r="C34" s="301">
        <f>'9.1. melléklet'!C34-'9.1.2.melléklet'!C34-'9.1.3. melléklet '!C34</f>
        <v>300000</v>
      </c>
    </row>
    <row r="35" spans="1:3" s="97" customFormat="1" ht="12" customHeight="1">
      <c r="A35" s="426" t="s">
        <v>807</v>
      </c>
      <c r="B35" s="409" t="s">
        <v>322</v>
      </c>
      <c r="C35" s="301">
        <f>'9.1. melléklet'!C35-'9.1.2.melléklet'!C35-'9.1.3. melléklet '!C35</f>
        <v>900000</v>
      </c>
    </row>
    <row r="36" spans="1:3" s="97" customFormat="1" ht="12" customHeight="1" thickBot="1">
      <c r="A36" s="426" t="s">
        <v>320</v>
      </c>
      <c r="B36" s="409" t="s">
        <v>321</v>
      </c>
      <c r="C36" s="914">
        <v>1000</v>
      </c>
    </row>
    <row r="37" spans="1:3" s="97" customFormat="1" ht="12" customHeight="1" thickBot="1">
      <c r="A37" s="32" t="s">
        <v>546</v>
      </c>
      <c r="B37" s="21" t="s">
        <v>814</v>
      </c>
      <c r="C37" s="915">
        <f>C47+C46+C45+C44+C43+C42+C41+C40+C39</f>
        <v>28580000</v>
      </c>
    </row>
    <row r="38" spans="1:3" s="97" customFormat="1" ht="12" customHeight="1">
      <c r="A38" s="425" t="s">
        <v>618</v>
      </c>
      <c r="B38" s="407" t="s">
        <v>817</v>
      </c>
      <c r="C38" s="301"/>
    </row>
    <row r="39" spans="1:3" s="97" customFormat="1" ht="12" customHeight="1">
      <c r="A39" s="426" t="s">
        <v>619</v>
      </c>
      <c r="B39" s="408" t="s">
        <v>818</v>
      </c>
      <c r="C39" s="301">
        <f>'9.1. melléklet'!C39-'9.1.2.melléklet'!C38</f>
        <v>3350000</v>
      </c>
    </row>
    <row r="40" spans="1:3" s="97" customFormat="1" ht="12" customHeight="1">
      <c r="A40" s="426" t="s">
        <v>620</v>
      </c>
      <c r="B40" s="408" t="s">
        <v>819</v>
      </c>
      <c r="C40" s="301">
        <f>'9.1. melléklet'!C40-'9.1.2.melléklet'!C40-'9.1.3. melléklet '!C40</f>
        <v>300000</v>
      </c>
    </row>
    <row r="41" spans="1:3" s="97" customFormat="1" ht="12" customHeight="1">
      <c r="A41" s="426" t="s">
        <v>697</v>
      </c>
      <c r="B41" s="408" t="s">
        <v>820</v>
      </c>
      <c r="C41" s="301">
        <f>'9.1. melléklet'!C41-'9.1.2.melléklet'!C41-'9.1.3. melléklet '!C41</f>
        <v>3200000</v>
      </c>
    </row>
    <row r="42" spans="1:3" s="97" customFormat="1" ht="12" customHeight="1">
      <c r="A42" s="426" t="s">
        <v>698</v>
      </c>
      <c r="B42" s="408" t="s">
        <v>821</v>
      </c>
      <c r="C42" s="301">
        <f>'9.1. melléklet'!C42-'9.1.2.melléklet'!C42-'9.1.3. melléklet '!C42</f>
        <v>8150000</v>
      </c>
    </row>
    <row r="43" spans="1:3" s="97" customFormat="1" ht="12" customHeight="1">
      <c r="A43" s="426" t="s">
        <v>699</v>
      </c>
      <c r="B43" s="408" t="s">
        <v>822</v>
      </c>
      <c r="C43" s="301">
        <f>'9.1. melléklet'!C43-'9.1.2.melléklet'!C43-'9.1.3. melléklet '!C43</f>
        <v>3280000</v>
      </c>
    </row>
    <row r="44" spans="1:3" s="97" customFormat="1" ht="12" customHeight="1">
      <c r="A44" s="426" t="s">
        <v>700</v>
      </c>
      <c r="B44" s="408" t="s">
        <v>823</v>
      </c>
      <c r="C44" s="301">
        <f>'9.1. melléklet'!C44-'9.1.2.melléklet'!C44-'9.1.3. melléklet '!C44</f>
        <v>9300000</v>
      </c>
    </row>
    <row r="45" spans="1:3" s="97" customFormat="1" ht="12" customHeight="1">
      <c r="A45" s="426" t="s">
        <v>701</v>
      </c>
      <c r="B45" s="408" t="s">
        <v>824</v>
      </c>
      <c r="C45" s="301">
        <f>'9.1. melléklet'!C45-'9.1.2.melléklet'!C45-'9.1.3. melléklet '!C45</f>
        <v>1000000</v>
      </c>
    </row>
    <row r="46" spans="1:3" s="97" customFormat="1" ht="12" customHeight="1">
      <c r="A46" s="426" t="s">
        <v>815</v>
      </c>
      <c r="B46" s="408" t="s">
        <v>825</v>
      </c>
      <c r="C46" s="301">
        <f>'9.1. melléklet'!C46-'9.1.2.melléklet'!C46-'9.1.3. melléklet '!C46</f>
        <v>0</v>
      </c>
    </row>
    <row r="47" spans="1:3" s="97" customFormat="1" ht="12" customHeight="1" thickBot="1">
      <c r="A47" s="427" t="s">
        <v>816</v>
      </c>
      <c r="B47" s="409" t="s">
        <v>826</v>
      </c>
      <c r="C47" s="914">
        <f>'9.1. melléklet'!C47-'9.1.2.melléklet'!C47-'9.1.3. melléklet '!C47</f>
        <v>0</v>
      </c>
    </row>
    <row r="48" spans="1:3" s="97" customFormat="1" ht="12" customHeight="1" thickBot="1">
      <c r="A48" s="32" t="s">
        <v>547</v>
      </c>
      <c r="B48" s="21" t="s">
        <v>827</v>
      </c>
      <c r="C48" s="915">
        <f>'9.1. melléklet'!C48-'9.1.2.melléklet'!C48-'9.1.3. melléklet '!C48</f>
        <v>0</v>
      </c>
    </row>
    <row r="49" spans="1:3" s="97" customFormat="1" ht="12" customHeight="1">
      <c r="A49" s="425" t="s">
        <v>621</v>
      </c>
      <c r="B49" s="407" t="s">
        <v>831</v>
      </c>
      <c r="C49" s="301">
        <f>'9.1. melléklet'!C49-'9.1.2.melléklet'!C49-'9.1.3. melléklet '!C49</f>
        <v>0</v>
      </c>
    </row>
    <row r="50" spans="1:3" s="97" customFormat="1" ht="12" customHeight="1">
      <c r="A50" s="426" t="s">
        <v>622</v>
      </c>
      <c r="B50" s="408" t="s">
        <v>832</v>
      </c>
      <c r="C50" s="301">
        <f>'9.1. melléklet'!C50-'9.1.2.melléklet'!C50-'9.1.3. melléklet '!C50</f>
        <v>0</v>
      </c>
    </row>
    <row r="51" spans="1:3" s="97" customFormat="1" ht="12" customHeight="1">
      <c r="A51" s="426" t="s">
        <v>828</v>
      </c>
      <c r="B51" s="408" t="s">
        <v>833</v>
      </c>
      <c r="C51" s="301">
        <f>'9.1. melléklet'!C51-'9.1.2.melléklet'!C51-'9.1.3. melléklet '!C51</f>
        <v>0</v>
      </c>
    </row>
    <row r="52" spans="1:3" s="97" customFormat="1" ht="12" customHeight="1">
      <c r="A52" s="426" t="s">
        <v>829</v>
      </c>
      <c r="B52" s="408" t="s">
        <v>834</v>
      </c>
      <c r="C52" s="301">
        <f>'9.1. melléklet'!C52-'9.1.2.melléklet'!C52-'9.1.3. melléklet '!C52</f>
        <v>0</v>
      </c>
    </row>
    <row r="53" spans="1:3" s="97" customFormat="1" ht="12" customHeight="1" thickBot="1">
      <c r="A53" s="427" t="s">
        <v>830</v>
      </c>
      <c r="B53" s="409" t="s">
        <v>835</v>
      </c>
      <c r="C53" s="914">
        <f>'9.1. melléklet'!C53-'9.1.2.melléklet'!C53-'9.1.3. melléklet '!C53</f>
        <v>0</v>
      </c>
    </row>
    <row r="54" spans="1:3" s="97" customFormat="1" ht="12" customHeight="1" thickBot="1">
      <c r="A54" s="32" t="s">
        <v>702</v>
      </c>
      <c r="B54" s="21" t="s">
        <v>836</v>
      </c>
      <c r="C54" s="915">
        <f>'9.1. melléklet'!C54-'9.1.2.melléklet'!C54-'9.1.3. melléklet '!C54</f>
        <v>0</v>
      </c>
    </row>
    <row r="55" spans="1:3" s="97" customFormat="1" ht="12" customHeight="1">
      <c r="A55" s="425" t="s">
        <v>623</v>
      </c>
      <c r="B55" s="407" t="s">
        <v>837</v>
      </c>
      <c r="C55" s="301">
        <f>'9.1. melléklet'!C55-'9.1.2.melléklet'!C55-'9.1.3. melléklet '!C55</f>
        <v>0</v>
      </c>
    </row>
    <row r="56" spans="1:3" s="97" customFormat="1" ht="12" customHeight="1">
      <c r="A56" s="426" t="s">
        <v>624</v>
      </c>
      <c r="B56" s="408" t="s">
        <v>340</v>
      </c>
      <c r="C56" s="301">
        <f>'9.1. melléklet'!C56-'9.1.2.melléklet'!C56-'9.1.3. melléklet '!C56</f>
        <v>0</v>
      </c>
    </row>
    <row r="57" spans="1:3" s="97" customFormat="1" ht="12" customHeight="1">
      <c r="A57" s="426" t="s">
        <v>840</v>
      </c>
      <c r="B57" s="408" t="s">
        <v>342</v>
      </c>
      <c r="C57" s="301">
        <f>'9.1. melléklet'!C57-'9.1.2.melléklet'!C57-'9.1.3. melléklet '!C57</f>
        <v>0</v>
      </c>
    </row>
    <row r="58" spans="1:3" s="97" customFormat="1" ht="12" customHeight="1" thickBot="1">
      <c r="A58" s="427" t="s">
        <v>841</v>
      </c>
      <c r="B58" s="409" t="s">
        <v>839</v>
      </c>
      <c r="C58" s="914">
        <f>'9.1. melléklet'!C58-'9.1.2.melléklet'!C58-'9.1.3. melléklet '!C58</f>
        <v>0</v>
      </c>
    </row>
    <row r="59" spans="1:3" s="97" customFormat="1" ht="12" customHeight="1" thickBot="1">
      <c r="A59" s="32" t="s">
        <v>549</v>
      </c>
      <c r="B59" s="293" t="s">
        <v>842</v>
      </c>
      <c r="C59" s="915">
        <f>'9.1. melléklet'!C59-'9.1.2.melléklet'!C59-'9.1.3. melléklet '!C59</f>
        <v>0</v>
      </c>
    </row>
    <row r="60" spans="1:3" s="97" customFormat="1" ht="12" customHeight="1">
      <c r="A60" s="425" t="s">
        <v>703</v>
      </c>
      <c r="B60" s="407" t="s">
        <v>844</v>
      </c>
      <c r="C60" s="301">
        <f>'9.1. melléklet'!C60-'9.1.2.melléklet'!C60-'9.1.3. melléklet '!C60</f>
        <v>0</v>
      </c>
    </row>
    <row r="61" spans="1:3" s="97" customFormat="1" ht="12" customHeight="1">
      <c r="A61" s="426" t="s">
        <v>704</v>
      </c>
      <c r="B61" s="408" t="s">
        <v>196</v>
      </c>
      <c r="C61" s="301">
        <f>'9.1. melléklet'!C61-'9.1.2.melléklet'!C61-'9.1.3. melléklet '!C61</f>
        <v>0</v>
      </c>
    </row>
    <row r="62" spans="1:3" s="97" customFormat="1" ht="12" customHeight="1">
      <c r="A62" s="426" t="s">
        <v>756</v>
      </c>
      <c r="B62" s="408" t="s">
        <v>343</v>
      </c>
      <c r="C62" s="301">
        <f>'9.1. melléklet'!C62-'9.1.2.melléklet'!C62-'9.1.3. melléklet '!C62</f>
        <v>0</v>
      </c>
    </row>
    <row r="63" spans="1:3" s="97" customFormat="1" ht="12" customHeight="1" thickBot="1">
      <c r="A63" s="427" t="s">
        <v>843</v>
      </c>
      <c r="B63" s="409" t="s">
        <v>846</v>
      </c>
      <c r="C63" s="914"/>
    </row>
    <row r="64" spans="1:3" s="97" customFormat="1" ht="12" customHeight="1" thickBot="1">
      <c r="A64" s="32" t="s">
        <v>550</v>
      </c>
      <c r="B64" s="21" t="s">
        <v>847</v>
      </c>
      <c r="C64" s="915">
        <f>C8+C15+C22+C29+C37+C48+C54+C59</f>
        <v>635308556</v>
      </c>
    </row>
    <row r="65" spans="1:3" s="97" customFormat="1" ht="12" customHeight="1" thickBot="1">
      <c r="A65" s="428" t="s">
        <v>157</v>
      </c>
      <c r="B65" s="293" t="s">
        <v>849</v>
      </c>
      <c r="C65" s="915">
        <f>'9.1. melléklet'!C65-'9.1.2.melléklet'!C65-'9.1.3. melléklet '!C65</f>
        <v>0</v>
      </c>
    </row>
    <row r="66" spans="1:3" s="97" customFormat="1" ht="12" customHeight="1">
      <c r="A66" s="425" t="s">
        <v>54</v>
      </c>
      <c r="B66" s="407" t="s">
        <v>850</v>
      </c>
      <c r="C66" s="301">
        <f>'9.1. melléklet'!C66-'9.1.2.melléklet'!C66-'9.1.3. melléklet '!C66</f>
        <v>0</v>
      </c>
    </row>
    <row r="67" spans="1:3" s="97" customFormat="1" ht="12" customHeight="1">
      <c r="A67" s="426" t="s">
        <v>63</v>
      </c>
      <c r="B67" s="408" t="s">
        <v>851</v>
      </c>
      <c r="C67" s="301">
        <f>'9.1. melléklet'!C67-'9.1.2.melléklet'!C67-'9.1.3. melléklet '!C67</f>
        <v>0</v>
      </c>
    </row>
    <row r="68" spans="1:3" s="97" customFormat="1" ht="12" customHeight="1" thickBot="1">
      <c r="A68" s="427" t="s">
        <v>64</v>
      </c>
      <c r="B68" s="411" t="s">
        <v>852</v>
      </c>
      <c r="C68" s="914">
        <f>'9.1. melléklet'!C68-'9.1.2.melléklet'!C68-'9.1.3. melléklet '!C68</f>
        <v>0</v>
      </c>
    </row>
    <row r="69" spans="1:3" s="97" customFormat="1" ht="12" customHeight="1" thickBot="1">
      <c r="A69" s="428" t="s">
        <v>853</v>
      </c>
      <c r="B69" s="293" t="s">
        <v>854</v>
      </c>
      <c r="C69" s="915">
        <f>'9.1. melléklet'!C69-'9.1.2.melléklet'!C69-'9.1.3. melléklet '!C69</f>
        <v>0</v>
      </c>
    </row>
    <row r="70" spans="1:3" s="97" customFormat="1" ht="12" customHeight="1">
      <c r="A70" s="425" t="s">
        <v>671</v>
      </c>
      <c r="B70" s="407" t="s">
        <v>855</v>
      </c>
      <c r="C70" s="301">
        <f>'9.1. melléklet'!C70-'9.1.2.melléklet'!C70-'9.1.3. melléklet '!C70</f>
        <v>0</v>
      </c>
    </row>
    <row r="71" spans="1:3" s="97" customFormat="1" ht="12" customHeight="1">
      <c r="A71" s="426" t="s">
        <v>672</v>
      </c>
      <c r="B71" s="408" t="s">
        <v>856</v>
      </c>
      <c r="C71" s="301">
        <f>'9.1. melléklet'!C71-'9.1.2.melléklet'!C71-'9.1.3. melléklet '!C71</f>
        <v>0</v>
      </c>
    </row>
    <row r="72" spans="1:3" s="97" customFormat="1" ht="12" customHeight="1">
      <c r="A72" s="426" t="s">
        <v>55</v>
      </c>
      <c r="B72" s="408" t="s">
        <v>857</v>
      </c>
      <c r="C72" s="301">
        <f>'9.1. melléklet'!C72-'9.1.2.melléklet'!C72-'9.1.3. melléklet '!C72</f>
        <v>0</v>
      </c>
    </row>
    <row r="73" spans="1:3" s="97" customFormat="1" ht="12" customHeight="1" thickBot="1">
      <c r="A73" s="427" t="s">
        <v>56</v>
      </c>
      <c r="B73" s="409" t="s">
        <v>858</v>
      </c>
      <c r="C73" s="914">
        <f>'9.1. melléklet'!C73-'9.1.2.melléklet'!C73-'9.1.3. melléklet '!C73</f>
        <v>0</v>
      </c>
    </row>
    <row r="74" spans="1:3" s="97" customFormat="1" ht="12" customHeight="1" thickBot="1">
      <c r="A74" s="428" t="s">
        <v>859</v>
      </c>
      <c r="B74" s="293" t="s">
        <v>860</v>
      </c>
      <c r="C74" s="915">
        <f>'9.1. melléklet'!C74-'9.1.2.melléklet'!C74-'9.1.3. melléklet '!C74</f>
        <v>199880000</v>
      </c>
    </row>
    <row r="75" spans="1:3" s="97" customFormat="1" ht="12" customHeight="1">
      <c r="A75" s="425" t="s">
        <v>57</v>
      </c>
      <c r="B75" s="407" t="s">
        <v>861</v>
      </c>
      <c r="C75" s="301">
        <f>'9.1. melléklet'!C75-'9.1.2.melléklet'!C75-'9.1.3. melléklet '!C75</f>
        <v>199880000</v>
      </c>
    </row>
    <row r="76" spans="1:3" s="97" customFormat="1" ht="12" customHeight="1" thickBot="1">
      <c r="A76" s="427" t="s">
        <v>58</v>
      </c>
      <c r="B76" s="409" t="s">
        <v>862</v>
      </c>
      <c r="C76" s="914">
        <f>'9.1. melléklet'!C76-'9.1.2.melléklet'!C76-'9.1.3. melléklet '!C76</f>
        <v>0</v>
      </c>
    </row>
    <row r="77" spans="1:3" s="96" customFormat="1" ht="12" customHeight="1" thickBot="1">
      <c r="A77" s="428" t="s">
        <v>863</v>
      </c>
      <c r="B77" s="293" t="s">
        <v>864</v>
      </c>
      <c r="C77" s="915">
        <f>'9.1. melléklet'!C77-'9.1.2.melléklet'!C77-'9.1.3. melléklet '!C77</f>
        <v>0</v>
      </c>
    </row>
    <row r="78" spans="1:3" s="97" customFormat="1" ht="12" customHeight="1">
      <c r="A78" s="425" t="s">
        <v>59</v>
      </c>
      <c r="B78" s="407" t="s">
        <v>865</v>
      </c>
      <c r="C78" s="301">
        <f>'9.1. melléklet'!C78-'9.1.2.melléklet'!C78-'9.1.3. melléklet '!C78</f>
        <v>0</v>
      </c>
    </row>
    <row r="79" spans="1:3" s="97" customFormat="1" ht="12" customHeight="1">
      <c r="A79" s="426" t="s">
        <v>60</v>
      </c>
      <c r="B79" s="408" t="s">
        <v>866</v>
      </c>
      <c r="C79" s="301">
        <f>'9.1. melléklet'!C79-'9.1.2.melléklet'!C79-'9.1.3. melléklet '!C79</f>
        <v>0</v>
      </c>
    </row>
    <row r="80" spans="1:3" s="97" customFormat="1" ht="12" customHeight="1" thickBot="1">
      <c r="A80" s="427" t="s">
        <v>61</v>
      </c>
      <c r="B80" s="409" t="s">
        <v>867</v>
      </c>
      <c r="C80" s="914">
        <f>'9.1. melléklet'!C80-'9.1.2.melléklet'!C80-'9.1.3. melléklet '!C80</f>
        <v>0</v>
      </c>
    </row>
    <row r="81" spans="1:3" s="97" customFormat="1" ht="12" customHeight="1" thickBot="1">
      <c r="A81" s="428" t="s">
        <v>868</v>
      </c>
      <c r="B81" s="293" t="s">
        <v>62</v>
      </c>
      <c r="C81" s="915">
        <f>'9.1. melléklet'!C81-'9.1.2.melléklet'!C81-'9.1.3. melléklet '!C81</f>
        <v>295000000</v>
      </c>
    </row>
    <row r="82" spans="1:3" s="97" customFormat="1" ht="12" customHeight="1">
      <c r="A82" s="429" t="s">
        <v>869</v>
      </c>
      <c r="B82" s="407" t="s">
        <v>42</v>
      </c>
      <c r="C82" s="301">
        <f>'9.1. melléklet'!C82-'9.1.2.melléklet'!C82-'9.1.3. melléklet '!C82</f>
        <v>295000000</v>
      </c>
    </row>
    <row r="83" spans="1:3" s="97" customFormat="1" ht="12" customHeight="1">
      <c r="A83" s="430" t="s">
        <v>43</v>
      </c>
      <c r="B83" s="408" t="s">
        <v>44</v>
      </c>
      <c r="C83" s="301">
        <f>'9.1. melléklet'!C83-'9.1.2.melléklet'!C83-'9.1.3. melléklet '!C83</f>
        <v>0</v>
      </c>
    </row>
    <row r="84" spans="1:3" s="97" customFormat="1" ht="12" customHeight="1">
      <c r="A84" s="430" t="s">
        <v>45</v>
      </c>
      <c r="B84" s="408" t="s">
        <v>46</v>
      </c>
      <c r="C84" s="301">
        <f>'9.1. melléklet'!C84-'9.1.2.melléklet'!C84-'9.1.3. melléklet '!C84</f>
        <v>0</v>
      </c>
    </row>
    <row r="85" spans="1:3" s="96" customFormat="1" ht="12" customHeight="1" thickBot="1">
      <c r="A85" s="431" t="s">
        <v>47</v>
      </c>
      <c r="B85" s="409" t="s">
        <v>48</v>
      </c>
      <c r="C85" s="914">
        <f>'9.1. melléklet'!C85-'9.1.2.melléklet'!C85-'9.1.3. melléklet '!C85</f>
        <v>0</v>
      </c>
    </row>
    <row r="86" spans="1:3" s="96" customFormat="1" ht="12" customHeight="1" thickBot="1">
      <c r="A86" s="428" t="s">
        <v>49</v>
      </c>
      <c r="B86" s="293" t="s">
        <v>50</v>
      </c>
      <c r="C86" s="915">
        <f>'9.1. melléklet'!C86-'9.1.2.melléklet'!C86-'9.1.3. melléklet '!C86</f>
        <v>0</v>
      </c>
    </row>
    <row r="87" spans="1:3" s="96" customFormat="1" ht="12" customHeight="1" thickBot="1">
      <c r="A87" s="428" t="s">
        <v>51</v>
      </c>
      <c r="B87" s="415" t="s">
        <v>52</v>
      </c>
      <c r="C87" s="915">
        <f>C65+C69+C74+C77+C81+C86</f>
        <v>494880000</v>
      </c>
    </row>
    <row r="88" spans="1:3" s="96" customFormat="1" ht="12" customHeight="1" thickBot="1">
      <c r="A88" s="432" t="s">
        <v>65</v>
      </c>
      <c r="B88" s="417" t="s">
        <v>184</v>
      </c>
      <c r="C88" s="915">
        <f>C87+C64</f>
        <v>1130188556</v>
      </c>
    </row>
    <row r="89" spans="1:3" s="97" customFormat="1" ht="15" customHeight="1">
      <c r="A89" s="242"/>
      <c r="B89" s="243"/>
      <c r="C89" s="369"/>
    </row>
    <row r="90" spans="1:3" ht="13.5" thickBot="1">
      <c r="A90" s="433"/>
      <c r="B90" s="245"/>
      <c r="C90" s="370"/>
    </row>
    <row r="91" spans="1:3" s="59" customFormat="1" ht="16.5" customHeight="1" thickBot="1">
      <c r="A91" s="246"/>
      <c r="B91" s="247" t="s">
        <v>581</v>
      </c>
      <c r="C91" s="371"/>
    </row>
    <row r="92" spans="1:3" s="98" customFormat="1" ht="12" customHeight="1" thickBot="1">
      <c r="A92" s="399" t="s">
        <v>542</v>
      </c>
      <c r="B92" s="31" t="s">
        <v>68</v>
      </c>
      <c r="C92" s="297">
        <f>SUM(C93:C97)</f>
        <v>334421192</v>
      </c>
    </row>
    <row r="93" spans="1:3" ht="12" customHeight="1">
      <c r="A93" s="434" t="s">
        <v>625</v>
      </c>
      <c r="B93" s="10" t="s">
        <v>572</v>
      </c>
      <c r="C93" s="299">
        <v>39848800</v>
      </c>
    </row>
    <row r="94" spans="1:3" ht="12" customHeight="1">
      <c r="A94" s="426" t="s">
        <v>626</v>
      </c>
      <c r="B94" s="8" t="s">
        <v>705</v>
      </c>
      <c r="C94" s="300">
        <v>8963751</v>
      </c>
    </row>
    <row r="95" spans="1:3" ht="12" customHeight="1">
      <c r="A95" s="426" t="s">
        <v>627</v>
      </c>
      <c r="B95" s="8" t="s">
        <v>662</v>
      </c>
      <c r="C95" s="300">
        <v>135305000</v>
      </c>
    </row>
    <row r="96" spans="1:3" ht="12" customHeight="1">
      <c r="A96" s="426" t="s">
        <v>628</v>
      </c>
      <c r="B96" s="11" t="s">
        <v>706</v>
      </c>
      <c r="C96" s="300">
        <f>'9.1. melléklet'!C96-'9.1.2.melléklet'!C95</f>
        <v>9611000</v>
      </c>
    </row>
    <row r="97" spans="1:3" ht="12" customHeight="1">
      <c r="A97" s="426" t="s">
        <v>639</v>
      </c>
      <c r="B97" s="19" t="s">
        <v>707</v>
      </c>
      <c r="C97" s="300">
        <f>C102+C103+C107</f>
        <v>140692641</v>
      </c>
    </row>
    <row r="98" spans="1:3" ht="12" customHeight="1">
      <c r="A98" s="426" t="s">
        <v>629</v>
      </c>
      <c r="B98" s="8" t="s">
        <v>69</v>
      </c>
      <c r="C98" s="300">
        <f>'9.1. melléklet'!C98-'9.1.2.melléklet'!C97</f>
        <v>0</v>
      </c>
    </row>
    <row r="99" spans="1:3" ht="12" customHeight="1">
      <c r="A99" s="426" t="s">
        <v>630</v>
      </c>
      <c r="B99" s="141" t="s">
        <v>70</v>
      </c>
      <c r="C99" s="300">
        <f>'9.1. melléklet'!C99-'9.1.2.melléklet'!C98</f>
        <v>0</v>
      </c>
    </row>
    <row r="100" spans="1:3" ht="12" customHeight="1">
      <c r="A100" s="426" t="s">
        <v>640</v>
      </c>
      <c r="B100" s="142" t="s">
        <v>71</v>
      </c>
      <c r="C100" s="300">
        <f>'9.1. melléklet'!C100-'9.1.2.melléklet'!C99</f>
        <v>0</v>
      </c>
    </row>
    <row r="101" spans="1:3" ht="12" customHeight="1">
      <c r="A101" s="426" t="s">
        <v>641</v>
      </c>
      <c r="B101" s="142" t="s">
        <v>72</v>
      </c>
      <c r="C101" s="300">
        <f>'9.1. melléklet'!C101-'9.1.2.melléklet'!C100</f>
        <v>0</v>
      </c>
    </row>
    <row r="102" spans="1:3" ht="12" customHeight="1">
      <c r="A102" s="426" t="s">
        <v>642</v>
      </c>
      <c r="B102" s="141" t="s">
        <v>359</v>
      </c>
      <c r="C102" s="300">
        <v>138942641</v>
      </c>
    </row>
    <row r="103" spans="1:3" ht="12" customHeight="1">
      <c r="A103" s="426" t="s">
        <v>643</v>
      </c>
      <c r="B103" s="141" t="s">
        <v>344</v>
      </c>
      <c r="C103" s="300"/>
    </row>
    <row r="104" spans="1:3" ht="12" customHeight="1">
      <c r="A104" s="426" t="s">
        <v>645</v>
      </c>
      <c r="B104" s="142" t="s">
        <v>75</v>
      </c>
      <c r="C104" s="300">
        <f>'9.1. melléklet'!C104-'9.1.2.melléklet'!C103</f>
        <v>0</v>
      </c>
    </row>
    <row r="105" spans="1:3" ht="12" customHeight="1">
      <c r="A105" s="435" t="s">
        <v>708</v>
      </c>
      <c r="B105" s="143" t="s">
        <v>76</v>
      </c>
      <c r="C105" s="300">
        <f>'9.1. melléklet'!C105-'9.1.2.melléklet'!C104</f>
        <v>0</v>
      </c>
    </row>
    <row r="106" spans="1:3" ht="12" customHeight="1">
      <c r="A106" s="426" t="s">
        <v>66</v>
      </c>
      <c r="B106" s="142" t="s">
        <v>345</v>
      </c>
      <c r="C106" s="300">
        <f>'9.1. melléklet'!C106-'9.1.2.melléklet'!C105</f>
        <v>0</v>
      </c>
    </row>
    <row r="107" spans="1:3" ht="12" customHeight="1" thickBot="1">
      <c r="A107" s="436" t="s">
        <v>67</v>
      </c>
      <c r="B107" s="144" t="s">
        <v>78</v>
      </c>
      <c r="C107" s="306">
        <f>'9.1. melléklet'!C107-'9.1.2.melléklet'!C106</f>
        <v>1750000</v>
      </c>
    </row>
    <row r="108" spans="1:3" ht="12" customHeight="1" thickBot="1">
      <c r="A108" s="32" t="s">
        <v>543</v>
      </c>
      <c r="B108" s="30" t="s">
        <v>79</v>
      </c>
      <c r="C108" s="299">
        <f>C109+C111+C113</f>
        <v>321411285</v>
      </c>
    </row>
    <row r="109" spans="1:3" ht="12" customHeight="1">
      <c r="A109" s="425" t="s">
        <v>631</v>
      </c>
      <c r="B109" s="8" t="s">
        <v>754</v>
      </c>
      <c r="C109" s="299">
        <f>'9.1. melléklet'!C109-'9.1.2.melléklet'!C108</f>
        <v>140411285</v>
      </c>
    </row>
    <row r="110" spans="1:3" ht="12" customHeight="1">
      <c r="A110" s="425" t="s">
        <v>632</v>
      </c>
      <c r="B110" s="12" t="s">
        <v>83</v>
      </c>
      <c r="C110" s="300">
        <f>'9.1. melléklet'!C110-'9.1.2.melléklet'!C109</f>
        <v>0</v>
      </c>
    </row>
    <row r="111" spans="1:3" ht="12" customHeight="1">
      <c r="A111" s="425" t="s">
        <v>633</v>
      </c>
      <c r="B111" s="12" t="s">
        <v>709</v>
      </c>
      <c r="C111" s="300">
        <v>181000000</v>
      </c>
    </row>
    <row r="112" spans="1:3" ht="12" customHeight="1">
      <c r="A112" s="425" t="s">
        <v>634</v>
      </c>
      <c r="B112" s="12" t="s">
        <v>84</v>
      </c>
      <c r="C112" s="300">
        <f>'9.1. melléklet'!C112-'9.1.2.melléklet'!C111</f>
        <v>0</v>
      </c>
    </row>
    <row r="113" spans="1:3" ht="12" customHeight="1">
      <c r="A113" s="425" t="s">
        <v>635</v>
      </c>
      <c r="B113" s="295" t="s">
        <v>757</v>
      </c>
      <c r="C113" s="300">
        <f>C116+C117</f>
        <v>0</v>
      </c>
    </row>
    <row r="114" spans="1:3" ht="12" customHeight="1">
      <c r="A114" s="425" t="s">
        <v>644</v>
      </c>
      <c r="B114" s="294" t="s">
        <v>197</v>
      </c>
      <c r="C114" s="300">
        <f>'9.1. melléklet'!C114-'9.1.2.melléklet'!C113</f>
        <v>0</v>
      </c>
    </row>
    <row r="115" spans="1:3" ht="12" customHeight="1">
      <c r="A115" s="425" t="s">
        <v>646</v>
      </c>
      <c r="B115" s="403" t="s">
        <v>89</v>
      </c>
      <c r="C115" s="300">
        <f>'9.1. melléklet'!C115-'9.1.2.melléklet'!C114</f>
        <v>0</v>
      </c>
    </row>
    <row r="116" spans="1:3" ht="12" customHeight="1">
      <c r="A116" s="425" t="s">
        <v>710</v>
      </c>
      <c r="B116" s="728" t="s">
        <v>391</v>
      </c>
      <c r="C116" s="300">
        <f>'9.1. melléklet'!C116-'9.1.2.melléklet'!C115</f>
        <v>0</v>
      </c>
    </row>
    <row r="117" spans="1:3" ht="12" customHeight="1">
      <c r="A117" s="425" t="s">
        <v>711</v>
      </c>
      <c r="B117" s="977" t="s">
        <v>392</v>
      </c>
      <c r="C117" s="300">
        <f>'9.1. melléklet'!C117-'9.1.2.melléklet'!C116</f>
        <v>0</v>
      </c>
    </row>
    <row r="118" spans="1:3" ht="12" customHeight="1">
      <c r="A118" s="425" t="s">
        <v>712</v>
      </c>
      <c r="B118" s="142" t="s">
        <v>358</v>
      </c>
      <c r="C118" s="300">
        <f>'9.1. melléklet'!C118-'9.1.2.melléklet'!C117</f>
        <v>0</v>
      </c>
    </row>
    <row r="119" spans="1:3" ht="12" customHeight="1">
      <c r="A119" s="425" t="s">
        <v>80</v>
      </c>
      <c r="B119" s="142" t="s">
        <v>75</v>
      </c>
      <c r="C119" s="300">
        <f>'9.1. melléklet'!C119-'9.1.2.melléklet'!C118</f>
        <v>0</v>
      </c>
    </row>
    <row r="120" spans="1:3" ht="12" customHeight="1">
      <c r="A120" s="425" t="s">
        <v>81</v>
      </c>
      <c r="B120" s="142" t="s">
        <v>86</v>
      </c>
      <c r="C120" s="300">
        <f>'9.1. melléklet'!C120-'9.1.2.melléklet'!C119</f>
        <v>0</v>
      </c>
    </row>
    <row r="121" spans="1:3" ht="12" customHeight="1" thickBot="1">
      <c r="A121" s="435" t="s">
        <v>82</v>
      </c>
      <c r="B121" s="142" t="s">
        <v>85</v>
      </c>
      <c r="C121" s="306"/>
    </row>
    <row r="122" spans="1:3" ht="12" customHeight="1" thickBot="1">
      <c r="A122" s="32" t="s">
        <v>544</v>
      </c>
      <c r="B122" s="124" t="s">
        <v>90</v>
      </c>
      <c r="C122" s="299">
        <f>'9.1. melléklet'!C122-'9.1.2.melléklet'!C121</f>
        <v>369260504</v>
      </c>
    </row>
    <row r="123" spans="1:3" ht="12" customHeight="1">
      <c r="A123" s="425" t="s">
        <v>614</v>
      </c>
      <c r="B123" s="9" t="s">
        <v>583</v>
      </c>
      <c r="C123" s="299">
        <f>'9.1. melléklet'!C123-'9.1.2.melléklet'!C122</f>
        <v>38342762</v>
      </c>
    </row>
    <row r="124" spans="1:3" ht="12" customHeight="1" thickBot="1">
      <c r="A124" s="427" t="s">
        <v>615</v>
      </c>
      <c r="B124" s="12" t="s">
        <v>584</v>
      </c>
      <c r="C124" s="306">
        <f>'9.1. melléklet'!C124-'9.1.2.melléklet'!C123</f>
        <v>330917742</v>
      </c>
    </row>
    <row r="125" spans="1:3" ht="12" customHeight="1" thickBot="1">
      <c r="A125" s="32" t="s">
        <v>545</v>
      </c>
      <c r="B125" s="124" t="s">
        <v>91</v>
      </c>
      <c r="C125" s="299">
        <f>C122+C108+C92</f>
        <v>1025092981</v>
      </c>
    </row>
    <row r="126" spans="1:3" ht="12" customHeight="1" thickBot="1">
      <c r="A126" s="32" t="s">
        <v>546</v>
      </c>
      <c r="B126" s="124" t="s">
        <v>92</v>
      </c>
      <c r="C126" s="299">
        <f>'9.1. melléklet'!C126-'9.1.2.melléklet'!C125</f>
        <v>0</v>
      </c>
    </row>
    <row r="127" spans="1:3" s="98" customFormat="1" ht="12" customHeight="1">
      <c r="A127" s="425" t="s">
        <v>618</v>
      </c>
      <c r="B127" s="9" t="s">
        <v>93</v>
      </c>
      <c r="C127" s="299">
        <f>'9.1. melléklet'!C127-'9.1.2.melléklet'!C126</f>
        <v>0</v>
      </c>
    </row>
    <row r="128" spans="1:3" ht="12" customHeight="1">
      <c r="A128" s="425" t="s">
        <v>619</v>
      </c>
      <c r="B128" s="9" t="s">
        <v>94</v>
      </c>
      <c r="C128" s="300">
        <f>'9.1. melléklet'!C128-'9.1.2.melléklet'!C127</f>
        <v>0</v>
      </c>
    </row>
    <row r="129" spans="1:3" ht="12" customHeight="1" thickBot="1">
      <c r="A129" s="435" t="s">
        <v>620</v>
      </c>
      <c r="B129" s="7" t="s">
        <v>95</v>
      </c>
      <c r="C129" s="306">
        <f>'9.1. melléklet'!C129-'9.1.2.melléklet'!C128</f>
        <v>0</v>
      </c>
    </row>
    <row r="130" spans="1:3" ht="12" customHeight="1" thickBot="1">
      <c r="A130" s="32" t="s">
        <v>547</v>
      </c>
      <c r="B130" s="124" t="s">
        <v>156</v>
      </c>
      <c r="C130" s="299">
        <f>'9.1. melléklet'!C130-'9.1.2.melléklet'!C129</f>
        <v>0</v>
      </c>
    </row>
    <row r="131" spans="1:3" ht="12" customHeight="1">
      <c r="A131" s="425" t="s">
        <v>621</v>
      </c>
      <c r="B131" s="9" t="s">
        <v>96</v>
      </c>
      <c r="C131" s="299">
        <f>'9.1. melléklet'!C131-'9.1.2.melléklet'!C130</f>
        <v>0</v>
      </c>
    </row>
    <row r="132" spans="1:3" ht="12" customHeight="1">
      <c r="A132" s="425" t="s">
        <v>622</v>
      </c>
      <c r="B132" s="9" t="s">
        <v>97</v>
      </c>
      <c r="C132" s="300">
        <f>'9.1. melléklet'!C132-'9.1.2.melléklet'!C131</f>
        <v>0</v>
      </c>
    </row>
    <row r="133" spans="1:3" ht="12" customHeight="1">
      <c r="A133" s="425" t="s">
        <v>828</v>
      </c>
      <c r="B133" s="9" t="s">
        <v>98</v>
      </c>
      <c r="C133" s="300">
        <f>'9.1. melléklet'!C133-'9.1.2.melléklet'!C132</f>
        <v>0</v>
      </c>
    </row>
    <row r="134" spans="1:3" s="98" customFormat="1" ht="12" customHeight="1" thickBot="1">
      <c r="A134" s="435" t="s">
        <v>829</v>
      </c>
      <c r="B134" s="7" t="s">
        <v>99</v>
      </c>
      <c r="C134" s="306">
        <f>'9.1. melléklet'!C134-'9.1.2.melléklet'!C133</f>
        <v>0</v>
      </c>
    </row>
    <row r="135" spans="1:11" ht="12" customHeight="1" thickBot="1">
      <c r="A135" s="32" t="s">
        <v>548</v>
      </c>
      <c r="B135" s="124" t="s">
        <v>100</v>
      </c>
      <c r="C135" s="299">
        <f>C138</f>
        <v>105095575</v>
      </c>
      <c r="K135" s="254"/>
    </row>
    <row r="136" spans="1:3" ht="12.75">
      <c r="A136" s="425" t="s">
        <v>623</v>
      </c>
      <c r="B136" s="9" t="s">
        <v>101</v>
      </c>
      <c r="C136" s="299">
        <f>'9.1. melléklet'!C136-'9.1.2.melléklet'!C135</f>
        <v>0</v>
      </c>
    </row>
    <row r="137" spans="1:3" ht="12" customHeight="1">
      <c r="A137" s="425" t="s">
        <v>624</v>
      </c>
      <c r="B137" s="9" t="s">
        <v>111</v>
      </c>
      <c r="C137" s="300">
        <f>'9.1. melléklet'!C137-'9.1.2.melléklet'!C136</f>
        <v>0</v>
      </c>
    </row>
    <row r="138" spans="1:3" s="98" customFormat="1" ht="12" customHeight="1">
      <c r="A138" s="425" t="s">
        <v>840</v>
      </c>
      <c r="B138" s="9" t="s">
        <v>408</v>
      </c>
      <c r="C138" s="300">
        <v>105095575</v>
      </c>
    </row>
    <row r="139" spans="1:3" s="98" customFormat="1" ht="12" customHeight="1" thickBot="1">
      <c r="A139" s="435" t="s">
        <v>841</v>
      </c>
      <c r="B139" s="7" t="s">
        <v>103</v>
      </c>
      <c r="C139" s="306">
        <f>'9.1. melléklet'!C139-'9.1.2.melléklet'!C138</f>
        <v>0</v>
      </c>
    </row>
    <row r="140" spans="1:3" s="98" customFormat="1" ht="12" customHeight="1" thickBot="1">
      <c r="A140" s="32" t="s">
        <v>549</v>
      </c>
      <c r="B140" s="124" t="s">
        <v>104</v>
      </c>
      <c r="C140" s="299">
        <f>'9.1. melléklet'!C140-'9.1.2.melléklet'!C139</f>
        <v>0</v>
      </c>
    </row>
    <row r="141" spans="1:3" s="98" customFormat="1" ht="12" customHeight="1">
      <c r="A141" s="425" t="s">
        <v>703</v>
      </c>
      <c r="B141" s="9" t="s">
        <v>105</v>
      </c>
      <c r="C141" s="299">
        <f>'9.1. melléklet'!C141-'9.1.2.melléklet'!C140</f>
        <v>0</v>
      </c>
    </row>
    <row r="142" spans="1:3" s="98" customFormat="1" ht="12" customHeight="1">
      <c r="A142" s="425" t="s">
        <v>704</v>
      </c>
      <c r="B142" s="9" t="s">
        <v>106</v>
      </c>
      <c r="C142" s="300">
        <f>'9.1. melléklet'!C142-'9.1.2.melléklet'!C141</f>
        <v>0</v>
      </c>
    </row>
    <row r="143" spans="1:3" s="98" customFormat="1" ht="12" customHeight="1">
      <c r="A143" s="425" t="s">
        <v>756</v>
      </c>
      <c r="B143" s="9" t="s">
        <v>107</v>
      </c>
      <c r="C143" s="300">
        <f>'9.1. melléklet'!C143-'9.1.2.melléklet'!C142</f>
        <v>0</v>
      </c>
    </row>
    <row r="144" spans="1:3" ht="12.75" customHeight="1" thickBot="1">
      <c r="A144" s="425" t="s">
        <v>843</v>
      </c>
      <c r="B144" s="9" t="s">
        <v>108</v>
      </c>
      <c r="C144" s="306">
        <f>'9.1. melléklet'!C144-'9.1.2.melléklet'!C143</f>
        <v>0</v>
      </c>
    </row>
    <row r="145" spans="1:3" ht="12" customHeight="1" thickBot="1">
      <c r="A145" s="32" t="s">
        <v>550</v>
      </c>
      <c r="B145" s="124" t="s">
        <v>109</v>
      </c>
      <c r="C145" s="299">
        <f>C140+C135+C130+C126</f>
        <v>105095575</v>
      </c>
    </row>
    <row r="146" spans="1:3" ht="15" customHeight="1" thickBot="1">
      <c r="A146" s="437" t="s">
        <v>551</v>
      </c>
      <c r="B146" s="380" t="s">
        <v>110</v>
      </c>
      <c r="C146" s="915">
        <f>C125+C145</f>
        <v>1130188556</v>
      </c>
    </row>
    <row r="147" spans="1:3" ht="13.5" thickBot="1">
      <c r="A147" s="387"/>
      <c r="B147" s="388"/>
      <c r="C147" s="389"/>
    </row>
    <row r="148" spans="1:3" ht="15" customHeight="1" thickBot="1">
      <c r="A148" s="251" t="s">
        <v>728</v>
      </c>
      <c r="B148" s="252"/>
      <c r="C148" s="121">
        <v>17</v>
      </c>
    </row>
    <row r="149" spans="1:3" ht="14.25" customHeight="1" thickBot="1">
      <c r="A149" s="251" t="s">
        <v>729</v>
      </c>
      <c r="B149" s="252"/>
      <c r="C149" s="121">
        <v>15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BreakPreview" zoomScale="85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390" customWidth="1"/>
    <col min="2" max="2" width="72.00390625" style="391" customWidth="1"/>
    <col min="3" max="3" width="25.00390625" style="392" customWidth="1"/>
    <col min="4" max="16384" width="9.375" style="3" customWidth="1"/>
  </cols>
  <sheetData>
    <row r="1" spans="1:3" s="2" customFormat="1" ht="16.5" customHeight="1" thickBot="1">
      <c r="A1" s="228"/>
      <c r="B1" s="230"/>
      <c r="C1" s="253" t="s">
        <v>28</v>
      </c>
    </row>
    <row r="2" spans="1:3" s="94" customFormat="1" ht="21" customHeight="1">
      <c r="A2" s="397" t="s">
        <v>587</v>
      </c>
      <c r="B2" s="359" t="s">
        <v>750</v>
      </c>
      <c r="C2" s="361" t="s">
        <v>576</v>
      </c>
    </row>
    <row r="3" spans="1:3" s="94" customFormat="1" ht="16.5" thickBot="1">
      <c r="A3" s="231" t="s">
        <v>725</v>
      </c>
      <c r="B3" s="360" t="s">
        <v>199</v>
      </c>
      <c r="C3" s="362">
        <v>3</v>
      </c>
    </row>
    <row r="4" spans="1:3" s="95" customFormat="1" ht="15.75" customHeight="1" thickBot="1">
      <c r="A4" s="232"/>
      <c r="B4" s="232"/>
      <c r="C4" s="233"/>
    </row>
    <row r="5" spans="1:3" ht="13.5" thickBot="1">
      <c r="A5" s="398" t="s">
        <v>727</v>
      </c>
      <c r="B5" s="234" t="s">
        <v>577</v>
      </c>
      <c r="C5" s="363" t="s">
        <v>578</v>
      </c>
    </row>
    <row r="6" spans="1:3" s="59" customFormat="1" ht="12.75" customHeight="1" thickBot="1">
      <c r="A6" s="201">
        <v>1</v>
      </c>
      <c r="B6" s="202">
        <v>2</v>
      </c>
      <c r="C6" s="203">
        <v>3</v>
      </c>
    </row>
    <row r="7" spans="1:3" s="59" customFormat="1" ht="15.75" customHeight="1" thickBot="1">
      <c r="A7" s="236"/>
      <c r="B7" s="237" t="s">
        <v>579</v>
      </c>
      <c r="C7" s="364"/>
    </row>
    <row r="8" spans="1:3" s="59" customFormat="1" ht="12" customHeight="1" thickBot="1">
      <c r="A8" s="32" t="s">
        <v>542</v>
      </c>
      <c r="B8" s="21" t="s">
        <v>784</v>
      </c>
      <c r="C8" s="298">
        <f>+C9+C10+C11+C12+C13+C14</f>
        <v>0</v>
      </c>
    </row>
    <row r="9" spans="1:3" s="96" customFormat="1" ht="12" customHeight="1">
      <c r="A9" s="425" t="s">
        <v>625</v>
      </c>
      <c r="B9" s="407" t="s">
        <v>785</v>
      </c>
      <c r="C9" s="301"/>
    </row>
    <row r="10" spans="1:3" s="97" customFormat="1" ht="12" customHeight="1">
      <c r="A10" s="426" t="s">
        <v>626</v>
      </c>
      <c r="B10" s="408" t="s">
        <v>786</v>
      </c>
      <c r="C10" s="300"/>
    </row>
    <row r="11" spans="1:3" s="97" customFormat="1" ht="12" customHeight="1">
      <c r="A11" s="426" t="s">
        <v>627</v>
      </c>
      <c r="B11" s="408" t="s">
        <v>787</v>
      </c>
      <c r="C11" s="300"/>
    </row>
    <row r="12" spans="1:3" s="97" customFormat="1" ht="12" customHeight="1">
      <c r="A12" s="426" t="s">
        <v>628</v>
      </c>
      <c r="B12" s="408" t="s">
        <v>788</v>
      </c>
      <c r="C12" s="300"/>
    </row>
    <row r="13" spans="1:3" s="97" customFormat="1" ht="12" customHeight="1">
      <c r="A13" s="426" t="s">
        <v>670</v>
      </c>
      <c r="B13" s="408" t="s">
        <v>789</v>
      </c>
      <c r="C13" s="818"/>
    </row>
    <row r="14" spans="1:3" s="96" customFormat="1" ht="12" customHeight="1" thickBot="1">
      <c r="A14" s="427" t="s">
        <v>629</v>
      </c>
      <c r="B14" s="409" t="s">
        <v>790</v>
      </c>
      <c r="C14" s="819"/>
    </row>
    <row r="15" spans="1:3" s="96" customFormat="1" ht="12" customHeight="1" thickBot="1">
      <c r="A15" s="32" t="s">
        <v>543</v>
      </c>
      <c r="B15" s="293" t="s">
        <v>791</v>
      </c>
      <c r="C15" s="298">
        <f>+C16+C17+C18+C19+C20</f>
        <v>0</v>
      </c>
    </row>
    <row r="16" spans="1:3" s="96" customFormat="1" ht="12" customHeight="1">
      <c r="A16" s="425" t="s">
        <v>631</v>
      </c>
      <c r="B16" s="407" t="s">
        <v>792</v>
      </c>
      <c r="C16" s="301"/>
    </row>
    <row r="17" spans="1:3" s="96" customFormat="1" ht="12" customHeight="1">
      <c r="A17" s="426" t="s">
        <v>632</v>
      </c>
      <c r="B17" s="408" t="s">
        <v>793</v>
      </c>
      <c r="C17" s="300"/>
    </row>
    <row r="18" spans="1:3" s="96" customFormat="1" ht="12" customHeight="1">
      <c r="A18" s="426" t="s">
        <v>633</v>
      </c>
      <c r="B18" s="408" t="s">
        <v>191</v>
      </c>
      <c r="C18" s="300"/>
    </row>
    <row r="19" spans="1:3" s="96" customFormat="1" ht="12" customHeight="1">
      <c r="A19" s="426" t="s">
        <v>634</v>
      </c>
      <c r="B19" s="408" t="s">
        <v>192</v>
      </c>
      <c r="C19" s="300"/>
    </row>
    <row r="20" spans="1:3" s="96" customFormat="1" ht="12" customHeight="1">
      <c r="A20" s="426" t="s">
        <v>635</v>
      </c>
      <c r="B20" s="408" t="s">
        <v>794</v>
      </c>
      <c r="C20" s="300"/>
    </row>
    <row r="21" spans="1:3" s="97" customFormat="1" ht="12" customHeight="1" thickBot="1">
      <c r="A21" s="427" t="s">
        <v>644</v>
      </c>
      <c r="B21" s="409" t="s">
        <v>795</v>
      </c>
      <c r="C21" s="302"/>
    </row>
    <row r="22" spans="1:3" s="97" customFormat="1" ht="12" customHeight="1" thickBot="1">
      <c r="A22" s="32" t="s">
        <v>544</v>
      </c>
      <c r="B22" s="21" t="s">
        <v>796</v>
      </c>
      <c r="C22" s="298">
        <f>+C23+C24+C25+C26+C27</f>
        <v>0</v>
      </c>
    </row>
    <row r="23" spans="1:3" s="97" customFormat="1" ht="12" customHeight="1">
      <c r="A23" s="425" t="s">
        <v>614</v>
      </c>
      <c r="B23" s="407" t="s">
        <v>797</v>
      </c>
      <c r="C23" s="301"/>
    </row>
    <row r="24" spans="1:3" s="96" customFormat="1" ht="12" customHeight="1">
      <c r="A24" s="426" t="s">
        <v>615</v>
      </c>
      <c r="B24" s="408" t="s">
        <v>798</v>
      </c>
      <c r="C24" s="300"/>
    </row>
    <row r="25" spans="1:3" s="97" customFormat="1" ht="12" customHeight="1">
      <c r="A25" s="426" t="s">
        <v>616</v>
      </c>
      <c r="B25" s="408" t="s">
        <v>193</v>
      </c>
      <c r="C25" s="300"/>
    </row>
    <row r="26" spans="1:3" s="97" customFormat="1" ht="12" customHeight="1">
      <c r="A26" s="426" t="s">
        <v>617</v>
      </c>
      <c r="B26" s="408" t="s">
        <v>194</v>
      </c>
      <c r="C26" s="300"/>
    </row>
    <row r="27" spans="1:3" s="97" customFormat="1" ht="12" customHeight="1">
      <c r="A27" s="426" t="s">
        <v>693</v>
      </c>
      <c r="B27" s="408" t="s">
        <v>799</v>
      </c>
      <c r="C27" s="300"/>
    </row>
    <row r="28" spans="1:3" s="97" customFormat="1" ht="12" customHeight="1" thickBot="1">
      <c r="A28" s="427" t="s">
        <v>694</v>
      </c>
      <c r="B28" s="409" t="s">
        <v>800</v>
      </c>
      <c r="C28" s="302"/>
    </row>
    <row r="29" spans="1:3" s="97" customFormat="1" ht="12" customHeight="1" thickBot="1">
      <c r="A29" s="32" t="s">
        <v>695</v>
      </c>
      <c r="B29" s="21" t="s">
        <v>801</v>
      </c>
      <c r="C29" s="304">
        <f>+C30+C33+C34+C35</f>
        <v>0</v>
      </c>
    </row>
    <row r="30" spans="1:3" s="97" customFormat="1" ht="12" customHeight="1">
      <c r="A30" s="425" t="s">
        <v>802</v>
      </c>
      <c r="B30" s="407" t="s">
        <v>808</v>
      </c>
      <c r="C30" s="402">
        <f>+C31+C32</f>
        <v>0</v>
      </c>
    </row>
    <row r="31" spans="1:3" s="97" customFormat="1" ht="12" customHeight="1">
      <c r="A31" s="426" t="s">
        <v>803</v>
      </c>
      <c r="B31" s="408" t="s">
        <v>809</v>
      </c>
      <c r="C31" s="300"/>
    </row>
    <row r="32" spans="1:3" s="97" customFormat="1" ht="12" customHeight="1">
      <c r="A32" s="426" t="s">
        <v>804</v>
      </c>
      <c r="B32" s="408" t="s">
        <v>810</v>
      </c>
      <c r="C32" s="300"/>
    </row>
    <row r="33" spans="1:3" s="97" customFormat="1" ht="12" customHeight="1">
      <c r="A33" s="426" t="s">
        <v>805</v>
      </c>
      <c r="B33" s="408" t="s">
        <v>811</v>
      </c>
      <c r="C33" s="300"/>
    </row>
    <row r="34" spans="1:3" s="97" customFormat="1" ht="12" customHeight="1">
      <c r="A34" s="426" t="s">
        <v>806</v>
      </c>
      <c r="B34" s="408" t="s">
        <v>812</v>
      </c>
      <c r="C34" s="300"/>
    </row>
    <row r="35" spans="1:3" s="97" customFormat="1" ht="12" customHeight="1" thickBot="1">
      <c r="A35" s="427" t="s">
        <v>807</v>
      </c>
      <c r="B35" s="409" t="s">
        <v>813</v>
      </c>
      <c r="C35" s="302"/>
    </row>
    <row r="36" spans="1:3" s="97" customFormat="1" ht="12" customHeight="1" thickBot="1">
      <c r="A36" s="32" t="s">
        <v>546</v>
      </c>
      <c r="B36" s="21" t="s">
        <v>814</v>
      </c>
      <c r="C36" s="298">
        <f>SUM(C37:C46)</f>
        <v>3450000</v>
      </c>
    </row>
    <row r="37" spans="1:3" s="97" customFormat="1" ht="12" customHeight="1">
      <c r="A37" s="425" t="s">
        <v>618</v>
      </c>
      <c r="B37" s="407" t="s">
        <v>817</v>
      </c>
      <c r="C37" s="301"/>
    </row>
    <row r="38" spans="1:3" s="97" customFormat="1" ht="12" customHeight="1">
      <c r="A38" s="426" t="s">
        <v>619</v>
      </c>
      <c r="B38" s="408" t="s">
        <v>818</v>
      </c>
      <c r="C38" s="300">
        <v>3450000</v>
      </c>
    </row>
    <row r="39" spans="1:3" s="97" customFormat="1" ht="12" customHeight="1">
      <c r="A39" s="426" t="s">
        <v>620</v>
      </c>
      <c r="B39" s="408" t="s">
        <v>819</v>
      </c>
      <c r="C39" s="300"/>
    </row>
    <row r="40" spans="1:3" s="97" customFormat="1" ht="12" customHeight="1">
      <c r="A40" s="426" t="s">
        <v>697</v>
      </c>
      <c r="B40" s="408" t="s">
        <v>820</v>
      </c>
      <c r="C40" s="300"/>
    </row>
    <row r="41" spans="1:3" s="97" customFormat="1" ht="12" customHeight="1">
      <c r="A41" s="426" t="s">
        <v>698</v>
      </c>
      <c r="B41" s="408" t="s">
        <v>821</v>
      </c>
      <c r="C41" s="300"/>
    </row>
    <row r="42" spans="1:3" s="97" customFormat="1" ht="12" customHeight="1">
      <c r="A42" s="426" t="s">
        <v>699</v>
      </c>
      <c r="B42" s="408" t="s">
        <v>822</v>
      </c>
      <c r="C42" s="300"/>
    </row>
    <row r="43" spans="1:3" s="97" customFormat="1" ht="12" customHeight="1">
      <c r="A43" s="426" t="s">
        <v>700</v>
      </c>
      <c r="B43" s="408" t="s">
        <v>823</v>
      </c>
      <c r="C43" s="300"/>
    </row>
    <row r="44" spans="1:3" s="97" customFormat="1" ht="12" customHeight="1">
      <c r="A44" s="426" t="s">
        <v>701</v>
      </c>
      <c r="B44" s="408" t="s">
        <v>824</v>
      </c>
      <c r="C44" s="300"/>
    </row>
    <row r="45" spans="1:3" s="97" customFormat="1" ht="12" customHeight="1">
      <c r="A45" s="426" t="s">
        <v>815</v>
      </c>
      <c r="B45" s="408" t="s">
        <v>825</v>
      </c>
      <c r="C45" s="303"/>
    </row>
    <row r="46" spans="1:3" s="97" customFormat="1" ht="12" customHeight="1" thickBot="1">
      <c r="A46" s="427" t="s">
        <v>816</v>
      </c>
      <c r="B46" s="409" t="s">
        <v>826</v>
      </c>
      <c r="C46" s="396"/>
    </row>
    <row r="47" spans="1:3" s="97" customFormat="1" ht="12" customHeight="1" thickBot="1">
      <c r="A47" s="32" t="s">
        <v>547</v>
      </c>
      <c r="B47" s="21" t="s">
        <v>827</v>
      </c>
      <c r="C47" s="298">
        <f>SUM(C48:C52)</f>
        <v>0</v>
      </c>
    </row>
    <row r="48" spans="1:3" s="97" customFormat="1" ht="12" customHeight="1">
      <c r="A48" s="425" t="s">
        <v>621</v>
      </c>
      <c r="B48" s="407" t="s">
        <v>831</v>
      </c>
      <c r="C48" s="451"/>
    </row>
    <row r="49" spans="1:3" s="97" customFormat="1" ht="12" customHeight="1">
      <c r="A49" s="426" t="s">
        <v>622</v>
      </c>
      <c r="B49" s="408" t="s">
        <v>832</v>
      </c>
      <c r="C49" s="303"/>
    </row>
    <row r="50" spans="1:3" s="97" customFormat="1" ht="12" customHeight="1">
      <c r="A50" s="426" t="s">
        <v>828</v>
      </c>
      <c r="B50" s="408" t="s">
        <v>833</v>
      </c>
      <c r="C50" s="303"/>
    </row>
    <row r="51" spans="1:3" s="97" customFormat="1" ht="12" customHeight="1">
      <c r="A51" s="426" t="s">
        <v>829</v>
      </c>
      <c r="B51" s="408" t="s">
        <v>834</v>
      </c>
      <c r="C51" s="303"/>
    </row>
    <row r="52" spans="1:3" s="97" customFormat="1" ht="12" customHeight="1" thickBot="1">
      <c r="A52" s="427" t="s">
        <v>830</v>
      </c>
      <c r="B52" s="409" t="s">
        <v>835</v>
      </c>
      <c r="C52" s="396"/>
    </row>
    <row r="53" spans="1:3" s="97" customFormat="1" ht="12" customHeight="1" thickBot="1">
      <c r="A53" s="32" t="s">
        <v>702</v>
      </c>
      <c r="B53" s="21" t="s">
        <v>836</v>
      </c>
      <c r="C53" s="298">
        <f>SUM(C54:C56)</f>
        <v>0</v>
      </c>
    </row>
    <row r="54" spans="1:3" s="97" customFormat="1" ht="12" customHeight="1">
      <c r="A54" s="425" t="s">
        <v>623</v>
      </c>
      <c r="B54" s="407" t="s">
        <v>837</v>
      </c>
      <c r="C54" s="301"/>
    </row>
    <row r="55" spans="1:3" s="97" customFormat="1" ht="12" customHeight="1">
      <c r="A55" s="426" t="s">
        <v>624</v>
      </c>
      <c r="B55" s="408" t="s">
        <v>195</v>
      </c>
      <c r="C55" s="300"/>
    </row>
    <row r="56" spans="1:3" s="97" customFormat="1" ht="12" customHeight="1">
      <c r="A56" s="426" t="s">
        <v>840</v>
      </c>
      <c r="B56" s="408" t="s">
        <v>838</v>
      </c>
      <c r="C56" s="300"/>
    </row>
    <row r="57" spans="1:3" s="97" customFormat="1" ht="12" customHeight="1" thickBot="1">
      <c r="A57" s="427" t="s">
        <v>841</v>
      </c>
      <c r="B57" s="409" t="s">
        <v>839</v>
      </c>
      <c r="C57" s="302"/>
    </row>
    <row r="58" spans="1:3" s="97" customFormat="1" ht="12" customHeight="1" thickBot="1">
      <c r="A58" s="32" t="s">
        <v>549</v>
      </c>
      <c r="B58" s="293" t="s">
        <v>842</v>
      </c>
      <c r="C58" s="298">
        <f>SUM(C59:C61)</f>
        <v>0</v>
      </c>
    </row>
    <row r="59" spans="1:3" s="97" customFormat="1" ht="12" customHeight="1">
      <c r="A59" s="425" t="s">
        <v>703</v>
      </c>
      <c r="B59" s="407" t="s">
        <v>844</v>
      </c>
      <c r="C59" s="303"/>
    </row>
    <row r="60" spans="1:3" s="97" customFormat="1" ht="12" customHeight="1">
      <c r="A60" s="426" t="s">
        <v>704</v>
      </c>
      <c r="B60" s="408" t="s">
        <v>196</v>
      </c>
      <c r="C60" s="303"/>
    </row>
    <row r="61" spans="1:3" s="97" customFormat="1" ht="12" customHeight="1">
      <c r="A61" s="426" t="s">
        <v>756</v>
      </c>
      <c r="B61" s="408" t="s">
        <v>845</v>
      </c>
      <c r="C61" s="303"/>
    </row>
    <row r="62" spans="1:3" s="97" customFormat="1" ht="12" customHeight="1" thickBot="1">
      <c r="A62" s="427" t="s">
        <v>843</v>
      </c>
      <c r="B62" s="409" t="s">
        <v>846</v>
      </c>
      <c r="C62" s="303"/>
    </row>
    <row r="63" spans="1:3" s="97" customFormat="1" ht="12" customHeight="1" thickBot="1">
      <c r="A63" s="32" t="s">
        <v>550</v>
      </c>
      <c r="B63" s="21" t="s">
        <v>847</v>
      </c>
      <c r="C63" s="304">
        <f>+C8+C15+C22+C29+C36+C47+C53+C58</f>
        <v>3450000</v>
      </c>
    </row>
    <row r="64" spans="1:3" s="97" customFormat="1" ht="12" customHeight="1" thickBot="1">
      <c r="A64" s="428" t="s">
        <v>157</v>
      </c>
      <c r="B64" s="293" t="s">
        <v>849</v>
      </c>
      <c r="C64" s="298">
        <f>SUM(C65:C67)</f>
        <v>0</v>
      </c>
    </row>
    <row r="65" spans="1:3" s="97" customFormat="1" ht="12" customHeight="1">
      <c r="A65" s="425" t="s">
        <v>54</v>
      </c>
      <c r="B65" s="407" t="s">
        <v>850</v>
      </c>
      <c r="C65" s="303"/>
    </row>
    <row r="66" spans="1:3" s="97" customFormat="1" ht="12" customHeight="1">
      <c r="A66" s="426" t="s">
        <v>63</v>
      </c>
      <c r="B66" s="408" t="s">
        <v>851</v>
      </c>
      <c r="C66" s="303"/>
    </row>
    <row r="67" spans="1:3" s="97" customFormat="1" ht="12" customHeight="1" thickBot="1">
      <c r="A67" s="427" t="s">
        <v>64</v>
      </c>
      <c r="B67" s="411" t="s">
        <v>852</v>
      </c>
      <c r="C67" s="303"/>
    </row>
    <row r="68" spans="1:3" s="97" customFormat="1" ht="12" customHeight="1" thickBot="1">
      <c r="A68" s="428" t="s">
        <v>853</v>
      </c>
      <c r="B68" s="293" t="s">
        <v>854</v>
      </c>
      <c r="C68" s="298">
        <f>SUM(C69:C72)</f>
        <v>0</v>
      </c>
    </row>
    <row r="69" spans="1:3" s="97" customFormat="1" ht="12" customHeight="1">
      <c r="A69" s="425" t="s">
        <v>671</v>
      </c>
      <c r="B69" s="407" t="s">
        <v>855</v>
      </c>
      <c r="C69" s="303"/>
    </row>
    <row r="70" spans="1:3" s="97" customFormat="1" ht="12" customHeight="1">
      <c r="A70" s="426" t="s">
        <v>672</v>
      </c>
      <c r="B70" s="408" t="s">
        <v>856</v>
      </c>
      <c r="C70" s="303"/>
    </row>
    <row r="71" spans="1:3" s="97" customFormat="1" ht="12" customHeight="1">
      <c r="A71" s="426" t="s">
        <v>55</v>
      </c>
      <c r="B71" s="408" t="s">
        <v>857</v>
      </c>
      <c r="C71" s="303"/>
    </row>
    <row r="72" spans="1:3" s="97" customFormat="1" ht="12" customHeight="1" thickBot="1">
      <c r="A72" s="427" t="s">
        <v>56</v>
      </c>
      <c r="B72" s="409" t="s">
        <v>858</v>
      </c>
      <c r="C72" s="303"/>
    </row>
    <row r="73" spans="1:3" s="97" customFormat="1" ht="12" customHeight="1" thickBot="1">
      <c r="A73" s="428" t="s">
        <v>859</v>
      </c>
      <c r="B73" s="293" t="s">
        <v>860</v>
      </c>
      <c r="C73" s="298">
        <f>SUM(C74:C75)</f>
        <v>0</v>
      </c>
    </row>
    <row r="74" spans="1:3" s="97" customFormat="1" ht="12" customHeight="1">
      <c r="A74" s="425" t="s">
        <v>57</v>
      </c>
      <c r="B74" s="407" t="s">
        <v>861</v>
      </c>
      <c r="C74" s="303"/>
    </row>
    <row r="75" spans="1:3" s="97" customFormat="1" ht="12" customHeight="1" thickBot="1">
      <c r="A75" s="427" t="s">
        <v>58</v>
      </c>
      <c r="B75" s="409" t="s">
        <v>862</v>
      </c>
      <c r="C75" s="303"/>
    </row>
    <row r="76" spans="1:3" s="96" customFormat="1" ht="12" customHeight="1" thickBot="1">
      <c r="A76" s="428" t="s">
        <v>863</v>
      </c>
      <c r="B76" s="293" t="s">
        <v>864</v>
      </c>
      <c r="C76" s="298">
        <f>SUM(C77:C79)</f>
        <v>0</v>
      </c>
    </row>
    <row r="77" spans="1:3" s="97" customFormat="1" ht="12" customHeight="1">
      <c r="A77" s="425" t="s">
        <v>59</v>
      </c>
      <c r="B77" s="407" t="s">
        <v>865</v>
      </c>
      <c r="C77" s="303"/>
    </row>
    <row r="78" spans="1:3" s="97" customFormat="1" ht="12" customHeight="1">
      <c r="A78" s="426" t="s">
        <v>60</v>
      </c>
      <c r="B78" s="408" t="s">
        <v>866</v>
      </c>
      <c r="C78" s="303"/>
    </row>
    <row r="79" spans="1:3" s="97" customFormat="1" ht="12" customHeight="1" thickBot="1">
      <c r="A79" s="427" t="s">
        <v>61</v>
      </c>
      <c r="B79" s="409" t="s">
        <v>867</v>
      </c>
      <c r="C79" s="303"/>
    </row>
    <row r="80" spans="1:3" s="97" customFormat="1" ht="12" customHeight="1" thickBot="1">
      <c r="A80" s="428" t="s">
        <v>868</v>
      </c>
      <c r="B80" s="293" t="s">
        <v>62</v>
      </c>
      <c r="C80" s="298">
        <f>SUM(C81:C84)</f>
        <v>0</v>
      </c>
    </row>
    <row r="81" spans="1:3" s="97" customFormat="1" ht="12" customHeight="1">
      <c r="A81" s="429" t="s">
        <v>869</v>
      </c>
      <c r="B81" s="407" t="s">
        <v>42</v>
      </c>
      <c r="C81" s="303"/>
    </row>
    <row r="82" spans="1:3" s="97" customFormat="1" ht="12" customHeight="1">
      <c r="A82" s="430" t="s">
        <v>43</v>
      </c>
      <c r="B82" s="408" t="s">
        <v>44</v>
      </c>
      <c r="C82" s="303"/>
    </row>
    <row r="83" spans="1:3" s="97" customFormat="1" ht="12" customHeight="1">
      <c r="A83" s="430" t="s">
        <v>45</v>
      </c>
      <c r="B83" s="408" t="s">
        <v>46</v>
      </c>
      <c r="C83" s="303"/>
    </row>
    <row r="84" spans="1:3" s="96" customFormat="1" ht="12" customHeight="1" thickBot="1">
      <c r="A84" s="431" t="s">
        <v>47</v>
      </c>
      <c r="B84" s="409" t="s">
        <v>48</v>
      </c>
      <c r="C84" s="303"/>
    </row>
    <row r="85" spans="1:3" s="96" customFormat="1" ht="12" customHeight="1" thickBot="1">
      <c r="A85" s="428" t="s">
        <v>49</v>
      </c>
      <c r="B85" s="293" t="s">
        <v>50</v>
      </c>
      <c r="C85" s="452"/>
    </row>
    <row r="86" spans="1:3" s="96" customFormat="1" ht="12" customHeight="1" thickBot="1">
      <c r="A86" s="428" t="s">
        <v>51</v>
      </c>
      <c r="B86" s="415" t="s">
        <v>52</v>
      </c>
      <c r="C86" s="304">
        <f>+C64+C68+C73+C76+C80+C85</f>
        <v>0</v>
      </c>
    </row>
    <row r="87" spans="1:3" s="96" customFormat="1" ht="12" customHeight="1" thickBot="1">
      <c r="A87" s="432" t="s">
        <v>65</v>
      </c>
      <c r="B87" s="417" t="s">
        <v>184</v>
      </c>
      <c r="C87" s="304">
        <f>+C63+C86</f>
        <v>3450000</v>
      </c>
    </row>
    <row r="88" spans="1:3" s="97" customFormat="1" ht="15" customHeight="1">
      <c r="A88" s="242"/>
      <c r="B88" s="243"/>
      <c r="C88" s="369"/>
    </row>
    <row r="89" spans="1:3" ht="13.5" thickBot="1">
      <c r="A89" s="433"/>
      <c r="B89" s="245"/>
      <c r="C89" s="370"/>
    </row>
    <row r="90" spans="1:3" s="59" customFormat="1" ht="16.5" customHeight="1" thickBot="1">
      <c r="A90" s="246"/>
      <c r="B90" s="247" t="s">
        <v>581</v>
      </c>
      <c r="C90" s="371"/>
    </row>
    <row r="91" spans="1:3" s="98" customFormat="1" ht="12" customHeight="1" thickBot="1">
      <c r="A91" s="399" t="s">
        <v>542</v>
      </c>
      <c r="B91" s="31" t="s">
        <v>68</v>
      </c>
      <c r="C91" s="297">
        <f>SUM(C92:C96)</f>
        <v>3450000</v>
      </c>
    </row>
    <row r="92" spans="1:3" ht="12" customHeight="1">
      <c r="A92" s="434" t="s">
        <v>625</v>
      </c>
      <c r="B92" s="10" t="s">
        <v>572</v>
      </c>
      <c r="C92" s="299"/>
    </row>
    <row r="93" spans="1:3" ht="12" customHeight="1">
      <c r="A93" s="426" t="s">
        <v>626</v>
      </c>
      <c r="B93" s="8" t="s">
        <v>705</v>
      </c>
      <c r="C93" s="300"/>
    </row>
    <row r="94" spans="1:3" ht="12" customHeight="1">
      <c r="A94" s="426" t="s">
        <v>627</v>
      </c>
      <c r="B94" s="8" t="s">
        <v>662</v>
      </c>
      <c r="C94" s="302"/>
    </row>
    <row r="95" spans="1:3" ht="12" customHeight="1">
      <c r="A95" s="426" t="s">
        <v>628</v>
      </c>
      <c r="B95" s="11" t="s">
        <v>706</v>
      </c>
      <c r="C95" s="302"/>
    </row>
    <row r="96" spans="1:3" ht="12" customHeight="1">
      <c r="A96" s="426" t="s">
        <v>639</v>
      </c>
      <c r="B96" s="19" t="s">
        <v>707</v>
      </c>
      <c r="C96" s="302">
        <v>3450000</v>
      </c>
    </row>
    <row r="97" spans="1:3" ht="12" customHeight="1">
      <c r="A97" s="426" t="s">
        <v>629</v>
      </c>
      <c r="B97" s="8" t="s">
        <v>69</v>
      </c>
      <c r="C97" s="302"/>
    </row>
    <row r="98" spans="1:3" ht="12" customHeight="1">
      <c r="A98" s="426" t="s">
        <v>630</v>
      </c>
      <c r="B98" s="141" t="s">
        <v>70</v>
      </c>
      <c r="C98" s="302"/>
    </row>
    <row r="99" spans="1:3" ht="12" customHeight="1">
      <c r="A99" s="426" t="s">
        <v>640</v>
      </c>
      <c r="B99" s="142" t="s">
        <v>71</v>
      </c>
      <c r="C99" s="302"/>
    </row>
    <row r="100" spans="1:3" ht="12" customHeight="1">
      <c r="A100" s="426" t="s">
        <v>641</v>
      </c>
      <c r="B100" s="142" t="s">
        <v>72</v>
      </c>
      <c r="C100" s="302"/>
    </row>
    <row r="101" spans="1:3" ht="12" customHeight="1">
      <c r="A101" s="426" t="s">
        <v>642</v>
      </c>
      <c r="B101" s="141" t="s">
        <v>73</v>
      </c>
      <c r="C101" s="302">
        <v>2000000</v>
      </c>
    </row>
    <row r="102" spans="1:3" ht="12" customHeight="1">
      <c r="A102" s="426" t="s">
        <v>643</v>
      </c>
      <c r="B102" s="141" t="s">
        <v>74</v>
      </c>
      <c r="C102" s="302"/>
    </row>
    <row r="103" spans="1:3" ht="12" customHeight="1">
      <c r="A103" s="426" t="s">
        <v>645</v>
      </c>
      <c r="B103" s="142" t="s">
        <v>75</v>
      </c>
      <c r="C103" s="302"/>
    </row>
    <row r="104" spans="1:3" ht="12" customHeight="1">
      <c r="A104" s="435" t="s">
        <v>708</v>
      </c>
      <c r="B104" s="143" t="s">
        <v>76</v>
      </c>
      <c r="C104" s="302"/>
    </row>
    <row r="105" spans="1:3" ht="12" customHeight="1">
      <c r="A105" s="426" t="s">
        <v>66</v>
      </c>
      <c r="B105" s="143" t="s">
        <v>77</v>
      </c>
      <c r="C105" s="302"/>
    </row>
    <row r="106" spans="1:3" ht="12" customHeight="1" thickBot="1">
      <c r="A106" s="436" t="s">
        <v>67</v>
      </c>
      <c r="B106" s="144" t="s">
        <v>78</v>
      </c>
      <c r="C106" s="306">
        <v>1450000</v>
      </c>
    </row>
    <row r="107" spans="1:3" ht="12" customHeight="1" thickBot="1">
      <c r="A107" s="32" t="s">
        <v>543</v>
      </c>
      <c r="B107" s="30" t="s">
        <v>79</v>
      </c>
      <c r="C107" s="298">
        <f>+C108+C110+C112</f>
        <v>0</v>
      </c>
    </row>
    <row r="108" spans="1:3" ht="12" customHeight="1">
      <c r="A108" s="425" t="s">
        <v>631</v>
      </c>
      <c r="B108" s="8" t="s">
        <v>754</v>
      </c>
      <c r="C108" s="301"/>
    </row>
    <row r="109" spans="1:3" ht="12" customHeight="1">
      <c r="A109" s="425" t="s">
        <v>632</v>
      </c>
      <c r="B109" s="12" t="s">
        <v>83</v>
      </c>
      <c r="C109" s="301"/>
    </row>
    <row r="110" spans="1:3" ht="12" customHeight="1">
      <c r="A110" s="425" t="s">
        <v>633</v>
      </c>
      <c r="B110" s="12" t="s">
        <v>709</v>
      </c>
      <c r="C110" s="300"/>
    </row>
    <row r="111" spans="1:3" ht="12" customHeight="1">
      <c r="A111" s="425" t="s">
        <v>634</v>
      </c>
      <c r="B111" s="12" t="s">
        <v>84</v>
      </c>
      <c r="C111" s="271"/>
    </row>
    <row r="112" spans="1:3" ht="12" customHeight="1">
      <c r="A112" s="425" t="s">
        <v>635</v>
      </c>
      <c r="B112" s="295" t="s">
        <v>757</v>
      </c>
      <c r="C112" s="271"/>
    </row>
    <row r="113" spans="1:3" ht="12" customHeight="1">
      <c r="A113" s="425" t="s">
        <v>644</v>
      </c>
      <c r="B113" s="294" t="s">
        <v>197</v>
      </c>
      <c r="C113" s="271"/>
    </row>
    <row r="114" spans="1:3" ht="12" customHeight="1">
      <c r="A114" s="425" t="s">
        <v>646</v>
      </c>
      <c r="B114" s="403" t="s">
        <v>89</v>
      </c>
      <c r="C114" s="271"/>
    </row>
    <row r="115" spans="1:3" ht="12" customHeight="1">
      <c r="A115" s="425" t="s">
        <v>710</v>
      </c>
      <c r="B115" s="142" t="s">
        <v>72</v>
      </c>
      <c r="C115" s="271"/>
    </row>
    <row r="116" spans="1:3" ht="12" customHeight="1">
      <c r="A116" s="425" t="s">
        <v>711</v>
      </c>
      <c r="B116" s="142" t="s">
        <v>88</v>
      </c>
      <c r="C116" s="271"/>
    </row>
    <row r="117" spans="1:3" ht="12" customHeight="1">
      <c r="A117" s="425" t="s">
        <v>712</v>
      </c>
      <c r="B117" s="142" t="s">
        <v>87</v>
      </c>
      <c r="C117" s="271"/>
    </row>
    <row r="118" spans="1:3" ht="12" customHeight="1">
      <c r="A118" s="425" t="s">
        <v>80</v>
      </c>
      <c r="B118" s="142" t="s">
        <v>75</v>
      </c>
      <c r="C118" s="271"/>
    </row>
    <row r="119" spans="1:3" ht="12" customHeight="1">
      <c r="A119" s="425" t="s">
        <v>81</v>
      </c>
      <c r="B119" s="142" t="s">
        <v>86</v>
      </c>
      <c r="C119" s="271"/>
    </row>
    <row r="120" spans="1:3" ht="12" customHeight="1" thickBot="1">
      <c r="A120" s="435" t="s">
        <v>82</v>
      </c>
      <c r="B120" s="142" t="s">
        <v>85</v>
      </c>
      <c r="C120" s="272"/>
    </row>
    <row r="121" spans="1:3" ht="12" customHeight="1" thickBot="1">
      <c r="A121" s="32" t="s">
        <v>544</v>
      </c>
      <c r="B121" s="124" t="s">
        <v>90</v>
      </c>
      <c r="C121" s="298">
        <f>+C122+C123</f>
        <v>0</v>
      </c>
    </row>
    <row r="122" spans="1:3" ht="12" customHeight="1">
      <c r="A122" s="425" t="s">
        <v>614</v>
      </c>
      <c r="B122" s="9" t="s">
        <v>583</v>
      </c>
      <c r="C122" s="301"/>
    </row>
    <row r="123" spans="1:3" ht="12" customHeight="1" thickBot="1">
      <c r="A123" s="427" t="s">
        <v>615</v>
      </c>
      <c r="B123" s="12" t="s">
        <v>584</v>
      </c>
      <c r="C123" s="302"/>
    </row>
    <row r="124" spans="1:3" ht="12" customHeight="1" thickBot="1">
      <c r="A124" s="32" t="s">
        <v>545</v>
      </c>
      <c r="B124" s="124" t="s">
        <v>91</v>
      </c>
      <c r="C124" s="298">
        <f>+C91+C107+C121</f>
        <v>3450000</v>
      </c>
    </row>
    <row r="125" spans="1:3" ht="12" customHeight="1" thickBot="1">
      <c r="A125" s="32" t="s">
        <v>546</v>
      </c>
      <c r="B125" s="124" t="s">
        <v>92</v>
      </c>
      <c r="C125" s="298">
        <f>+C126+C127+C128</f>
        <v>0</v>
      </c>
    </row>
    <row r="126" spans="1:3" s="98" customFormat="1" ht="12" customHeight="1">
      <c r="A126" s="425" t="s">
        <v>618</v>
      </c>
      <c r="B126" s="9" t="s">
        <v>93</v>
      </c>
      <c r="C126" s="271"/>
    </row>
    <row r="127" spans="1:3" ht="12" customHeight="1">
      <c r="A127" s="425" t="s">
        <v>619</v>
      </c>
      <c r="B127" s="9" t="s">
        <v>94</v>
      </c>
      <c r="C127" s="271"/>
    </row>
    <row r="128" spans="1:3" ht="12" customHeight="1" thickBot="1">
      <c r="A128" s="435" t="s">
        <v>620</v>
      </c>
      <c r="B128" s="7" t="s">
        <v>95</v>
      </c>
      <c r="C128" s="271"/>
    </row>
    <row r="129" spans="1:3" ht="12" customHeight="1" thickBot="1">
      <c r="A129" s="32" t="s">
        <v>547</v>
      </c>
      <c r="B129" s="124" t="s">
        <v>156</v>
      </c>
      <c r="C129" s="298">
        <f>+C130+C131+C132+C133</f>
        <v>0</v>
      </c>
    </row>
    <row r="130" spans="1:3" ht="12" customHeight="1">
      <c r="A130" s="425" t="s">
        <v>621</v>
      </c>
      <c r="B130" s="9" t="s">
        <v>96</v>
      </c>
      <c r="C130" s="271"/>
    </row>
    <row r="131" spans="1:3" ht="12" customHeight="1">
      <c r="A131" s="425" t="s">
        <v>622</v>
      </c>
      <c r="B131" s="9" t="s">
        <v>97</v>
      </c>
      <c r="C131" s="271"/>
    </row>
    <row r="132" spans="1:3" ht="12" customHeight="1">
      <c r="A132" s="425" t="s">
        <v>828</v>
      </c>
      <c r="B132" s="9" t="s">
        <v>98</v>
      </c>
      <c r="C132" s="271"/>
    </row>
    <row r="133" spans="1:3" s="98" customFormat="1" ht="12" customHeight="1" thickBot="1">
      <c r="A133" s="435" t="s">
        <v>829</v>
      </c>
      <c r="B133" s="7" t="s">
        <v>99</v>
      </c>
      <c r="C133" s="271"/>
    </row>
    <row r="134" spans="1:11" ht="12" customHeight="1" thickBot="1">
      <c r="A134" s="32" t="s">
        <v>548</v>
      </c>
      <c r="B134" s="124" t="s">
        <v>100</v>
      </c>
      <c r="C134" s="304">
        <f>+C135+C136+C137+C138</f>
        <v>0</v>
      </c>
      <c r="K134" s="254"/>
    </row>
    <row r="135" spans="1:3" ht="12.75">
      <c r="A135" s="425" t="s">
        <v>623</v>
      </c>
      <c r="B135" s="9" t="s">
        <v>101</v>
      </c>
      <c r="C135" s="271"/>
    </row>
    <row r="136" spans="1:3" ht="12" customHeight="1">
      <c r="A136" s="425" t="s">
        <v>624</v>
      </c>
      <c r="B136" s="9" t="s">
        <v>111</v>
      </c>
      <c r="C136" s="271"/>
    </row>
    <row r="137" spans="1:3" s="98" customFormat="1" ht="12" customHeight="1">
      <c r="A137" s="425" t="s">
        <v>840</v>
      </c>
      <c r="B137" s="9" t="s">
        <v>102</v>
      </c>
      <c r="C137" s="271"/>
    </row>
    <row r="138" spans="1:3" s="98" customFormat="1" ht="12" customHeight="1" thickBot="1">
      <c r="A138" s="435" t="s">
        <v>841</v>
      </c>
      <c r="B138" s="7" t="s">
        <v>103</v>
      </c>
      <c r="C138" s="271"/>
    </row>
    <row r="139" spans="1:3" s="98" customFormat="1" ht="12" customHeight="1" thickBot="1">
      <c r="A139" s="32" t="s">
        <v>549</v>
      </c>
      <c r="B139" s="124" t="s">
        <v>104</v>
      </c>
      <c r="C139" s="307">
        <f>+C140+C141+C142+C143</f>
        <v>0</v>
      </c>
    </row>
    <row r="140" spans="1:3" s="98" customFormat="1" ht="12" customHeight="1">
      <c r="A140" s="425" t="s">
        <v>703</v>
      </c>
      <c r="B140" s="9" t="s">
        <v>105</v>
      </c>
      <c r="C140" s="271"/>
    </row>
    <row r="141" spans="1:3" s="98" customFormat="1" ht="12" customHeight="1">
      <c r="A141" s="425" t="s">
        <v>704</v>
      </c>
      <c r="B141" s="9" t="s">
        <v>106</v>
      </c>
      <c r="C141" s="271"/>
    </row>
    <row r="142" spans="1:3" s="98" customFormat="1" ht="12" customHeight="1">
      <c r="A142" s="425" t="s">
        <v>756</v>
      </c>
      <c r="B142" s="9" t="s">
        <v>107</v>
      </c>
      <c r="C142" s="271"/>
    </row>
    <row r="143" spans="1:3" ht="12.75" customHeight="1" thickBot="1">
      <c r="A143" s="425" t="s">
        <v>843</v>
      </c>
      <c r="B143" s="9" t="s">
        <v>108</v>
      </c>
      <c r="C143" s="271"/>
    </row>
    <row r="144" spans="1:3" ht="12" customHeight="1" thickBot="1">
      <c r="A144" s="32" t="s">
        <v>550</v>
      </c>
      <c r="B144" s="124" t="s">
        <v>109</v>
      </c>
      <c r="C144" s="419">
        <f>+C125+C129+C134+C139</f>
        <v>0</v>
      </c>
    </row>
    <row r="145" spans="1:3" ht="15" customHeight="1" thickBot="1">
      <c r="A145" s="437" t="s">
        <v>551</v>
      </c>
      <c r="B145" s="380" t="s">
        <v>110</v>
      </c>
      <c r="C145" s="419">
        <f>+C124+C144</f>
        <v>3450000</v>
      </c>
    </row>
    <row r="146" spans="1:3" ht="13.5" thickBot="1">
      <c r="A146" s="387"/>
      <c r="B146" s="388"/>
      <c r="C146" s="389"/>
    </row>
    <row r="147" spans="1:3" ht="15" customHeight="1" thickBot="1">
      <c r="A147" s="251" t="s">
        <v>728</v>
      </c>
      <c r="B147" s="252"/>
      <c r="C147" s="121"/>
    </row>
    <row r="148" spans="1:3" ht="14.25" customHeight="1" thickBot="1">
      <c r="A148" s="251" t="s">
        <v>729</v>
      </c>
      <c r="B148" s="252"/>
      <c r="C148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BreakPreview" zoomScale="85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390" customWidth="1"/>
    <col min="2" max="2" width="72.00390625" style="391" customWidth="1"/>
    <col min="3" max="3" width="25.00390625" style="392" customWidth="1"/>
    <col min="4" max="16384" width="9.375" style="3" customWidth="1"/>
  </cols>
  <sheetData>
    <row r="1" spans="1:3" s="2" customFormat="1" ht="16.5" customHeight="1" thickBot="1">
      <c r="A1" s="228"/>
      <c r="B1" s="230"/>
      <c r="C1" s="253" t="s">
        <v>29</v>
      </c>
    </row>
    <row r="2" spans="1:3" s="94" customFormat="1" ht="21" customHeight="1">
      <c r="A2" s="397" t="s">
        <v>587</v>
      </c>
      <c r="B2" s="359" t="s">
        <v>750</v>
      </c>
      <c r="C2" s="361" t="s">
        <v>576</v>
      </c>
    </row>
    <row r="3" spans="1:3" s="94" customFormat="1" ht="16.5" thickBot="1">
      <c r="A3" s="231" t="s">
        <v>725</v>
      </c>
      <c r="B3" s="360" t="s">
        <v>200</v>
      </c>
      <c r="C3" s="362">
        <v>4</v>
      </c>
    </row>
    <row r="4" spans="1:3" s="95" customFormat="1" ht="15.75" customHeight="1" thickBot="1">
      <c r="A4" s="232"/>
      <c r="B4" s="232"/>
      <c r="C4" s="233"/>
    </row>
    <row r="5" spans="1:3" ht="13.5" thickBot="1">
      <c r="A5" s="398" t="s">
        <v>727</v>
      </c>
      <c r="B5" s="234" t="s">
        <v>577</v>
      </c>
      <c r="C5" s="363" t="s">
        <v>578</v>
      </c>
    </row>
    <row r="6" spans="1:3" s="59" customFormat="1" ht="12.75" customHeight="1" thickBot="1">
      <c r="A6" s="201">
        <v>1</v>
      </c>
      <c r="B6" s="202">
        <v>2</v>
      </c>
      <c r="C6" s="203">
        <v>3</v>
      </c>
    </row>
    <row r="7" spans="1:3" s="59" customFormat="1" ht="15.75" customHeight="1" thickBot="1">
      <c r="A7" s="236"/>
      <c r="B7" s="237" t="s">
        <v>579</v>
      </c>
      <c r="C7" s="364"/>
    </row>
    <row r="8" spans="1:3" s="59" customFormat="1" ht="12" customHeight="1" thickBot="1">
      <c r="A8" s="32" t="s">
        <v>542</v>
      </c>
      <c r="B8" s="21" t="s">
        <v>784</v>
      </c>
      <c r="C8" s="298">
        <f>+C9+C10+C11+C12+C13+C14</f>
        <v>99877528</v>
      </c>
    </row>
    <row r="9" spans="1:3" s="96" customFormat="1" ht="12" customHeight="1">
      <c r="A9" s="425" t="s">
        <v>625</v>
      </c>
      <c r="B9" s="407" t="s">
        <v>785</v>
      </c>
      <c r="C9" s="301">
        <v>99877528</v>
      </c>
    </row>
    <row r="10" spans="1:3" s="97" customFormat="1" ht="12" customHeight="1">
      <c r="A10" s="426" t="s">
        <v>626</v>
      </c>
      <c r="B10" s="408" t="s">
        <v>786</v>
      </c>
      <c r="C10" s="300"/>
    </row>
    <row r="11" spans="1:3" s="97" customFormat="1" ht="12" customHeight="1">
      <c r="A11" s="426" t="s">
        <v>627</v>
      </c>
      <c r="B11" s="408" t="s">
        <v>787</v>
      </c>
      <c r="C11" s="300"/>
    </row>
    <row r="12" spans="1:3" s="97" customFormat="1" ht="12" customHeight="1">
      <c r="A12" s="426" t="s">
        <v>628</v>
      </c>
      <c r="B12" s="408" t="s">
        <v>788</v>
      </c>
      <c r="C12" s="300"/>
    </row>
    <row r="13" spans="1:3" s="97" customFormat="1" ht="12" customHeight="1">
      <c r="A13" s="426" t="s">
        <v>670</v>
      </c>
      <c r="B13" s="408" t="s">
        <v>789</v>
      </c>
      <c r="C13" s="818"/>
    </row>
    <row r="14" spans="1:3" s="96" customFormat="1" ht="12" customHeight="1" thickBot="1">
      <c r="A14" s="427" t="s">
        <v>629</v>
      </c>
      <c r="B14" s="409" t="s">
        <v>790</v>
      </c>
      <c r="C14" s="819"/>
    </row>
    <row r="15" spans="1:3" s="96" customFormat="1" ht="12" customHeight="1" thickBot="1">
      <c r="A15" s="32" t="s">
        <v>543</v>
      </c>
      <c r="B15" s="293" t="s">
        <v>791</v>
      </c>
      <c r="C15" s="298">
        <f>+C16+C17+C18+C19+C20</f>
        <v>0</v>
      </c>
    </row>
    <row r="16" spans="1:3" s="96" customFormat="1" ht="12" customHeight="1">
      <c r="A16" s="425" t="s">
        <v>631</v>
      </c>
      <c r="B16" s="407" t="s">
        <v>792</v>
      </c>
      <c r="C16" s="301"/>
    </row>
    <row r="17" spans="1:3" s="96" customFormat="1" ht="12" customHeight="1">
      <c r="A17" s="426" t="s">
        <v>632</v>
      </c>
      <c r="B17" s="408" t="s">
        <v>793</v>
      </c>
      <c r="C17" s="300"/>
    </row>
    <row r="18" spans="1:3" s="96" customFormat="1" ht="12" customHeight="1">
      <c r="A18" s="426" t="s">
        <v>633</v>
      </c>
      <c r="B18" s="408" t="s">
        <v>191</v>
      </c>
      <c r="C18" s="300"/>
    </row>
    <row r="19" spans="1:3" s="96" customFormat="1" ht="12" customHeight="1">
      <c r="A19" s="426" t="s">
        <v>634</v>
      </c>
      <c r="B19" s="408" t="s">
        <v>192</v>
      </c>
      <c r="C19" s="300"/>
    </row>
    <row r="20" spans="1:3" s="96" customFormat="1" ht="12" customHeight="1">
      <c r="A20" s="426" t="s">
        <v>635</v>
      </c>
      <c r="B20" s="408" t="s">
        <v>794</v>
      </c>
      <c r="C20" s="300"/>
    </row>
    <row r="21" spans="1:3" s="97" customFormat="1" ht="12" customHeight="1" thickBot="1">
      <c r="A21" s="427" t="s">
        <v>644</v>
      </c>
      <c r="B21" s="409" t="s">
        <v>795</v>
      </c>
      <c r="C21" s="302"/>
    </row>
    <row r="22" spans="1:3" s="97" customFormat="1" ht="12" customHeight="1" thickBot="1">
      <c r="A22" s="32" t="s">
        <v>544</v>
      </c>
      <c r="B22" s="21" t="s">
        <v>796</v>
      </c>
      <c r="C22" s="298">
        <f>+C23+C24+C25+C26+C27</f>
        <v>0</v>
      </c>
    </row>
    <row r="23" spans="1:3" s="97" customFormat="1" ht="12" customHeight="1">
      <c r="A23" s="425" t="s">
        <v>614</v>
      </c>
      <c r="B23" s="407" t="s">
        <v>797</v>
      </c>
      <c r="C23" s="301"/>
    </row>
    <row r="24" spans="1:3" s="96" customFormat="1" ht="12" customHeight="1">
      <c r="A24" s="426" t="s">
        <v>615</v>
      </c>
      <c r="B24" s="408" t="s">
        <v>798</v>
      </c>
      <c r="C24" s="300"/>
    </row>
    <row r="25" spans="1:3" s="97" customFormat="1" ht="12" customHeight="1">
      <c r="A25" s="426" t="s">
        <v>616</v>
      </c>
      <c r="B25" s="408" t="s">
        <v>193</v>
      </c>
      <c r="C25" s="300"/>
    </row>
    <row r="26" spans="1:3" s="97" customFormat="1" ht="12" customHeight="1">
      <c r="A26" s="426" t="s">
        <v>617</v>
      </c>
      <c r="B26" s="408" t="s">
        <v>194</v>
      </c>
      <c r="C26" s="300"/>
    </row>
    <row r="27" spans="1:3" s="97" customFormat="1" ht="12" customHeight="1">
      <c r="A27" s="426" t="s">
        <v>693</v>
      </c>
      <c r="B27" s="408" t="s">
        <v>799</v>
      </c>
      <c r="C27" s="300"/>
    </row>
    <row r="28" spans="1:3" s="97" customFormat="1" ht="12" customHeight="1" thickBot="1">
      <c r="A28" s="427" t="s">
        <v>694</v>
      </c>
      <c r="B28" s="409" t="s">
        <v>800</v>
      </c>
      <c r="C28" s="302"/>
    </row>
    <row r="29" spans="1:3" s="97" customFormat="1" ht="12" customHeight="1" thickBot="1">
      <c r="A29" s="32" t="s">
        <v>695</v>
      </c>
      <c r="B29" s="21" t="s">
        <v>801</v>
      </c>
      <c r="C29" s="304">
        <f>+C30+C33+C34+C35</f>
        <v>0</v>
      </c>
    </row>
    <row r="30" spans="1:3" s="97" customFormat="1" ht="12" customHeight="1">
      <c r="A30" s="425" t="s">
        <v>802</v>
      </c>
      <c r="B30" s="407" t="s">
        <v>808</v>
      </c>
      <c r="C30" s="402">
        <f>+C31+C32</f>
        <v>0</v>
      </c>
    </row>
    <row r="31" spans="1:3" s="97" customFormat="1" ht="12" customHeight="1">
      <c r="A31" s="426" t="s">
        <v>803</v>
      </c>
      <c r="B31" s="408" t="s">
        <v>809</v>
      </c>
      <c r="C31" s="300"/>
    </row>
    <row r="32" spans="1:3" s="97" customFormat="1" ht="12" customHeight="1">
      <c r="A32" s="426" t="s">
        <v>804</v>
      </c>
      <c r="B32" s="408" t="s">
        <v>810</v>
      </c>
      <c r="C32" s="300"/>
    </row>
    <row r="33" spans="1:3" s="97" customFormat="1" ht="12" customHeight="1">
      <c r="A33" s="426" t="s">
        <v>805</v>
      </c>
      <c r="B33" s="408" t="s">
        <v>811</v>
      </c>
      <c r="C33" s="300"/>
    </row>
    <row r="34" spans="1:3" s="97" customFormat="1" ht="12" customHeight="1">
      <c r="A34" s="426" t="s">
        <v>806</v>
      </c>
      <c r="B34" s="408" t="s">
        <v>812</v>
      </c>
      <c r="C34" s="300"/>
    </row>
    <row r="35" spans="1:3" s="97" customFormat="1" ht="12" customHeight="1" thickBot="1">
      <c r="A35" s="427" t="s">
        <v>807</v>
      </c>
      <c r="B35" s="409" t="s">
        <v>813</v>
      </c>
      <c r="C35" s="302"/>
    </row>
    <row r="36" spans="1:3" s="97" customFormat="1" ht="12" customHeight="1" thickBot="1">
      <c r="A36" s="32" t="s">
        <v>546</v>
      </c>
      <c r="B36" s="21" t="s">
        <v>814</v>
      </c>
      <c r="C36" s="298">
        <f>SUM(C37:C46)</f>
        <v>0</v>
      </c>
    </row>
    <row r="37" spans="1:3" s="97" customFormat="1" ht="12" customHeight="1">
      <c r="A37" s="425" t="s">
        <v>618</v>
      </c>
      <c r="B37" s="407" t="s">
        <v>817</v>
      </c>
      <c r="C37" s="301"/>
    </row>
    <row r="38" spans="1:3" s="97" customFormat="1" ht="12" customHeight="1">
      <c r="A38" s="426" t="s">
        <v>619</v>
      </c>
      <c r="B38" s="408" t="s">
        <v>818</v>
      </c>
      <c r="C38" s="300"/>
    </row>
    <row r="39" spans="1:3" s="97" customFormat="1" ht="12" customHeight="1">
      <c r="A39" s="426" t="s">
        <v>620</v>
      </c>
      <c r="B39" s="408" t="s">
        <v>819</v>
      </c>
      <c r="C39" s="300"/>
    </row>
    <row r="40" spans="1:3" s="97" customFormat="1" ht="12" customHeight="1">
      <c r="A40" s="426" t="s">
        <v>697</v>
      </c>
      <c r="B40" s="408" t="s">
        <v>820</v>
      </c>
      <c r="C40" s="300"/>
    </row>
    <row r="41" spans="1:3" s="97" customFormat="1" ht="12" customHeight="1">
      <c r="A41" s="426" t="s">
        <v>698</v>
      </c>
      <c r="B41" s="408" t="s">
        <v>821</v>
      </c>
      <c r="C41" s="300"/>
    </row>
    <row r="42" spans="1:3" s="97" customFormat="1" ht="12" customHeight="1">
      <c r="A42" s="426" t="s">
        <v>699</v>
      </c>
      <c r="B42" s="408" t="s">
        <v>822</v>
      </c>
      <c r="C42" s="300"/>
    </row>
    <row r="43" spans="1:3" s="97" customFormat="1" ht="12" customHeight="1">
      <c r="A43" s="426" t="s">
        <v>700</v>
      </c>
      <c r="B43" s="408" t="s">
        <v>823</v>
      </c>
      <c r="C43" s="300"/>
    </row>
    <row r="44" spans="1:3" s="97" customFormat="1" ht="12" customHeight="1">
      <c r="A44" s="426" t="s">
        <v>701</v>
      </c>
      <c r="B44" s="408" t="s">
        <v>824</v>
      </c>
      <c r="C44" s="300"/>
    </row>
    <row r="45" spans="1:3" s="97" customFormat="1" ht="12" customHeight="1">
      <c r="A45" s="426" t="s">
        <v>815</v>
      </c>
      <c r="B45" s="408" t="s">
        <v>825</v>
      </c>
      <c r="C45" s="303"/>
    </row>
    <row r="46" spans="1:3" s="97" customFormat="1" ht="12" customHeight="1" thickBot="1">
      <c r="A46" s="427" t="s">
        <v>816</v>
      </c>
      <c r="B46" s="409" t="s">
        <v>826</v>
      </c>
      <c r="C46" s="396"/>
    </row>
    <row r="47" spans="1:3" s="97" customFormat="1" ht="12" customHeight="1" thickBot="1">
      <c r="A47" s="32" t="s">
        <v>547</v>
      </c>
      <c r="B47" s="21" t="s">
        <v>827</v>
      </c>
      <c r="C47" s="298">
        <f>SUM(C48:C52)</f>
        <v>0</v>
      </c>
    </row>
    <row r="48" spans="1:3" s="97" customFormat="1" ht="12" customHeight="1">
      <c r="A48" s="425" t="s">
        <v>621</v>
      </c>
      <c r="B48" s="407" t="s">
        <v>831</v>
      </c>
      <c r="C48" s="451"/>
    </row>
    <row r="49" spans="1:3" s="97" customFormat="1" ht="12" customHeight="1">
      <c r="A49" s="426" t="s">
        <v>622</v>
      </c>
      <c r="B49" s="408" t="s">
        <v>832</v>
      </c>
      <c r="C49" s="303"/>
    </row>
    <row r="50" spans="1:3" s="97" customFormat="1" ht="12" customHeight="1">
      <c r="A50" s="426" t="s">
        <v>828</v>
      </c>
      <c r="B50" s="408" t="s">
        <v>833</v>
      </c>
      <c r="C50" s="303"/>
    </row>
    <row r="51" spans="1:3" s="97" customFormat="1" ht="12" customHeight="1">
      <c r="A51" s="426" t="s">
        <v>829</v>
      </c>
      <c r="B51" s="408" t="s">
        <v>834</v>
      </c>
      <c r="C51" s="303"/>
    </row>
    <row r="52" spans="1:3" s="97" customFormat="1" ht="12" customHeight="1" thickBot="1">
      <c r="A52" s="427" t="s">
        <v>830</v>
      </c>
      <c r="B52" s="409" t="s">
        <v>835</v>
      </c>
      <c r="C52" s="396"/>
    </row>
    <row r="53" spans="1:3" s="97" customFormat="1" ht="12" customHeight="1" thickBot="1">
      <c r="A53" s="32" t="s">
        <v>702</v>
      </c>
      <c r="B53" s="21" t="s">
        <v>836</v>
      </c>
      <c r="C53" s="298">
        <f>SUM(C54:C56)</f>
        <v>0</v>
      </c>
    </row>
    <row r="54" spans="1:3" s="97" customFormat="1" ht="12" customHeight="1">
      <c r="A54" s="425" t="s">
        <v>623</v>
      </c>
      <c r="B54" s="407" t="s">
        <v>837</v>
      </c>
      <c r="C54" s="301"/>
    </row>
    <row r="55" spans="1:3" s="97" customFormat="1" ht="12" customHeight="1">
      <c r="A55" s="426" t="s">
        <v>624</v>
      </c>
      <c r="B55" s="408" t="s">
        <v>195</v>
      </c>
      <c r="C55" s="300"/>
    </row>
    <row r="56" spans="1:3" s="97" customFormat="1" ht="12" customHeight="1">
      <c r="A56" s="426" t="s">
        <v>840</v>
      </c>
      <c r="B56" s="408" t="s">
        <v>838</v>
      </c>
      <c r="C56" s="300"/>
    </row>
    <row r="57" spans="1:3" s="97" customFormat="1" ht="12" customHeight="1" thickBot="1">
      <c r="A57" s="427" t="s">
        <v>841</v>
      </c>
      <c r="B57" s="409" t="s">
        <v>839</v>
      </c>
      <c r="C57" s="302"/>
    </row>
    <row r="58" spans="1:3" s="97" customFormat="1" ht="12" customHeight="1" thickBot="1">
      <c r="A58" s="32" t="s">
        <v>549</v>
      </c>
      <c r="B58" s="293" t="s">
        <v>842</v>
      </c>
      <c r="C58" s="298">
        <f>SUM(C59:C61)</f>
        <v>0</v>
      </c>
    </row>
    <row r="59" spans="1:3" s="97" customFormat="1" ht="12" customHeight="1">
      <c r="A59" s="425" t="s">
        <v>703</v>
      </c>
      <c r="B59" s="407" t="s">
        <v>844</v>
      </c>
      <c r="C59" s="303"/>
    </row>
    <row r="60" spans="1:3" s="97" customFormat="1" ht="12" customHeight="1">
      <c r="A60" s="426" t="s">
        <v>704</v>
      </c>
      <c r="B60" s="408" t="s">
        <v>196</v>
      </c>
      <c r="C60" s="303"/>
    </row>
    <row r="61" spans="1:3" s="97" customFormat="1" ht="12" customHeight="1">
      <c r="A61" s="426" t="s">
        <v>756</v>
      </c>
      <c r="B61" s="408" t="s">
        <v>845</v>
      </c>
      <c r="C61" s="303"/>
    </row>
    <row r="62" spans="1:3" s="97" customFormat="1" ht="12" customHeight="1" thickBot="1">
      <c r="A62" s="427" t="s">
        <v>843</v>
      </c>
      <c r="B62" s="409" t="s">
        <v>846</v>
      </c>
      <c r="C62" s="303"/>
    </row>
    <row r="63" spans="1:3" s="97" customFormat="1" ht="12" customHeight="1" thickBot="1">
      <c r="A63" s="32" t="s">
        <v>550</v>
      </c>
      <c r="B63" s="21" t="s">
        <v>847</v>
      </c>
      <c r="C63" s="304">
        <f>+C8+C15+C22+C29+C36+C47+C53+C58</f>
        <v>99877528</v>
      </c>
    </row>
    <row r="64" spans="1:3" s="97" customFormat="1" ht="12" customHeight="1" thickBot="1">
      <c r="A64" s="428" t="s">
        <v>157</v>
      </c>
      <c r="B64" s="293" t="s">
        <v>849</v>
      </c>
      <c r="C64" s="298">
        <f>SUM(C65:C67)</f>
        <v>0</v>
      </c>
    </row>
    <row r="65" spans="1:3" s="97" customFormat="1" ht="12" customHeight="1">
      <c r="A65" s="425" t="s">
        <v>54</v>
      </c>
      <c r="B65" s="407" t="s">
        <v>850</v>
      </c>
      <c r="C65" s="303"/>
    </row>
    <row r="66" spans="1:3" s="97" customFormat="1" ht="12" customHeight="1">
      <c r="A66" s="426" t="s">
        <v>63</v>
      </c>
      <c r="B66" s="408" t="s">
        <v>851</v>
      </c>
      <c r="C66" s="303"/>
    </row>
    <row r="67" spans="1:3" s="97" customFormat="1" ht="12" customHeight="1" thickBot="1">
      <c r="A67" s="427" t="s">
        <v>64</v>
      </c>
      <c r="B67" s="411" t="s">
        <v>852</v>
      </c>
      <c r="C67" s="303"/>
    </row>
    <row r="68" spans="1:3" s="97" customFormat="1" ht="12" customHeight="1" thickBot="1">
      <c r="A68" s="428" t="s">
        <v>853</v>
      </c>
      <c r="B68" s="293" t="s">
        <v>854</v>
      </c>
      <c r="C68" s="298">
        <f>SUM(C69:C72)</f>
        <v>0</v>
      </c>
    </row>
    <row r="69" spans="1:3" s="97" customFormat="1" ht="12" customHeight="1">
      <c r="A69" s="425" t="s">
        <v>671</v>
      </c>
      <c r="B69" s="407" t="s">
        <v>855</v>
      </c>
      <c r="C69" s="303"/>
    </row>
    <row r="70" spans="1:3" s="97" customFormat="1" ht="12" customHeight="1">
      <c r="A70" s="426" t="s">
        <v>672</v>
      </c>
      <c r="B70" s="408" t="s">
        <v>856</v>
      </c>
      <c r="C70" s="303"/>
    </row>
    <row r="71" spans="1:3" s="97" customFormat="1" ht="12" customHeight="1">
      <c r="A71" s="426" t="s">
        <v>55</v>
      </c>
      <c r="B71" s="408" t="s">
        <v>857</v>
      </c>
      <c r="C71" s="303"/>
    </row>
    <row r="72" spans="1:3" s="97" customFormat="1" ht="12" customHeight="1" thickBot="1">
      <c r="A72" s="427" t="s">
        <v>56</v>
      </c>
      <c r="B72" s="409" t="s">
        <v>858</v>
      </c>
      <c r="C72" s="303"/>
    </row>
    <row r="73" spans="1:3" s="97" customFormat="1" ht="12" customHeight="1" thickBot="1">
      <c r="A73" s="428" t="s">
        <v>859</v>
      </c>
      <c r="B73" s="293" t="s">
        <v>860</v>
      </c>
      <c r="C73" s="298">
        <f>SUM(C74:C75)</f>
        <v>0</v>
      </c>
    </row>
    <row r="74" spans="1:3" s="97" customFormat="1" ht="12" customHeight="1">
      <c r="A74" s="425" t="s">
        <v>57</v>
      </c>
      <c r="B74" s="407" t="s">
        <v>861</v>
      </c>
      <c r="C74" s="303"/>
    </row>
    <row r="75" spans="1:3" s="97" customFormat="1" ht="12" customHeight="1" thickBot="1">
      <c r="A75" s="427" t="s">
        <v>58</v>
      </c>
      <c r="B75" s="409" t="s">
        <v>862</v>
      </c>
      <c r="C75" s="303"/>
    </row>
    <row r="76" spans="1:3" s="96" customFormat="1" ht="12" customHeight="1" thickBot="1">
      <c r="A76" s="428" t="s">
        <v>863</v>
      </c>
      <c r="B76" s="293" t="s">
        <v>864</v>
      </c>
      <c r="C76" s="298">
        <f>SUM(C77:C79)</f>
        <v>0</v>
      </c>
    </row>
    <row r="77" spans="1:3" s="97" customFormat="1" ht="12" customHeight="1">
      <c r="A77" s="425" t="s">
        <v>59</v>
      </c>
      <c r="B77" s="407" t="s">
        <v>865</v>
      </c>
      <c r="C77" s="303"/>
    </row>
    <row r="78" spans="1:3" s="97" customFormat="1" ht="12" customHeight="1">
      <c r="A78" s="426" t="s">
        <v>60</v>
      </c>
      <c r="B78" s="408" t="s">
        <v>866</v>
      </c>
      <c r="C78" s="303"/>
    </row>
    <row r="79" spans="1:3" s="97" customFormat="1" ht="12" customHeight="1" thickBot="1">
      <c r="A79" s="427" t="s">
        <v>61</v>
      </c>
      <c r="B79" s="409" t="s">
        <v>867</v>
      </c>
      <c r="C79" s="303"/>
    </row>
    <row r="80" spans="1:3" s="97" customFormat="1" ht="12" customHeight="1" thickBot="1">
      <c r="A80" s="428" t="s">
        <v>868</v>
      </c>
      <c r="B80" s="293" t="s">
        <v>62</v>
      </c>
      <c r="C80" s="298">
        <f>SUM(C81:C84)</f>
        <v>0</v>
      </c>
    </row>
    <row r="81" spans="1:3" s="97" customFormat="1" ht="12" customHeight="1">
      <c r="A81" s="429" t="s">
        <v>869</v>
      </c>
      <c r="B81" s="407" t="s">
        <v>42</v>
      </c>
      <c r="C81" s="303"/>
    </row>
    <row r="82" spans="1:3" s="97" customFormat="1" ht="12" customHeight="1">
      <c r="A82" s="430" t="s">
        <v>43</v>
      </c>
      <c r="B82" s="408" t="s">
        <v>44</v>
      </c>
      <c r="C82" s="303"/>
    </row>
    <row r="83" spans="1:3" s="97" customFormat="1" ht="12" customHeight="1">
      <c r="A83" s="430" t="s">
        <v>45</v>
      </c>
      <c r="B83" s="408" t="s">
        <v>46</v>
      </c>
      <c r="C83" s="303"/>
    </row>
    <row r="84" spans="1:3" s="96" customFormat="1" ht="12" customHeight="1" thickBot="1">
      <c r="A84" s="431" t="s">
        <v>47</v>
      </c>
      <c r="B84" s="409" t="s">
        <v>48</v>
      </c>
      <c r="C84" s="303"/>
    </row>
    <row r="85" spans="1:3" s="96" customFormat="1" ht="12" customHeight="1" thickBot="1">
      <c r="A85" s="428" t="s">
        <v>49</v>
      </c>
      <c r="B85" s="293" t="s">
        <v>50</v>
      </c>
      <c r="C85" s="452"/>
    </row>
    <row r="86" spans="1:3" s="96" customFormat="1" ht="12" customHeight="1" thickBot="1">
      <c r="A86" s="428" t="s">
        <v>51</v>
      </c>
      <c r="B86" s="415" t="s">
        <v>52</v>
      </c>
      <c r="C86" s="304">
        <f>+C64+C68+C73+C76+C80+C85</f>
        <v>0</v>
      </c>
    </row>
    <row r="87" spans="1:3" s="96" customFormat="1" ht="12" customHeight="1" thickBot="1">
      <c r="A87" s="432" t="s">
        <v>65</v>
      </c>
      <c r="B87" s="417" t="s">
        <v>184</v>
      </c>
      <c r="C87" s="304">
        <f>+C63+C86</f>
        <v>99877528</v>
      </c>
    </row>
    <row r="88" spans="1:3" s="97" customFormat="1" ht="15" customHeight="1">
      <c r="A88" s="242"/>
      <c r="B88" s="243"/>
      <c r="C88" s="369"/>
    </row>
    <row r="89" spans="1:3" ht="13.5" thickBot="1">
      <c r="A89" s="433"/>
      <c r="B89" s="245"/>
      <c r="C89" s="370"/>
    </row>
    <row r="90" spans="1:3" s="59" customFormat="1" ht="16.5" customHeight="1" thickBot="1">
      <c r="A90" s="246"/>
      <c r="B90" s="247" t="s">
        <v>581</v>
      </c>
      <c r="C90" s="371"/>
    </row>
    <row r="91" spans="1:3" s="98" customFormat="1" ht="12" customHeight="1" thickBot="1">
      <c r="A91" s="399" t="s">
        <v>542</v>
      </c>
      <c r="B91" s="31" t="s">
        <v>68</v>
      </c>
      <c r="C91" s="297">
        <f>SUM(C92:C96)</f>
        <v>0</v>
      </c>
    </row>
    <row r="92" spans="1:3" ht="12" customHeight="1">
      <c r="A92" s="434" t="s">
        <v>625</v>
      </c>
      <c r="B92" s="10" t="s">
        <v>572</v>
      </c>
      <c r="C92" s="299"/>
    </row>
    <row r="93" spans="1:3" ht="12" customHeight="1">
      <c r="A93" s="426" t="s">
        <v>626</v>
      </c>
      <c r="B93" s="8" t="s">
        <v>705</v>
      </c>
      <c r="C93" s="300"/>
    </row>
    <row r="94" spans="1:3" ht="12" customHeight="1">
      <c r="A94" s="426" t="s">
        <v>627</v>
      </c>
      <c r="B94" s="8" t="s">
        <v>662</v>
      </c>
      <c r="C94" s="302"/>
    </row>
    <row r="95" spans="1:3" ht="12" customHeight="1">
      <c r="A95" s="426" t="s">
        <v>628</v>
      </c>
      <c r="B95" s="11" t="s">
        <v>706</v>
      </c>
      <c r="C95" s="302"/>
    </row>
    <row r="96" spans="1:3" ht="12" customHeight="1">
      <c r="A96" s="426" t="s">
        <v>639</v>
      </c>
      <c r="B96" s="19" t="s">
        <v>707</v>
      </c>
      <c r="C96" s="302"/>
    </row>
    <row r="97" spans="1:3" ht="12" customHeight="1">
      <c r="A97" s="426" t="s">
        <v>629</v>
      </c>
      <c r="B97" s="8" t="s">
        <v>69</v>
      </c>
      <c r="C97" s="302"/>
    </row>
    <row r="98" spans="1:3" ht="12" customHeight="1">
      <c r="A98" s="426" t="s">
        <v>630</v>
      </c>
      <c r="B98" s="141" t="s">
        <v>70</v>
      </c>
      <c r="C98" s="302"/>
    </row>
    <row r="99" spans="1:3" ht="12" customHeight="1">
      <c r="A99" s="426" t="s">
        <v>640</v>
      </c>
      <c r="B99" s="142" t="s">
        <v>71</v>
      </c>
      <c r="C99" s="302"/>
    </row>
    <row r="100" spans="1:3" ht="12" customHeight="1">
      <c r="A100" s="426" t="s">
        <v>641</v>
      </c>
      <c r="B100" s="142" t="s">
        <v>72</v>
      </c>
      <c r="C100" s="302"/>
    </row>
    <row r="101" spans="1:3" ht="12" customHeight="1">
      <c r="A101" s="426" t="s">
        <v>642</v>
      </c>
      <c r="B101" s="141" t="s">
        <v>269</v>
      </c>
      <c r="C101" s="302"/>
    </row>
    <row r="102" spans="1:3" ht="12" customHeight="1">
      <c r="A102" s="426" t="s">
        <v>643</v>
      </c>
      <c r="B102" s="141" t="s">
        <v>74</v>
      </c>
      <c r="C102" s="302"/>
    </row>
    <row r="103" spans="1:3" ht="12" customHeight="1">
      <c r="A103" s="426" t="s">
        <v>645</v>
      </c>
      <c r="B103" s="142" t="s">
        <v>75</v>
      </c>
      <c r="C103" s="302"/>
    </row>
    <row r="104" spans="1:3" ht="12" customHeight="1">
      <c r="A104" s="435" t="s">
        <v>708</v>
      </c>
      <c r="B104" s="143" t="s">
        <v>76</v>
      </c>
      <c r="C104" s="302"/>
    </row>
    <row r="105" spans="1:3" ht="12" customHeight="1">
      <c r="A105" s="426" t="s">
        <v>66</v>
      </c>
      <c r="B105" s="143" t="s">
        <v>77</v>
      </c>
      <c r="C105" s="302"/>
    </row>
    <row r="106" spans="1:3" ht="12" customHeight="1" thickBot="1">
      <c r="A106" s="436" t="s">
        <v>67</v>
      </c>
      <c r="B106" s="144" t="s">
        <v>78</v>
      </c>
      <c r="C106" s="306"/>
    </row>
    <row r="107" spans="1:3" ht="12" customHeight="1" thickBot="1">
      <c r="A107" s="32" t="s">
        <v>543</v>
      </c>
      <c r="B107" s="30" t="s">
        <v>79</v>
      </c>
      <c r="C107" s="298">
        <f>+C108+C110+C112</f>
        <v>0</v>
      </c>
    </row>
    <row r="108" spans="1:3" ht="12" customHeight="1">
      <c r="A108" s="425" t="s">
        <v>631</v>
      </c>
      <c r="B108" s="8" t="s">
        <v>754</v>
      </c>
      <c r="C108" s="301"/>
    </row>
    <row r="109" spans="1:3" ht="12" customHeight="1">
      <c r="A109" s="425" t="s">
        <v>632</v>
      </c>
      <c r="B109" s="12" t="s">
        <v>83</v>
      </c>
      <c r="C109" s="301"/>
    </row>
    <row r="110" spans="1:3" ht="12" customHeight="1">
      <c r="A110" s="425" t="s">
        <v>633</v>
      </c>
      <c r="B110" s="12" t="s">
        <v>709</v>
      </c>
      <c r="C110" s="300"/>
    </row>
    <row r="111" spans="1:3" ht="12" customHeight="1">
      <c r="A111" s="425" t="s">
        <v>634</v>
      </c>
      <c r="B111" s="12" t="s">
        <v>84</v>
      </c>
      <c r="C111" s="271"/>
    </row>
    <row r="112" spans="1:3" ht="12" customHeight="1">
      <c r="A112" s="425" t="s">
        <v>635</v>
      </c>
      <c r="B112" s="295" t="s">
        <v>757</v>
      </c>
      <c r="C112" s="271"/>
    </row>
    <row r="113" spans="1:3" ht="12" customHeight="1">
      <c r="A113" s="425" t="s">
        <v>644</v>
      </c>
      <c r="B113" s="294" t="s">
        <v>197</v>
      </c>
      <c r="C113" s="271"/>
    </row>
    <row r="114" spans="1:3" ht="12" customHeight="1">
      <c r="A114" s="425" t="s">
        <v>646</v>
      </c>
      <c r="B114" s="403" t="s">
        <v>89</v>
      </c>
      <c r="C114" s="271"/>
    </row>
    <row r="115" spans="1:3" ht="12" customHeight="1">
      <c r="A115" s="425" t="s">
        <v>710</v>
      </c>
      <c r="B115" s="142" t="s">
        <v>72</v>
      </c>
      <c r="C115" s="271"/>
    </row>
    <row r="116" spans="1:3" ht="12" customHeight="1">
      <c r="A116" s="425" t="s">
        <v>711</v>
      </c>
      <c r="B116" s="142" t="s">
        <v>88</v>
      </c>
      <c r="C116" s="271"/>
    </row>
    <row r="117" spans="1:3" ht="12" customHeight="1">
      <c r="A117" s="425" t="s">
        <v>712</v>
      </c>
      <c r="B117" s="142" t="s">
        <v>87</v>
      </c>
      <c r="C117" s="271"/>
    </row>
    <row r="118" spans="1:3" ht="12" customHeight="1">
      <c r="A118" s="425" t="s">
        <v>80</v>
      </c>
      <c r="B118" s="142" t="s">
        <v>75</v>
      </c>
      <c r="C118" s="271"/>
    </row>
    <row r="119" spans="1:3" ht="12" customHeight="1">
      <c r="A119" s="425" t="s">
        <v>81</v>
      </c>
      <c r="B119" s="142" t="s">
        <v>86</v>
      </c>
      <c r="C119" s="271"/>
    </row>
    <row r="120" spans="1:3" ht="12" customHeight="1" thickBot="1">
      <c r="A120" s="435" t="s">
        <v>82</v>
      </c>
      <c r="B120" s="142" t="s">
        <v>85</v>
      </c>
      <c r="C120" s="272"/>
    </row>
    <row r="121" spans="1:3" ht="12" customHeight="1" thickBot="1">
      <c r="A121" s="32" t="s">
        <v>544</v>
      </c>
      <c r="B121" s="124" t="s">
        <v>90</v>
      </c>
      <c r="C121" s="298">
        <f>+C122+C123</f>
        <v>0</v>
      </c>
    </row>
    <row r="122" spans="1:3" ht="12" customHeight="1">
      <c r="A122" s="425" t="s">
        <v>614</v>
      </c>
      <c r="B122" s="9" t="s">
        <v>583</v>
      </c>
      <c r="C122" s="301"/>
    </row>
    <row r="123" spans="1:3" ht="12" customHeight="1" thickBot="1">
      <c r="A123" s="427" t="s">
        <v>615</v>
      </c>
      <c r="B123" s="12" t="s">
        <v>584</v>
      </c>
      <c r="C123" s="302"/>
    </row>
    <row r="124" spans="1:3" ht="12" customHeight="1" thickBot="1">
      <c r="A124" s="32" t="s">
        <v>545</v>
      </c>
      <c r="B124" s="124" t="s">
        <v>91</v>
      </c>
      <c r="C124" s="298">
        <f>+C91+C107+C121</f>
        <v>0</v>
      </c>
    </row>
    <row r="125" spans="1:3" ht="12" customHeight="1" thickBot="1">
      <c r="A125" s="32" t="s">
        <v>546</v>
      </c>
      <c r="B125" s="124" t="s">
        <v>92</v>
      </c>
      <c r="C125" s="298">
        <f>+C126+C127+C128</f>
        <v>0</v>
      </c>
    </row>
    <row r="126" spans="1:3" s="98" customFormat="1" ht="12" customHeight="1">
      <c r="A126" s="425" t="s">
        <v>618</v>
      </c>
      <c r="B126" s="9" t="s">
        <v>93</v>
      </c>
      <c r="C126" s="271"/>
    </row>
    <row r="127" spans="1:3" ht="12" customHeight="1">
      <c r="A127" s="425" t="s">
        <v>619</v>
      </c>
      <c r="B127" s="9" t="s">
        <v>94</v>
      </c>
      <c r="C127" s="271"/>
    </row>
    <row r="128" spans="1:3" ht="12" customHeight="1" thickBot="1">
      <c r="A128" s="435" t="s">
        <v>620</v>
      </c>
      <c r="B128" s="7" t="s">
        <v>95</v>
      </c>
      <c r="C128" s="271"/>
    </row>
    <row r="129" spans="1:3" ht="12" customHeight="1" thickBot="1">
      <c r="A129" s="32" t="s">
        <v>547</v>
      </c>
      <c r="B129" s="124" t="s">
        <v>156</v>
      </c>
      <c r="C129" s="298">
        <f>+C130+C131+C132+C133</f>
        <v>0</v>
      </c>
    </row>
    <row r="130" spans="1:3" ht="12" customHeight="1">
      <c r="A130" s="425" t="s">
        <v>621</v>
      </c>
      <c r="B130" s="9" t="s">
        <v>96</v>
      </c>
      <c r="C130" s="271"/>
    </row>
    <row r="131" spans="1:3" ht="12" customHeight="1">
      <c r="A131" s="425" t="s">
        <v>622</v>
      </c>
      <c r="B131" s="9" t="s">
        <v>97</v>
      </c>
      <c r="C131" s="271"/>
    </row>
    <row r="132" spans="1:3" ht="12" customHeight="1">
      <c r="A132" s="425" t="s">
        <v>828</v>
      </c>
      <c r="B132" s="9" t="s">
        <v>98</v>
      </c>
      <c r="C132" s="271"/>
    </row>
    <row r="133" spans="1:3" s="98" customFormat="1" ht="12" customHeight="1" thickBot="1">
      <c r="A133" s="435" t="s">
        <v>829</v>
      </c>
      <c r="B133" s="7" t="s">
        <v>99</v>
      </c>
      <c r="C133" s="271"/>
    </row>
    <row r="134" spans="1:11" ht="12" customHeight="1" thickBot="1">
      <c r="A134" s="32" t="s">
        <v>548</v>
      </c>
      <c r="B134" s="124" t="s">
        <v>100</v>
      </c>
      <c r="C134" s="304">
        <f>+C135+C136+C137+C138</f>
        <v>99877528</v>
      </c>
      <c r="K134" s="254"/>
    </row>
    <row r="135" spans="1:3" ht="12.75">
      <c r="A135" s="425" t="s">
        <v>623</v>
      </c>
      <c r="B135" s="9" t="s">
        <v>101</v>
      </c>
      <c r="C135" s="271"/>
    </row>
    <row r="136" spans="1:3" ht="12" customHeight="1">
      <c r="A136" s="425" t="s">
        <v>624</v>
      </c>
      <c r="B136" s="9" t="s">
        <v>111</v>
      </c>
      <c r="C136" s="271"/>
    </row>
    <row r="137" spans="1:3" s="98" customFormat="1" ht="12" customHeight="1">
      <c r="A137" s="425" t="s">
        <v>840</v>
      </c>
      <c r="B137" s="9" t="s">
        <v>411</v>
      </c>
      <c r="C137" s="271">
        <v>99877528</v>
      </c>
    </row>
    <row r="138" spans="1:3" s="98" customFormat="1" ht="12" customHeight="1" thickBot="1">
      <c r="A138" s="435" t="s">
        <v>841</v>
      </c>
      <c r="B138" s="7" t="s">
        <v>103</v>
      </c>
      <c r="C138" s="271"/>
    </row>
    <row r="139" spans="1:3" s="98" customFormat="1" ht="12" customHeight="1" thickBot="1">
      <c r="A139" s="32" t="s">
        <v>549</v>
      </c>
      <c r="B139" s="124" t="s">
        <v>104</v>
      </c>
      <c r="C139" s="307">
        <f>+C140+C141+C142+C143</f>
        <v>0</v>
      </c>
    </row>
    <row r="140" spans="1:3" s="98" customFormat="1" ht="12" customHeight="1">
      <c r="A140" s="425" t="s">
        <v>703</v>
      </c>
      <c r="B140" s="9" t="s">
        <v>105</v>
      </c>
      <c r="C140" s="271"/>
    </row>
    <row r="141" spans="1:3" s="98" customFormat="1" ht="12" customHeight="1">
      <c r="A141" s="425" t="s">
        <v>704</v>
      </c>
      <c r="B141" s="9" t="s">
        <v>106</v>
      </c>
      <c r="C141" s="271"/>
    </row>
    <row r="142" spans="1:3" s="98" customFormat="1" ht="12" customHeight="1">
      <c r="A142" s="425" t="s">
        <v>756</v>
      </c>
      <c r="B142" s="9" t="s">
        <v>107</v>
      </c>
      <c r="C142" s="271"/>
    </row>
    <row r="143" spans="1:3" ht="12.75" customHeight="1" thickBot="1">
      <c r="A143" s="425" t="s">
        <v>843</v>
      </c>
      <c r="B143" s="9" t="s">
        <v>108</v>
      </c>
      <c r="C143" s="271"/>
    </row>
    <row r="144" spans="1:3" ht="12" customHeight="1" thickBot="1">
      <c r="A144" s="32" t="s">
        <v>550</v>
      </c>
      <c r="B144" s="124" t="s">
        <v>109</v>
      </c>
      <c r="C144" s="419">
        <f>+C125+C129+C134+C139</f>
        <v>99877528</v>
      </c>
    </row>
    <row r="145" spans="1:3" ht="15" customHeight="1" thickBot="1">
      <c r="A145" s="437" t="s">
        <v>551</v>
      </c>
      <c r="B145" s="380" t="s">
        <v>110</v>
      </c>
      <c r="C145" s="419">
        <f>+C124+C144</f>
        <v>99877528</v>
      </c>
    </row>
    <row r="146" spans="1:3" ht="13.5" thickBot="1">
      <c r="A146" s="387"/>
      <c r="B146" s="388"/>
      <c r="C146" s="389"/>
    </row>
    <row r="147" spans="1:3" ht="15" customHeight="1" thickBot="1">
      <c r="A147" s="251" t="s">
        <v>728</v>
      </c>
      <c r="B147" s="252"/>
      <c r="C147" s="121"/>
    </row>
    <row r="148" spans="1:3" ht="14.25" customHeight="1" thickBot="1">
      <c r="A148" s="251" t="s">
        <v>729</v>
      </c>
      <c r="B148" s="252"/>
      <c r="C148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445" t="s">
        <v>30</v>
      </c>
    </row>
    <row r="2" spans="1:3" s="446" customFormat="1" ht="25.5" customHeight="1">
      <c r="A2" s="397" t="s">
        <v>726</v>
      </c>
      <c r="B2" s="359" t="s">
        <v>206</v>
      </c>
      <c r="C2" s="374" t="s">
        <v>585</v>
      </c>
    </row>
    <row r="3" spans="1:3" s="446" customFormat="1" ht="24.75" thickBot="1">
      <c r="A3" s="438" t="s">
        <v>725</v>
      </c>
      <c r="B3" s="360" t="s">
        <v>162</v>
      </c>
      <c r="C3" s="375" t="s">
        <v>576</v>
      </c>
    </row>
    <row r="4" spans="1:3" s="447" customFormat="1" ht="15.75" customHeight="1" thickBot="1">
      <c r="A4" s="232"/>
      <c r="B4" s="232"/>
      <c r="C4" s="233"/>
    </row>
    <row r="5" spans="1:3" ht="13.5" thickBot="1">
      <c r="A5" s="398" t="s">
        <v>727</v>
      </c>
      <c r="B5" s="234" t="s">
        <v>577</v>
      </c>
      <c r="C5" s="235" t="s">
        <v>578</v>
      </c>
    </row>
    <row r="6" spans="1:3" s="448" customFormat="1" ht="12.75" customHeight="1" thickBot="1">
      <c r="A6" s="201">
        <v>1</v>
      </c>
      <c r="B6" s="202">
        <v>2</v>
      </c>
      <c r="C6" s="203">
        <v>3</v>
      </c>
    </row>
    <row r="7" spans="1:3" s="448" customFormat="1" ht="15.75" customHeight="1" thickBot="1">
      <c r="A7" s="236"/>
      <c r="B7" s="237" t="s">
        <v>579</v>
      </c>
      <c r="C7" s="238"/>
    </row>
    <row r="8" spans="1:3" s="376" customFormat="1" ht="12" customHeight="1" thickBot="1">
      <c r="A8" s="201" t="s">
        <v>542</v>
      </c>
      <c r="B8" s="239" t="s">
        <v>163</v>
      </c>
      <c r="C8" s="318">
        <f>SUM(C9:C18)</f>
        <v>3000000</v>
      </c>
    </row>
    <row r="9" spans="1:3" s="376" customFormat="1" ht="12" customHeight="1">
      <c r="A9" s="439" t="s">
        <v>625</v>
      </c>
      <c r="B9" s="10" t="s">
        <v>817</v>
      </c>
      <c r="C9" s="365"/>
    </row>
    <row r="10" spans="1:3" s="376" customFormat="1" ht="12" customHeight="1">
      <c r="A10" s="440" t="s">
        <v>626</v>
      </c>
      <c r="B10" s="8" t="s">
        <v>818</v>
      </c>
      <c r="C10" s="316">
        <v>3000000</v>
      </c>
    </row>
    <row r="11" spans="1:3" s="376" customFormat="1" ht="12" customHeight="1">
      <c r="A11" s="440" t="s">
        <v>627</v>
      </c>
      <c r="B11" s="8" t="s">
        <v>819</v>
      </c>
      <c r="C11" s="316"/>
    </row>
    <row r="12" spans="1:3" s="376" customFormat="1" ht="12" customHeight="1">
      <c r="A12" s="440" t="s">
        <v>628</v>
      </c>
      <c r="B12" s="8" t="s">
        <v>820</v>
      </c>
      <c r="C12" s="316"/>
    </row>
    <row r="13" spans="1:3" s="376" customFormat="1" ht="12" customHeight="1">
      <c r="A13" s="440" t="s">
        <v>670</v>
      </c>
      <c r="B13" s="8" t="s">
        <v>821</v>
      </c>
      <c r="C13" s="316"/>
    </row>
    <row r="14" spans="1:3" s="376" customFormat="1" ht="12" customHeight="1">
      <c r="A14" s="440" t="s">
        <v>629</v>
      </c>
      <c r="B14" s="8" t="s">
        <v>164</v>
      </c>
      <c r="C14" s="316"/>
    </row>
    <row r="15" spans="1:3" s="376" customFormat="1" ht="12" customHeight="1">
      <c r="A15" s="440" t="s">
        <v>630</v>
      </c>
      <c r="B15" s="7" t="s">
        <v>165</v>
      </c>
      <c r="C15" s="316"/>
    </row>
    <row r="16" spans="1:3" s="376" customFormat="1" ht="12" customHeight="1">
      <c r="A16" s="440" t="s">
        <v>640</v>
      </c>
      <c r="B16" s="8" t="s">
        <v>824</v>
      </c>
      <c r="C16" s="366"/>
    </row>
    <row r="17" spans="1:3" s="449" customFormat="1" ht="12" customHeight="1">
      <c r="A17" s="440" t="s">
        <v>641</v>
      </c>
      <c r="B17" s="8" t="s">
        <v>825</v>
      </c>
      <c r="C17" s="316"/>
    </row>
    <row r="18" spans="1:3" s="449" customFormat="1" ht="12" customHeight="1" thickBot="1">
      <c r="A18" s="440" t="s">
        <v>642</v>
      </c>
      <c r="B18" s="7" t="s">
        <v>826</v>
      </c>
      <c r="C18" s="317"/>
    </row>
    <row r="19" spans="1:3" s="376" customFormat="1" ht="12" customHeight="1" thickBot="1">
      <c r="A19" s="201" t="s">
        <v>543</v>
      </c>
      <c r="B19" s="239" t="s">
        <v>166</v>
      </c>
      <c r="C19" s="318">
        <f>SUM(C20:C22)</f>
        <v>0</v>
      </c>
    </row>
    <row r="20" spans="1:3" s="449" customFormat="1" ht="12" customHeight="1">
      <c r="A20" s="440" t="s">
        <v>631</v>
      </c>
      <c r="B20" s="9" t="s">
        <v>792</v>
      </c>
      <c r="C20" s="316"/>
    </row>
    <row r="21" spans="1:3" s="449" customFormat="1" ht="12" customHeight="1">
      <c r="A21" s="440" t="s">
        <v>632</v>
      </c>
      <c r="B21" s="8" t="s">
        <v>167</v>
      </c>
      <c r="C21" s="316"/>
    </row>
    <row r="22" spans="1:3" s="449" customFormat="1" ht="12" customHeight="1">
      <c r="A22" s="440" t="s">
        <v>633</v>
      </c>
      <c r="B22" s="8" t="s">
        <v>168</v>
      </c>
      <c r="C22" s="316"/>
    </row>
    <row r="23" spans="1:3" s="449" customFormat="1" ht="12" customHeight="1" thickBot="1">
      <c r="A23" s="440" t="s">
        <v>634</v>
      </c>
      <c r="B23" s="8" t="s">
        <v>526</v>
      </c>
      <c r="C23" s="316"/>
    </row>
    <row r="24" spans="1:3" s="449" customFormat="1" ht="12" customHeight="1" thickBot="1">
      <c r="A24" s="209" t="s">
        <v>544</v>
      </c>
      <c r="B24" s="124" t="s">
        <v>696</v>
      </c>
      <c r="C24" s="345"/>
    </row>
    <row r="25" spans="1:3" s="449" customFormat="1" ht="12" customHeight="1" thickBot="1">
      <c r="A25" s="209" t="s">
        <v>545</v>
      </c>
      <c r="B25" s="124" t="s">
        <v>169</v>
      </c>
      <c r="C25" s="318">
        <f>+C26+C27</f>
        <v>0</v>
      </c>
    </row>
    <row r="26" spans="1:3" s="449" customFormat="1" ht="12" customHeight="1">
      <c r="A26" s="441" t="s">
        <v>802</v>
      </c>
      <c r="B26" s="442" t="s">
        <v>167</v>
      </c>
      <c r="C26" s="78"/>
    </row>
    <row r="27" spans="1:3" s="449" customFormat="1" ht="12" customHeight="1">
      <c r="A27" s="441" t="s">
        <v>805</v>
      </c>
      <c r="B27" s="443" t="s">
        <v>170</v>
      </c>
      <c r="C27" s="319"/>
    </row>
    <row r="28" spans="1:3" s="449" customFormat="1" ht="12" customHeight="1" thickBot="1">
      <c r="A28" s="440" t="s">
        <v>806</v>
      </c>
      <c r="B28" s="444" t="s">
        <v>171</v>
      </c>
      <c r="C28" s="85"/>
    </row>
    <row r="29" spans="1:3" s="449" customFormat="1" ht="12" customHeight="1" thickBot="1">
      <c r="A29" s="209" t="s">
        <v>546</v>
      </c>
      <c r="B29" s="124" t="s">
        <v>172</v>
      </c>
      <c r="C29" s="318">
        <f>+C30+C31+C32</f>
        <v>0</v>
      </c>
    </row>
    <row r="30" spans="1:3" s="449" customFormat="1" ht="12" customHeight="1">
      <c r="A30" s="441" t="s">
        <v>618</v>
      </c>
      <c r="B30" s="442" t="s">
        <v>831</v>
      </c>
      <c r="C30" s="78"/>
    </row>
    <row r="31" spans="1:3" s="449" customFormat="1" ht="12" customHeight="1">
      <c r="A31" s="441" t="s">
        <v>619</v>
      </c>
      <c r="B31" s="443" t="s">
        <v>832</v>
      </c>
      <c r="C31" s="319"/>
    </row>
    <row r="32" spans="1:3" s="449" customFormat="1" ht="12" customHeight="1" thickBot="1">
      <c r="A32" s="440" t="s">
        <v>620</v>
      </c>
      <c r="B32" s="140" t="s">
        <v>833</v>
      </c>
      <c r="C32" s="85"/>
    </row>
    <row r="33" spans="1:3" s="376" customFormat="1" ht="12" customHeight="1" thickBot="1">
      <c r="A33" s="209" t="s">
        <v>547</v>
      </c>
      <c r="B33" s="124" t="s">
        <v>117</v>
      </c>
      <c r="C33" s="345"/>
    </row>
    <row r="34" spans="1:3" s="376" customFormat="1" ht="12" customHeight="1" thickBot="1">
      <c r="A34" s="209" t="s">
        <v>548</v>
      </c>
      <c r="B34" s="124" t="s">
        <v>173</v>
      </c>
      <c r="C34" s="367"/>
    </row>
    <row r="35" spans="1:3" s="376" customFormat="1" ht="12" customHeight="1" thickBot="1">
      <c r="A35" s="201" t="s">
        <v>549</v>
      </c>
      <c r="B35" s="124" t="s">
        <v>174</v>
      </c>
      <c r="C35" s="368">
        <f>+C8+C19+C24+C25+C29+C33+C34</f>
        <v>3000000</v>
      </c>
    </row>
    <row r="36" spans="1:3" s="376" customFormat="1" ht="12" customHeight="1" thickBot="1">
      <c r="A36" s="240" t="s">
        <v>550</v>
      </c>
      <c r="B36" s="124" t="s">
        <v>175</v>
      </c>
      <c r="C36" s="368">
        <f>+C37+C38+C39</f>
        <v>99877528</v>
      </c>
    </row>
    <row r="37" spans="1:3" s="376" customFormat="1" ht="12" customHeight="1">
      <c r="A37" s="441" t="s">
        <v>176</v>
      </c>
      <c r="B37" s="442" t="s">
        <v>764</v>
      </c>
      <c r="C37" s="78"/>
    </row>
    <row r="38" spans="1:3" s="376" customFormat="1" ht="12" customHeight="1">
      <c r="A38" s="441" t="s">
        <v>177</v>
      </c>
      <c r="B38" s="443" t="s">
        <v>527</v>
      </c>
      <c r="C38" s="319"/>
    </row>
    <row r="39" spans="1:3" s="449" customFormat="1" ht="12" customHeight="1" thickBot="1">
      <c r="A39" s="440" t="s">
        <v>178</v>
      </c>
      <c r="B39" s="140" t="s">
        <v>179</v>
      </c>
      <c r="C39" s="1014">
        <v>99877528</v>
      </c>
    </row>
    <row r="40" spans="1:3" s="449" customFormat="1" ht="15" customHeight="1" thickBot="1">
      <c r="A40" s="240" t="s">
        <v>551</v>
      </c>
      <c r="B40" s="241" t="s">
        <v>180</v>
      </c>
      <c r="C40" s="371">
        <f>+C35+C36</f>
        <v>102877528</v>
      </c>
    </row>
    <row r="41" spans="1:3" s="449" customFormat="1" ht="15" customHeight="1">
      <c r="A41" s="242"/>
      <c r="B41" s="243"/>
      <c r="C41" s="369"/>
    </row>
    <row r="42" spans="1:3" ht="13.5" thickBot="1">
      <c r="A42" s="244"/>
      <c r="B42" s="245"/>
      <c r="C42" s="370"/>
    </row>
    <row r="43" spans="1:3" s="448" customFormat="1" ht="16.5" customHeight="1" thickBot="1">
      <c r="A43" s="246"/>
      <c r="B43" s="247" t="s">
        <v>581</v>
      </c>
      <c r="C43" s="371"/>
    </row>
    <row r="44" spans="1:3" s="450" customFormat="1" ht="12" customHeight="1" thickBot="1">
      <c r="A44" s="209" t="s">
        <v>542</v>
      </c>
      <c r="B44" s="124" t="s">
        <v>181</v>
      </c>
      <c r="C44" s="318">
        <f>SUM(C45:C49)</f>
        <v>102877528</v>
      </c>
    </row>
    <row r="45" spans="1:3" ht="12" customHeight="1">
      <c r="A45" s="440" t="s">
        <v>625</v>
      </c>
      <c r="B45" s="9" t="s">
        <v>572</v>
      </c>
      <c r="C45" s="81">
        <v>71069000</v>
      </c>
    </row>
    <row r="46" spans="1:3" ht="12" customHeight="1">
      <c r="A46" s="440" t="s">
        <v>626</v>
      </c>
      <c r="B46" s="8" t="s">
        <v>705</v>
      </c>
      <c r="C46" s="81">
        <v>15918528</v>
      </c>
    </row>
    <row r="47" spans="1:3" ht="12" customHeight="1">
      <c r="A47" s="440" t="s">
        <v>627</v>
      </c>
      <c r="B47" s="8" t="s">
        <v>662</v>
      </c>
      <c r="C47" s="81">
        <v>15890000</v>
      </c>
    </row>
    <row r="48" spans="1:3" ht="12" customHeight="1">
      <c r="A48" s="440" t="s">
        <v>628</v>
      </c>
      <c r="B48" s="8" t="s">
        <v>706</v>
      </c>
      <c r="C48" s="81"/>
    </row>
    <row r="49" spans="1:3" ht="12" customHeight="1" thickBot="1">
      <c r="A49" s="440" t="s">
        <v>670</v>
      </c>
      <c r="B49" s="8" t="s">
        <v>707</v>
      </c>
      <c r="C49" s="81"/>
    </row>
    <row r="50" spans="1:3" ht="12" customHeight="1" thickBot="1">
      <c r="A50" s="209" t="s">
        <v>543</v>
      </c>
      <c r="B50" s="124" t="s">
        <v>182</v>
      </c>
      <c r="C50" s="318">
        <f>SUM(C51:C53)</f>
        <v>0</v>
      </c>
    </row>
    <row r="51" spans="1:3" s="450" customFormat="1" ht="12" customHeight="1">
      <c r="A51" s="440" t="s">
        <v>631</v>
      </c>
      <c r="B51" s="9" t="s">
        <v>754</v>
      </c>
      <c r="C51" s="78"/>
    </row>
    <row r="52" spans="1:3" ht="12" customHeight="1">
      <c r="A52" s="440" t="s">
        <v>632</v>
      </c>
      <c r="B52" s="8" t="s">
        <v>709</v>
      </c>
      <c r="C52" s="81"/>
    </row>
    <row r="53" spans="1:3" ht="12" customHeight="1">
      <c r="A53" s="440" t="s">
        <v>633</v>
      </c>
      <c r="B53" s="8" t="s">
        <v>582</v>
      </c>
      <c r="C53" s="81"/>
    </row>
    <row r="54" spans="1:3" ht="12" customHeight="1" thickBot="1">
      <c r="A54" s="440" t="s">
        <v>634</v>
      </c>
      <c r="B54" s="8" t="s">
        <v>528</v>
      </c>
      <c r="C54" s="81"/>
    </row>
    <row r="55" spans="1:3" ht="15" customHeight="1" thickBot="1">
      <c r="A55" s="209" t="s">
        <v>544</v>
      </c>
      <c r="B55" s="248" t="s">
        <v>183</v>
      </c>
      <c r="C55" s="372">
        <f>+C44+C50</f>
        <v>102877528</v>
      </c>
    </row>
    <row r="56" ht="13.5" thickBot="1">
      <c r="C56" s="373"/>
    </row>
    <row r="57" spans="1:3" ht="15" customHeight="1" thickBot="1">
      <c r="A57" s="251" t="s">
        <v>728</v>
      </c>
      <c r="B57" s="252"/>
      <c r="C57" s="121">
        <v>20</v>
      </c>
    </row>
    <row r="58" spans="1:3" ht="14.25" customHeight="1" thickBot="1">
      <c r="A58" s="251" t="s">
        <v>729</v>
      </c>
      <c r="B58" s="252"/>
      <c r="C58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0"/>
  <sheetViews>
    <sheetView view="pageLayout" zoomScaleNormal="120" zoomScaleSheetLayoutView="100" workbookViewId="0" topLeftCell="A1">
      <selection activeCell="C102" sqref="C102"/>
    </sheetView>
  </sheetViews>
  <sheetFormatPr defaultColWidth="9.00390625" defaultRowHeight="12.75"/>
  <cols>
    <col min="1" max="1" width="9.50390625" style="381" customWidth="1"/>
    <col min="2" max="2" width="91.625" style="381" customWidth="1"/>
    <col min="3" max="3" width="21.625" style="382" customWidth="1"/>
    <col min="4" max="4" width="13.375" style="404" customWidth="1"/>
    <col min="5" max="16384" width="9.375" style="404" customWidth="1"/>
  </cols>
  <sheetData>
    <row r="1" spans="1:3" ht="15.75" customHeight="1">
      <c r="A1" s="1062" t="s">
        <v>539</v>
      </c>
      <c r="B1" s="1062"/>
      <c r="C1" s="1062"/>
    </row>
    <row r="2" spans="1:3" ht="15.75" customHeight="1" thickBot="1">
      <c r="A2" s="1061" t="s">
        <v>674</v>
      </c>
      <c r="B2" s="1061"/>
      <c r="C2" s="308"/>
    </row>
    <row r="3" spans="1:3" ht="37.5" customHeight="1" thickBot="1">
      <c r="A3" s="23" t="s">
        <v>595</v>
      </c>
      <c r="B3" s="24" t="s">
        <v>541</v>
      </c>
      <c r="C3" s="39" t="s">
        <v>447</v>
      </c>
    </row>
    <row r="4" spans="1:3" s="405" customFormat="1" ht="12" customHeight="1" thickBot="1">
      <c r="A4" s="399">
        <v>1</v>
      </c>
      <c r="B4" s="400">
        <v>2</v>
      </c>
      <c r="C4" s="401">
        <v>3</v>
      </c>
    </row>
    <row r="5" spans="1:3" s="406" customFormat="1" ht="12" customHeight="1" thickBot="1">
      <c r="A5" s="20" t="s">
        <v>542</v>
      </c>
      <c r="B5" s="21" t="s">
        <v>784</v>
      </c>
      <c r="C5" s="298">
        <v>393077057</v>
      </c>
    </row>
    <row r="6" spans="1:3" s="406" customFormat="1" ht="12" customHeight="1">
      <c r="A6" s="15" t="s">
        <v>625</v>
      </c>
      <c r="B6" s="407" t="s">
        <v>785</v>
      </c>
      <c r="C6" s="301">
        <v>126761325</v>
      </c>
    </row>
    <row r="7" spans="1:3" s="406" customFormat="1" ht="12" customHeight="1">
      <c r="A7" s="14" t="s">
        <v>626</v>
      </c>
      <c r="B7" s="408" t="s">
        <v>786</v>
      </c>
      <c r="C7" s="301">
        <v>123139166</v>
      </c>
    </row>
    <row r="8" spans="1:3" s="406" customFormat="1" ht="12" customHeight="1">
      <c r="A8" s="14" t="s">
        <v>627</v>
      </c>
      <c r="B8" s="408" t="s">
        <v>787</v>
      </c>
      <c r="C8" s="301">
        <v>136398531</v>
      </c>
    </row>
    <row r="9" spans="1:3" s="406" customFormat="1" ht="12" customHeight="1">
      <c r="A9" s="14" t="s">
        <v>628</v>
      </c>
      <c r="B9" s="408" t="s">
        <v>788</v>
      </c>
      <c r="C9" s="301">
        <v>6271140</v>
      </c>
    </row>
    <row r="10" spans="1:3" s="406" customFormat="1" ht="12" customHeight="1">
      <c r="A10" s="14" t="s">
        <v>670</v>
      </c>
      <c r="B10" s="408" t="s">
        <v>789</v>
      </c>
      <c r="C10" s="301">
        <v>506895</v>
      </c>
    </row>
    <row r="11" spans="1:3" s="406" customFormat="1" ht="12" customHeight="1" thickBot="1">
      <c r="A11" s="16" t="s">
        <v>629</v>
      </c>
      <c r="B11" s="409" t="s">
        <v>790</v>
      </c>
      <c r="C11" s="914">
        <f>'9.1. melléklet'!C14</f>
        <v>0</v>
      </c>
    </row>
    <row r="12" spans="1:3" s="406" customFormat="1" ht="12" customHeight="1" thickBot="1">
      <c r="A12" s="20" t="s">
        <v>543</v>
      </c>
      <c r="B12" s="293" t="s">
        <v>791</v>
      </c>
      <c r="C12" s="915">
        <f>C15</f>
        <v>10280000</v>
      </c>
    </row>
    <row r="13" spans="1:3" s="406" customFormat="1" ht="12" customHeight="1">
      <c r="A13" s="15" t="s">
        <v>631</v>
      </c>
      <c r="B13" s="407" t="s">
        <v>792</v>
      </c>
      <c r="C13" s="301">
        <f>'9.1. melléklet'!C16</f>
        <v>0</v>
      </c>
    </row>
    <row r="14" spans="1:3" s="406" customFormat="1" ht="12" customHeight="1">
      <c r="A14" s="14" t="s">
        <v>632</v>
      </c>
      <c r="B14" s="408" t="s">
        <v>793</v>
      </c>
      <c r="C14" s="301">
        <f>'9.1. melléklet'!C17</f>
        <v>0</v>
      </c>
    </row>
    <row r="15" spans="1:3" s="406" customFormat="1" ht="12" customHeight="1">
      <c r="A15" s="14" t="s">
        <v>633</v>
      </c>
      <c r="B15" s="408" t="s">
        <v>266</v>
      </c>
      <c r="C15" s="301">
        <v>10280000</v>
      </c>
    </row>
    <row r="16" spans="1:3" s="406" customFormat="1" ht="12" customHeight="1">
      <c r="A16" s="14" t="s">
        <v>634</v>
      </c>
      <c r="B16" s="408" t="s">
        <v>348</v>
      </c>
      <c r="C16" s="301"/>
    </row>
    <row r="17" spans="1:3" s="406" customFormat="1" ht="12" customHeight="1">
      <c r="A17" s="14" t="s">
        <v>635</v>
      </c>
      <c r="B17" s="408" t="s">
        <v>349</v>
      </c>
      <c r="C17" s="301">
        <f>'9.1. melléklet'!C20</f>
        <v>0</v>
      </c>
    </row>
    <row r="18" spans="1:3" s="406" customFormat="1" ht="12" customHeight="1" thickBot="1">
      <c r="A18" s="16" t="s">
        <v>644</v>
      </c>
      <c r="B18" s="409" t="s">
        <v>795</v>
      </c>
      <c r="C18" s="914">
        <f>'9.1. melléklet'!C21</f>
        <v>0</v>
      </c>
    </row>
    <row r="19" spans="1:3" s="406" customFormat="1" ht="12" customHeight="1" thickBot="1">
      <c r="A19" s="20" t="s">
        <v>544</v>
      </c>
      <c r="B19" s="21" t="s">
        <v>796</v>
      </c>
      <c r="C19" s="915">
        <f>C20+C23+C24</f>
        <v>157449027</v>
      </c>
    </row>
    <row r="20" spans="1:3" s="406" customFormat="1" ht="12" customHeight="1">
      <c r="A20" s="15" t="s">
        <v>614</v>
      </c>
      <c r="B20" s="407" t="s">
        <v>2</v>
      </c>
      <c r="C20" s="301"/>
    </row>
    <row r="21" spans="1:3" s="406" customFormat="1" ht="12" customHeight="1">
      <c r="A21" s="14" t="s">
        <v>615</v>
      </c>
      <c r="B21" s="408" t="s">
        <v>798</v>
      </c>
      <c r="C21" s="301">
        <f>'9.1. melléklet'!C24</f>
        <v>0</v>
      </c>
    </row>
    <row r="22" spans="1:3" s="406" customFormat="1" ht="12" customHeight="1">
      <c r="A22" s="14" t="s">
        <v>616</v>
      </c>
      <c r="B22" s="408" t="s">
        <v>193</v>
      </c>
      <c r="C22" s="301">
        <f>'9.1. melléklet'!C25</f>
        <v>0</v>
      </c>
    </row>
    <row r="23" spans="1:3" s="406" customFormat="1" ht="12" customHeight="1">
      <c r="A23" s="14" t="s">
        <v>617</v>
      </c>
      <c r="B23" s="408" t="s">
        <v>20</v>
      </c>
      <c r="C23" s="301">
        <v>133390721</v>
      </c>
    </row>
    <row r="24" spans="1:3" s="406" customFormat="1" ht="12" customHeight="1">
      <c r="A24" s="14" t="s">
        <v>693</v>
      </c>
      <c r="B24" s="408" t="s">
        <v>401</v>
      </c>
      <c r="C24" s="301">
        <v>24058306</v>
      </c>
    </row>
    <row r="25" spans="1:3" s="406" customFormat="1" ht="12" customHeight="1" thickBot="1">
      <c r="A25" s="16" t="s">
        <v>694</v>
      </c>
      <c r="B25" s="409" t="s">
        <v>800</v>
      </c>
      <c r="C25" s="914">
        <f>'9.1. melléklet'!C28</f>
        <v>0</v>
      </c>
    </row>
    <row r="26" spans="1:3" s="406" customFormat="1" ht="12" customHeight="1" thickBot="1">
      <c r="A26" s="20" t="s">
        <v>695</v>
      </c>
      <c r="B26" s="21" t="s">
        <v>801</v>
      </c>
      <c r="C26" s="915">
        <f>C27+C30+C31+C32+C33</f>
        <v>145800000</v>
      </c>
    </row>
    <row r="27" spans="1:3" s="406" customFormat="1" ht="12" customHeight="1">
      <c r="A27" s="15" t="s">
        <v>802</v>
      </c>
      <c r="B27" s="407" t="s">
        <v>808</v>
      </c>
      <c r="C27" s="301">
        <v>125800000</v>
      </c>
    </row>
    <row r="28" spans="1:3" s="406" customFormat="1" ht="12" customHeight="1">
      <c r="A28" s="14" t="s">
        <v>803</v>
      </c>
      <c r="B28" s="644" t="s">
        <v>353</v>
      </c>
      <c r="C28" s="301">
        <v>5800000</v>
      </c>
    </row>
    <row r="29" spans="1:3" s="406" customFormat="1" ht="12" customHeight="1">
      <c r="A29" s="14" t="s">
        <v>804</v>
      </c>
      <c r="B29" s="644" t="s">
        <v>354</v>
      </c>
      <c r="C29" s="301">
        <v>120000000</v>
      </c>
    </row>
    <row r="30" spans="1:3" s="406" customFormat="1" ht="12" customHeight="1">
      <c r="A30" s="14" t="s">
        <v>805</v>
      </c>
      <c r="B30" s="408" t="s">
        <v>811</v>
      </c>
      <c r="C30" s="301">
        <v>18000000</v>
      </c>
    </row>
    <row r="31" spans="1:3" s="406" customFormat="1" ht="12" customHeight="1">
      <c r="A31" s="14" t="s">
        <v>806</v>
      </c>
      <c r="B31" s="408" t="s">
        <v>319</v>
      </c>
      <c r="C31" s="301">
        <v>300000</v>
      </c>
    </row>
    <row r="32" spans="1:3" s="406" customFormat="1" ht="12" customHeight="1">
      <c r="A32" s="16" t="s">
        <v>807</v>
      </c>
      <c r="B32" s="409" t="s">
        <v>322</v>
      </c>
      <c r="C32" s="301">
        <v>900000</v>
      </c>
    </row>
    <row r="33" spans="1:3" s="406" customFormat="1" ht="12" customHeight="1" thickBot="1">
      <c r="A33" s="16" t="s">
        <v>320</v>
      </c>
      <c r="B33" s="409" t="s">
        <v>321</v>
      </c>
      <c r="C33" s="301">
        <v>800000</v>
      </c>
    </row>
    <row r="34" spans="1:3" s="406" customFormat="1" ht="12" customHeight="1" thickBot="1">
      <c r="A34" s="20" t="s">
        <v>546</v>
      </c>
      <c r="B34" s="21" t="s">
        <v>814</v>
      </c>
      <c r="C34" s="298">
        <f>C36+C37+C38+C39+C40+C41+C42+C44</f>
        <v>116111900</v>
      </c>
    </row>
    <row r="35" spans="1:3" s="406" customFormat="1" ht="12" customHeight="1">
      <c r="A35" s="15" t="s">
        <v>618</v>
      </c>
      <c r="B35" s="407" t="s">
        <v>817</v>
      </c>
      <c r="C35" s="301"/>
    </row>
    <row r="36" spans="1:3" s="406" customFormat="1" ht="12" customHeight="1">
      <c r="A36" s="14" t="s">
        <v>619</v>
      </c>
      <c r="B36" s="408" t="s">
        <v>818</v>
      </c>
      <c r="C36" s="300">
        <v>10800000</v>
      </c>
    </row>
    <row r="37" spans="1:3" s="406" customFormat="1" ht="12" customHeight="1">
      <c r="A37" s="14" t="s">
        <v>620</v>
      </c>
      <c r="B37" s="408" t="s">
        <v>819</v>
      </c>
      <c r="C37" s="300">
        <v>300000</v>
      </c>
    </row>
    <row r="38" spans="1:3" s="406" customFormat="1" ht="12" customHeight="1">
      <c r="A38" s="14" t="s">
        <v>697</v>
      </c>
      <c r="B38" s="408" t="s">
        <v>820</v>
      </c>
      <c r="C38" s="300">
        <v>3200000</v>
      </c>
    </row>
    <row r="39" spans="1:3" s="406" customFormat="1" ht="12" customHeight="1">
      <c r="A39" s="14" t="s">
        <v>698</v>
      </c>
      <c r="B39" s="408" t="s">
        <v>821</v>
      </c>
      <c r="C39" s="300">
        <f>8150000+30000+73051900</f>
        <v>81231900</v>
      </c>
    </row>
    <row r="40" spans="1:3" s="406" customFormat="1" ht="12" customHeight="1">
      <c r="A40" s="14" t="s">
        <v>699</v>
      </c>
      <c r="B40" s="408" t="s">
        <v>822</v>
      </c>
      <c r="C40" s="300">
        <v>3280000</v>
      </c>
    </row>
    <row r="41" spans="1:3" s="406" customFormat="1" ht="12" customHeight="1">
      <c r="A41" s="14" t="s">
        <v>700</v>
      </c>
      <c r="B41" s="408" t="s">
        <v>823</v>
      </c>
      <c r="C41" s="300">
        <v>9300000</v>
      </c>
    </row>
    <row r="42" spans="1:3" s="406" customFormat="1" ht="12" customHeight="1">
      <c r="A42" s="14" t="s">
        <v>701</v>
      </c>
      <c r="B42" s="408" t="s">
        <v>824</v>
      </c>
      <c r="C42" s="300">
        <v>1000000</v>
      </c>
    </row>
    <row r="43" spans="1:3" s="406" customFormat="1" ht="12" customHeight="1">
      <c r="A43" s="14" t="s">
        <v>815</v>
      </c>
      <c r="B43" s="408" t="s">
        <v>825</v>
      </c>
      <c r="C43" s="303"/>
    </row>
    <row r="44" spans="1:3" s="406" customFormat="1" ht="12" customHeight="1" thickBot="1">
      <c r="A44" s="16" t="s">
        <v>816</v>
      </c>
      <c r="B44" s="409" t="s">
        <v>826</v>
      </c>
      <c r="C44" s="396">
        <v>7000000</v>
      </c>
    </row>
    <row r="45" spans="1:3" s="406" customFormat="1" ht="12" customHeight="1" thickBot="1">
      <c r="A45" s="20" t="s">
        <v>547</v>
      </c>
      <c r="B45" s="21" t="s">
        <v>827</v>
      </c>
      <c r="C45" s="298">
        <f>SUM(C46:C50)</f>
        <v>0</v>
      </c>
    </row>
    <row r="46" spans="1:3" s="406" customFormat="1" ht="12" customHeight="1">
      <c r="A46" s="15" t="s">
        <v>621</v>
      </c>
      <c r="B46" s="407" t="s">
        <v>831</v>
      </c>
      <c r="C46" s="451"/>
    </row>
    <row r="47" spans="1:3" s="406" customFormat="1" ht="12" customHeight="1">
      <c r="A47" s="14" t="s">
        <v>622</v>
      </c>
      <c r="B47" s="408" t="s">
        <v>832</v>
      </c>
      <c r="C47" s="303"/>
    </row>
    <row r="48" spans="1:3" s="406" customFormat="1" ht="12" customHeight="1">
      <c r="A48" s="14" t="s">
        <v>828</v>
      </c>
      <c r="B48" s="408" t="s">
        <v>833</v>
      </c>
      <c r="C48" s="303"/>
    </row>
    <row r="49" spans="1:3" s="406" customFormat="1" ht="12" customHeight="1">
      <c r="A49" s="14" t="s">
        <v>829</v>
      </c>
      <c r="B49" s="408" t="s">
        <v>834</v>
      </c>
      <c r="C49" s="303"/>
    </row>
    <row r="50" spans="1:3" s="406" customFormat="1" ht="12" customHeight="1">
      <c r="A50" s="14" t="s">
        <v>830</v>
      </c>
      <c r="B50" s="408" t="s">
        <v>835</v>
      </c>
      <c r="C50" s="303"/>
    </row>
    <row r="51" spans="1:3" s="406" customFormat="1" ht="12" customHeight="1" thickBot="1">
      <c r="A51" s="13" t="s">
        <v>523</v>
      </c>
      <c r="B51" s="579" t="s">
        <v>209</v>
      </c>
      <c r="C51" s="580"/>
    </row>
    <row r="52" spans="1:3" s="406" customFormat="1" ht="12" customHeight="1" thickBot="1">
      <c r="A52" s="20" t="s">
        <v>702</v>
      </c>
      <c r="B52" s="21" t="s">
        <v>836</v>
      </c>
      <c r="C52" s="298">
        <f>SUM(C53:C55)</f>
        <v>0</v>
      </c>
    </row>
    <row r="53" spans="1:3" s="406" customFormat="1" ht="12" customHeight="1">
      <c r="A53" s="15" t="s">
        <v>623</v>
      </c>
      <c r="B53" s="407" t="s">
        <v>837</v>
      </c>
      <c r="C53" s="301"/>
    </row>
    <row r="54" spans="1:3" s="406" customFormat="1" ht="12" customHeight="1">
      <c r="A54" s="14" t="s">
        <v>624</v>
      </c>
      <c r="B54" s="408" t="s">
        <v>340</v>
      </c>
      <c r="C54" s="300"/>
    </row>
    <row r="55" spans="1:3" s="406" customFormat="1" ht="12" customHeight="1">
      <c r="A55" s="14" t="s">
        <v>840</v>
      </c>
      <c r="B55" s="408" t="s">
        <v>342</v>
      </c>
      <c r="C55" s="300"/>
    </row>
    <row r="56" spans="1:3" s="406" customFormat="1" ht="12" customHeight="1" thickBot="1">
      <c r="A56" s="16" t="s">
        <v>841</v>
      </c>
      <c r="B56" s="409" t="s">
        <v>839</v>
      </c>
      <c r="C56" s="302"/>
    </row>
    <row r="57" spans="1:3" s="406" customFormat="1" ht="12" customHeight="1" thickBot="1">
      <c r="A57" s="20" t="s">
        <v>549</v>
      </c>
      <c r="B57" s="293" t="s">
        <v>842</v>
      </c>
      <c r="C57" s="298">
        <f>SUM(C58:C60)</f>
        <v>0</v>
      </c>
    </row>
    <row r="58" spans="1:3" s="406" customFormat="1" ht="12" customHeight="1">
      <c r="A58" s="15" t="s">
        <v>703</v>
      </c>
      <c r="B58" s="407" t="s">
        <v>844</v>
      </c>
      <c r="C58" s="303"/>
    </row>
    <row r="59" spans="1:3" s="406" customFormat="1" ht="12" customHeight="1">
      <c r="A59" s="14" t="s">
        <v>704</v>
      </c>
      <c r="B59" s="408" t="s">
        <v>196</v>
      </c>
      <c r="C59" s="303"/>
    </row>
    <row r="60" spans="1:3" s="406" customFormat="1" ht="12" customHeight="1">
      <c r="A60" s="14" t="s">
        <v>756</v>
      </c>
      <c r="B60" s="408" t="s">
        <v>357</v>
      </c>
      <c r="C60" s="303"/>
    </row>
    <row r="61" spans="1:3" s="406" customFormat="1" ht="12" customHeight="1" thickBot="1">
      <c r="A61" s="16" t="s">
        <v>843</v>
      </c>
      <c r="B61" s="409" t="s">
        <v>846</v>
      </c>
      <c r="C61" s="303"/>
    </row>
    <row r="62" spans="1:3" s="406" customFormat="1" ht="12" customHeight="1" thickBot="1">
      <c r="A62" s="20" t="s">
        <v>550</v>
      </c>
      <c r="B62" s="21" t="s">
        <v>847</v>
      </c>
      <c r="C62" s="304">
        <f>+C5+C12+C19+C26+C34+C45+C52+C57</f>
        <v>822717984</v>
      </c>
    </row>
    <row r="63" spans="1:3" s="406" customFormat="1" ht="12" customHeight="1" thickBot="1">
      <c r="A63" s="410" t="s">
        <v>848</v>
      </c>
      <c r="B63" s="293" t="s">
        <v>849</v>
      </c>
      <c r="C63" s="298">
        <f>SUM(C64:C66)</f>
        <v>0</v>
      </c>
    </row>
    <row r="64" spans="1:3" s="406" customFormat="1" ht="12" customHeight="1">
      <c r="A64" s="15" t="s">
        <v>54</v>
      </c>
      <c r="B64" s="407" t="s">
        <v>850</v>
      </c>
      <c r="C64" s="303"/>
    </row>
    <row r="65" spans="1:3" s="406" customFormat="1" ht="12" customHeight="1">
      <c r="A65" s="14" t="s">
        <v>63</v>
      </c>
      <c r="B65" s="408" t="s">
        <v>851</v>
      </c>
      <c r="C65" s="303"/>
    </row>
    <row r="66" spans="1:3" s="406" customFormat="1" ht="12" customHeight="1" thickBot="1">
      <c r="A66" s="16" t="s">
        <v>64</v>
      </c>
      <c r="B66" s="411" t="s">
        <v>852</v>
      </c>
      <c r="C66" s="303"/>
    </row>
    <row r="67" spans="1:3" s="406" customFormat="1" ht="12" customHeight="1" thickBot="1">
      <c r="A67" s="410" t="s">
        <v>853</v>
      </c>
      <c r="B67" s="293" t="s">
        <v>854</v>
      </c>
      <c r="C67" s="298">
        <f>SUM(C68:C71)</f>
        <v>295000000</v>
      </c>
    </row>
    <row r="68" spans="1:3" s="406" customFormat="1" ht="12" customHeight="1">
      <c r="A68" s="15" t="s">
        <v>671</v>
      </c>
      <c r="B68" s="407" t="s">
        <v>855</v>
      </c>
      <c r="C68" s="303">
        <v>295000000</v>
      </c>
    </row>
    <row r="69" spans="1:3" s="406" customFormat="1" ht="12" customHeight="1">
      <c r="A69" s="14" t="s">
        <v>672</v>
      </c>
      <c r="B69" s="408" t="s">
        <v>856</v>
      </c>
      <c r="C69" s="303"/>
    </row>
    <row r="70" spans="1:3" s="406" customFormat="1" ht="12" customHeight="1">
      <c r="A70" s="14" t="s">
        <v>55</v>
      </c>
      <c r="B70" s="408" t="s">
        <v>857</v>
      </c>
      <c r="C70" s="303"/>
    </row>
    <row r="71" spans="1:3" s="406" customFormat="1" ht="12" customHeight="1" thickBot="1">
      <c r="A71" s="16" t="s">
        <v>56</v>
      </c>
      <c r="B71" s="409" t="s">
        <v>858</v>
      </c>
      <c r="C71" s="303"/>
    </row>
    <row r="72" spans="1:3" s="406" customFormat="1" ht="12" customHeight="1" thickBot="1">
      <c r="A72" s="410" t="s">
        <v>859</v>
      </c>
      <c r="B72" s="293" t="s">
        <v>860</v>
      </c>
      <c r="C72" s="298">
        <f>C73</f>
        <v>199880000</v>
      </c>
    </row>
    <row r="73" spans="1:3" s="406" customFormat="1" ht="12" customHeight="1">
      <c r="A73" s="15" t="s">
        <v>57</v>
      </c>
      <c r="B73" s="407" t="s">
        <v>861</v>
      </c>
      <c r="C73" s="303">
        <v>199880000</v>
      </c>
    </row>
    <row r="74" spans="1:3" s="406" customFormat="1" ht="12" customHeight="1" thickBot="1">
      <c r="A74" s="16" t="s">
        <v>58</v>
      </c>
      <c r="B74" s="409" t="s">
        <v>862</v>
      </c>
      <c r="C74" s="303"/>
    </row>
    <row r="75" spans="1:3" s="406" customFormat="1" ht="12" customHeight="1" thickBot="1">
      <c r="A75" s="410" t="s">
        <v>863</v>
      </c>
      <c r="B75" s="293" t="s">
        <v>864</v>
      </c>
      <c r="C75" s="298">
        <f>SUM(C76:C78)</f>
        <v>0</v>
      </c>
    </row>
    <row r="76" spans="1:3" s="406" customFormat="1" ht="12" customHeight="1">
      <c r="A76" s="15" t="s">
        <v>59</v>
      </c>
      <c r="B76" s="407" t="s">
        <v>865</v>
      </c>
      <c r="C76" s="303"/>
    </row>
    <row r="77" spans="1:3" s="406" customFormat="1" ht="12" customHeight="1">
      <c r="A77" s="14" t="s">
        <v>60</v>
      </c>
      <c r="B77" s="408" t="s">
        <v>866</v>
      </c>
      <c r="C77" s="303"/>
    </row>
    <row r="78" spans="1:3" s="406" customFormat="1" ht="12" customHeight="1" thickBot="1">
      <c r="A78" s="16" t="s">
        <v>61</v>
      </c>
      <c r="B78" s="409" t="s">
        <v>867</v>
      </c>
      <c r="C78" s="303"/>
    </row>
    <row r="79" spans="1:3" s="406" customFormat="1" ht="12" customHeight="1" thickBot="1">
      <c r="A79" s="410" t="s">
        <v>868</v>
      </c>
      <c r="B79" s="293" t="s">
        <v>62</v>
      </c>
      <c r="C79" s="298">
        <f>SUM(C80:C83)</f>
        <v>0</v>
      </c>
    </row>
    <row r="80" spans="1:3" s="406" customFormat="1" ht="12" customHeight="1">
      <c r="A80" s="412" t="s">
        <v>869</v>
      </c>
      <c r="B80" s="407" t="s">
        <v>42</v>
      </c>
      <c r="C80" s="303"/>
    </row>
    <row r="81" spans="1:3" s="406" customFormat="1" ht="12" customHeight="1">
      <c r="A81" s="413" t="s">
        <v>43</v>
      </c>
      <c r="B81" s="408" t="s">
        <v>44</v>
      </c>
      <c r="C81" s="303"/>
    </row>
    <row r="82" spans="1:3" s="406" customFormat="1" ht="12" customHeight="1">
      <c r="A82" s="413" t="s">
        <v>45</v>
      </c>
      <c r="B82" s="408" t="s">
        <v>46</v>
      </c>
      <c r="C82" s="303"/>
    </row>
    <row r="83" spans="1:3" s="406" customFormat="1" ht="12" customHeight="1" thickBot="1">
      <c r="A83" s="414" t="s">
        <v>47</v>
      </c>
      <c r="B83" s="409" t="s">
        <v>48</v>
      </c>
      <c r="C83" s="303"/>
    </row>
    <row r="84" spans="1:3" s="406" customFormat="1" ht="13.5" customHeight="1" thickBot="1">
      <c r="A84" s="410" t="s">
        <v>49</v>
      </c>
      <c r="B84" s="293" t="s">
        <v>50</v>
      </c>
      <c r="C84" s="452"/>
    </row>
    <row r="85" spans="1:3" s="406" customFormat="1" ht="15.75" customHeight="1" thickBot="1">
      <c r="A85" s="410" t="s">
        <v>51</v>
      </c>
      <c r="B85" s="415" t="s">
        <v>52</v>
      </c>
      <c r="C85" s="304">
        <f>+C63+C67+C72+C75+C79+C84</f>
        <v>494880000</v>
      </c>
    </row>
    <row r="86" spans="1:3" s="406" customFormat="1" ht="16.5" customHeight="1" thickBot="1">
      <c r="A86" s="416" t="s">
        <v>65</v>
      </c>
      <c r="B86" s="417" t="s">
        <v>53</v>
      </c>
      <c r="C86" s="304">
        <f>+C62+C85</f>
        <v>1317597984</v>
      </c>
    </row>
    <row r="87" spans="1:3" ht="16.5" customHeight="1">
      <c r="A87" s="1062" t="s">
        <v>570</v>
      </c>
      <c r="B87" s="1062"/>
      <c r="C87" s="1062"/>
    </row>
    <row r="88" spans="1:3" s="418" customFormat="1" ht="16.5" customHeight="1" thickBot="1">
      <c r="A88" s="1063" t="s">
        <v>675</v>
      </c>
      <c r="B88" s="1063"/>
      <c r="C88" s="139"/>
    </row>
    <row r="89" spans="1:3" ht="37.5" customHeight="1" thickBot="1">
      <c r="A89" s="23" t="s">
        <v>595</v>
      </c>
      <c r="B89" s="24" t="s">
        <v>571</v>
      </c>
      <c r="C89" s="39" t="s">
        <v>447</v>
      </c>
    </row>
    <row r="90" spans="1:3" s="405" customFormat="1" ht="12" customHeight="1" thickBot="1">
      <c r="A90" s="32">
        <v>1</v>
      </c>
      <c r="B90" s="33">
        <v>2</v>
      </c>
      <c r="C90" s="34">
        <v>3</v>
      </c>
    </row>
    <row r="91" spans="1:3" ht="12" customHeight="1" thickBot="1">
      <c r="A91" s="22" t="s">
        <v>542</v>
      </c>
      <c r="B91" s="31" t="s">
        <v>68</v>
      </c>
      <c r="C91" s="297">
        <f>SUM(C92:C96)</f>
        <v>626926195</v>
      </c>
    </row>
    <row r="92" spans="1:4" ht="12" customHeight="1">
      <c r="A92" s="17" t="s">
        <v>625</v>
      </c>
      <c r="B92" s="10" t="s">
        <v>572</v>
      </c>
      <c r="C92" s="299">
        <v>207127000</v>
      </c>
      <c r="D92" s="1013"/>
    </row>
    <row r="93" spans="1:3" ht="12" customHeight="1">
      <c r="A93" s="14" t="s">
        <v>626</v>
      </c>
      <c r="B93" s="8" t="s">
        <v>705</v>
      </c>
      <c r="C93" s="300">
        <v>49032554</v>
      </c>
    </row>
    <row r="94" spans="1:3" ht="12" customHeight="1">
      <c r="A94" s="14" t="s">
        <v>627</v>
      </c>
      <c r="B94" s="8" t="s">
        <v>662</v>
      </c>
      <c r="C94" s="302">
        <f>220013000-3000000</f>
        <v>217013000</v>
      </c>
    </row>
    <row r="95" spans="1:3" ht="12" customHeight="1">
      <c r="A95" s="14" t="s">
        <v>628</v>
      </c>
      <c r="B95" s="11" t="s">
        <v>706</v>
      </c>
      <c r="C95" s="302">
        <f>'9.1. melléklet'!C96</f>
        <v>9611000</v>
      </c>
    </row>
    <row r="96" spans="1:3" ht="12" customHeight="1">
      <c r="A96" s="14" t="s">
        <v>639</v>
      </c>
      <c r="B96" s="19" t="s">
        <v>707</v>
      </c>
      <c r="C96" s="302">
        <f>C101+C102+C106</f>
        <v>144142641</v>
      </c>
    </row>
    <row r="97" spans="1:3" ht="12" customHeight="1">
      <c r="A97" s="14" t="s">
        <v>629</v>
      </c>
      <c r="B97" s="8" t="s">
        <v>69</v>
      </c>
      <c r="C97" s="302">
        <f>'9.1. melléklet'!C98</f>
        <v>0</v>
      </c>
    </row>
    <row r="98" spans="1:3" ht="12" customHeight="1">
      <c r="A98" s="14" t="s">
        <v>630</v>
      </c>
      <c r="B98" s="141" t="s">
        <v>70</v>
      </c>
      <c r="C98" s="302">
        <f>'9.1. melléklet'!C99</f>
        <v>0</v>
      </c>
    </row>
    <row r="99" spans="1:3" ht="12" customHeight="1">
      <c r="A99" s="14" t="s">
        <v>640</v>
      </c>
      <c r="B99" s="142" t="s">
        <v>71</v>
      </c>
      <c r="C99" s="302">
        <f>'9.1. melléklet'!C100</f>
        <v>0</v>
      </c>
    </row>
    <row r="100" spans="1:3" ht="12" customHeight="1">
      <c r="A100" s="14" t="s">
        <v>641</v>
      </c>
      <c r="B100" s="142" t="s">
        <v>72</v>
      </c>
      <c r="C100" s="302">
        <f>'9.1. melléklet'!C101</f>
        <v>0</v>
      </c>
    </row>
    <row r="101" spans="1:3" ht="12" customHeight="1">
      <c r="A101" s="14" t="s">
        <v>642</v>
      </c>
      <c r="B101" s="141" t="s">
        <v>267</v>
      </c>
      <c r="C101" s="302">
        <v>138942641</v>
      </c>
    </row>
    <row r="102" spans="1:3" ht="12" customHeight="1">
      <c r="A102" s="14" t="s">
        <v>643</v>
      </c>
      <c r="B102" s="141" t="s">
        <v>355</v>
      </c>
      <c r="C102" s="302">
        <f>'9.1. melléklet'!C103</f>
        <v>2000000</v>
      </c>
    </row>
    <row r="103" spans="1:3" ht="12" customHeight="1">
      <c r="A103" s="14" t="s">
        <v>645</v>
      </c>
      <c r="B103" s="142" t="s">
        <v>75</v>
      </c>
      <c r="C103" s="302">
        <f>'9.1. melléklet'!C104</f>
        <v>0</v>
      </c>
    </row>
    <row r="104" spans="1:3" ht="12" customHeight="1">
      <c r="A104" s="13" t="s">
        <v>708</v>
      </c>
      <c r="B104" s="143" t="s">
        <v>76</v>
      </c>
      <c r="C104" s="302">
        <f>'9.1. melléklet'!C105</f>
        <v>0</v>
      </c>
    </row>
    <row r="105" spans="1:3" ht="12" customHeight="1">
      <c r="A105" s="14" t="s">
        <v>66</v>
      </c>
      <c r="B105" s="142" t="s">
        <v>345</v>
      </c>
      <c r="C105" s="302">
        <f>'9.1. melléklet'!C106</f>
        <v>0</v>
      </c>
    </row>
    <row r="106" spans="1:3" ht="12" customHeight="1" thickBot="1">
      <c r="A106" s="18" t="s">
        <v>67</v>
      </c>
      <c r="B106" s="678" t="s">
        <v>78</v>
      </c>
      <c r="C106" s="302">
        <f>'9.1. melléklet'!C107</f>
        <v>3200000</v>
      </c>
    </row>
    <row r="107" spans="1:3" ht="12" customHeight="1" thickBot="1">
      <c r="A107" s="20" t="s">
        <v>543</v>
      </c>
      <c r="B107" s="30" t="s">
        <v>79</v>
      </c>
      <c r="C107" s="298">
        <f>+C108+C110+C112</f>
        <v>321411285</v>
      </c>
    </row>
    <row r="108" spans="1:3" ht="12" customHeight="1">
      <c r="A108" s="15" t="s">
        <v>631</v>
      </c>
      <c r="B108" s="8" t="s">
        <v>356</v>
      </c>
      <c r="C108" s="301">
        <v>140411285</v>
      </c>
    </row>
    <row r="109" spans="1:3" ht="12" customHeight="1">
      <c r="A109" s="15" t="s">
        <v>632</v>
      </c>
      <c r="B109" s="12" t="s">
        <v>83</v>
      </c>
      <c r="C109" s="301">
        <f>'9.1. melléklet'!C110</f>
        <v>0</v>
      </c>
    </row>
    <row r="110" spans="1:3" ht="12" customHeight="1">
      <c r="A110" s="15" t="s">
        <v>633</v>
      </c>
      <c r="B110" s="12" t="s">
        <v>709</v>
      </c>
      <c r="C110" s="301">
        <v>181000000</v>
      </c>
    </row>
    <row r="111" spans="1:3" ht="12" customHeight="1">
      <c r="A111" s="15" t="s">
        <v>634</v>
      </c>
      <c r="B111" s="12" t="s">
        <v>84</v>
      </c>
      <c r="C111" s="301">
        <f>'9.1. melléklet'!C112</f>
        <v>0</v>
      </c>
    </row>
    <row r="112" spans="1:3" ht="12" customHeight="1">
      <c r="A112" s="15" t="s">
        <v>635</v>
      </c>
      <c r="B112" s="295" t="s">
        <v>757</v>
      </c>
      <c r="C112" s="301"/>
    </row>
    <row r="113" spans="1:3" ht="12" customHeight="1">
      <c r="A113" s="15" t="s">
        <v>644</v>
      </c>
      <c r="B113" s="294" t="s">
        <v>197</v>
      </c>
      <c r="C113" s="301">
        <f>'9.1. melléklet'!C114</f>
        <v>0</v>
      </c>
    </row>
    <row r="114" spans="1:3" ht="12" customHeight="1">
      <c r="A114" s="15" t="s">
        <v>646</v>
      </c>
      <c r="B114" s="403" t="s">
        <v>89</v>
      </c>
      <c r="C114" s="301">
        <f>'9.1. melléklet'!C115</f>
        <v>0</v>
      </c>
    </row>
    <row r="115" spans="1:3" ht="15.75">
      <c r="A115" s="15" t="s">
        <v>710</v>
      </c>
      <c r="B115" s="142" t="s">
        <v>387</v>
      </c>
      <c r="C115" s="301"/>
    </row>
    <row r="116" spans="1:3" ht="12" customHeight="1">
      <c r="A116" s="15" t="s">
        <v>711</v>
      </c>
      <c r="B116" s="142" t="s">
        <v>389</v>
      </c>
      <c r="C116" s="301"/>
    </row>
    <row r="117" spans="1:3" ht="12" customHeight="1">
      <c r="A117" s="15" t="s">
        <v>712</v>
      </c>
      <c r="B117" s="142" t="s">
        <v>87</v>
      </c>
      <c r="C117" s="301">
        <f>'9.1. melléklet'!C118</f>
        <v>0</v>
      </c>
    </row>
    <row r="118" spans="1:3" ht="12" customHeight="1">
      <c r="A118" s="15" t="s">
        <v>80</v>
      </c>
      <c r="B118" s="142" t="s">
        <v>75</v>
      </c>
      <c r="C118" s="301">
        <f>'9.1. melléklet'!C119</f>
        <v>0</v>
      </c>
    </row>
    <row r="119" spans="1:3" ht="12" customHeight="1">
      <c r="A119" s="15" t="s">
        <v>81</v>
      </c>
      <c r="B119" s="142" t="s">
        <v>86</v>
      </c>
      <c r="C119" s="301">
        <f>'9.1. melléklet'!C120</f>
        <v>0</v>
      </c>
    </row>
    <row r="120" spans="1:3" ht="16.5" thickBot="1">
      <c r="A120" s="13" t="s">
        <v>82</v>
      </c>
      <c r="B120" s="142" t="s">
        <v>268</v>
      </c>
      <c r="C120" s="301">
        <f>'9.1. melléklet'!C121</f>
        <v>0</v>
      </c>
    </row>
    <row r="121" spans="1:3" ht="12" customHeight="1" thickBot="1">
      <c r="A121" s="20" t="s">
        <v>544</v>
      </c>
      <c r="B121" s="124" t="s">
        <v>90</v>
      </c>
      <c r="C121" s="298">
        <f>+C122+C123</f>
        <v>369260504</v>
      </c>
    </row>
    <row r="122" spans="1:3" ht="12" customHeight="1">
      <c r="A122" s="15" t="s">
        <v>614</v>
      </c>
      <c r="B122" s="9" t="s">
        <v>583</v>
      </c>
      <c r="C122" s="301">
        <v>38342762</v>
      </c>
    </row>
    <row r="123" spans="1:3" ht="12" customHeight="1" thickBot="1">
      <c r="A123" s="16" t="s">
        <v>615</v>
      </c>
      <c r="B123" s="12" t="s">
        <v>584</v>
      </c>
      <c r="C123" s="301">
        <v>330917742</v>
      </c>
    </row>
    <row r="124" spans="1:3" ht="12" customHeight="1" thickBot="1">
      <c r="A124" s="20" t="s">
        <v>545</v>
      </c>
      <c r="B124" s="124" t="s">
        <v>91</v>
      </c>
      <c r="C124" s="298">
        <f>+C91+C107+C121</f>
        <v>1317597984</v>
      </c>
    </row>
    <row r="125" spans="1:3" ht="12" customHeight="1" thickBot="1">
      <c r="A125" s="20" t="s">
        <v>546</v>
      </c>
      <c r="B125" s="124" t="s">
        <v>92</v>
      </c>
      <c r="C125" s="298">
        <f>+C126+C127+C128</f>
        <v>0</v>
      </c>
    </row>
    <row r="126" spans="1:3" ht="12" customHeight="1">
      <c r="A126" s="15" t="s">
        <v>618</v>
      </c>
      <c r="B126" s="9" t="s">
        <v>93</v>
      </c>
      <c r="C126" s="271"/>
    </row>
    <row r="127" spans="1:3" ht="12" customHeight="1">
      <c r="A127" s="15" t="s">
        <v>619</v>
      </c>
      <c r="B127" s="9" t="s">
        <v>94</v>
      </c>
      <c r="C127" s="271"/>
    </row>
    <row r="128" spans="1:3" ht="12" customHeight="1" thickBot="1">
      <c r="A128" s="13" t="s">
        <v>620</v>
      </c>
      <c r="B128" s="7" t="s">
        <v>95</v>
      </c>
      <c r="C128" s="271"/>
    </row>
    <row r="129" spans="1:3" ht="12" customHeight="1" thickBot="1">
      <c r="A129" s="20" t="s">
        <v>547</v>
      </c>
      <c r="B129" s="124" t="s">
        <v>156</v>
      </c>
      <c r="C129" s="298">
        <f>+C130+C131+C132+C133</f>
        <v>0</v>
      </c>
    </row>
    <row r="130" spans="1:3" ht="12" customHeight="1">
      <c r="A130" s="15" t="s">
        <v>621</v>
      </c>
      <c r="B130" s="9" t="s">
        <v>96</v>
      </c>
      <c r="C130" s="271"/>
    </row>
    <row r="131" spans="1:3" ht="12" customHeight="1">
      <c r="A131" s="15" t="s">
        <v>622</v>
      </c>
      <c r="B131" s="9" t="s">
        <v>97</v>
      </c>
      <c r="C131" s="271"/>
    </row>
    <row r="132" spans="1:3" ht="12" customHeight="1">
      <c r="A132" s="15" t="s">
        <v>828</v>
      </c>
      <c r="B132" s="9" t="s">
        <v>98</v>
      </c>
      <c r="C132" s="271"/>
    </row>
    <row r="133" spans="1:3" ht="12" customHeight="1" thickBot="1">
      <c r="A133" s="13" t="s">
        <v>829</v>
      </c>
      <c r="B133" s="7" t="s">
        <v>99</v>
      </c>
      <c r="C133" s="271"/>
    </row>
    <row r="134" spans="1:3" ht="12" customHeight="1" thickBot="1">
      <c r="A134" s="20" t="s">
        <v>548</v>
      </c>
      <c r="B134" s="124" t="s">
        <v>100</v>
      </c>
      <c r="C134" s="304">
        <f>+C135+C136+C137+C138</f>
        <v>0</v>
      </c>
    </row>
    <row r="135" spans="1:3" ht="12" customHeight="1">
      <c r="A135" s="15" t="s">
        <v>623</v>
      </c>
      <c r="B135" s="9" t="s">
        <v>101</v>
      </c>
      <c r="C135" s="271"/>
    </row>
    <row r="136" spans="1:3" ht="12" customHeight="1">
      <c r="A136" s="15" t="s">
        <v>624</v>
      </c>
      <c r="B136" s="9" t="s">
        <v>111</v>
      </c>
      <c r="C136" s="271"/>
    </row>
    <row r="137" spans="1:3" ht="12" customHeight="1">
      <c r="A137" s="15" t="s">
        <v>840</v>
      </c>
      <c r="B137" s="9" t="s">
        <v>411</v>
      </c>
      <c r="C137" s="271"/>
    </row>
    <row r="138" spans="1:3" ht="12" customHeight="1" thickBot="1">
      <c r="A138" s="13" t="s">
        <v>841</v>
      </c>
      <c r="B138" s="7" t="s">
        <v>103</v>
      </c>
      <c r="C138" s="271"/>
    </row>
    <row r="139" spans="1:3" ht="12" customHeight="1" thickBot="1">
      <c r="A139" s="20" t="s">
        <v>549</v>
      </c>
      <c r="B139" s="124" t="s">
        <v>104</v>
      </c>
      <c r="C139" s="916">
        <f>+C140+C141+C142+C143</f>
        <v>0</v>
      </c>
    </row>
    <row r="140" spans="1:3" ht="12" customHeight="1">
      <c r="A140" s="15" t="s">
        <v>703</v>
      </c>
      <c r="B140" s="9" t="s">
        <v>105</v>
      </c>
      <c r="C140" s="271"/>
    </row>
    <row r="141" spans="1:3" ht="12" customHeight="1">
      <c r="A141" s="15" t="s">
        <v>704</v>
      </c>
      <c r="B141" s="9" t="s">
        <v>106</v>
      </c>
      <c r="C141" s="271"/>
    </row>
    <row r="142" spans="1:3" ht="12" customHeight="1">
      <c r="A142" s="15" t="s">
        <v>756</v>
      </c>
      <c r="B142" s="9" t="s">
        <v>107</v>
      </c>
      <c r="C142" s="271"/>
    </row>
    <row r="143" spans="1:3" ht="12" customHeight="1" thickBot="1">
      <c r="A143" s="15" t="s">
        <v>843</v>
      </c>
      <c r="B143" s="9" t="s">
        <v>108</v>
      </c>
      <c r="C143" s="271"/>
    </row>
    <row r="144" spans="1:9" ht="15" customHeight="1" thickBot="1">
      <c r="A144" s="20" t="s">
        <v>550</v>
      </c>
      <c r="B144" s="124" t="s">
        <v>109</v>
      </c>
      <c r="C144" s="419">
        <f>+C125+C129+C134+C139</f>
        <v>0</v>
      </c>
      <c r="F144" s="420"/>
      <c r="G144" s="421"/>
      <c r="H144" s="421"/>
      <c r="I144" s="421"/>
    </row>
    <row r="145" spans="1:3" s="406" customFormat="1" ht="12.75" customHeight="1" thickBot="1">
      <c r="A145" s="296" t="s">
        <v>551</v>
      </c>
      <c r="B145" s="380" t="s">
        <v>110</v>
      </c>
      <c r="C145" s="419">
        <f>+C124+C144</f>
        <v>1317597984</v>
      </c>
    </row>
    <row r="146" ht="7.5" customHeight="1"/>
    <row r="147" spans="1:3" ht="15.75">
      <c r="A147" s="1064" t="s">
        <v>112</v>
      </c>
      <c r="B147" s="1064"/>
      <c r="C147" s="1064"/>
    </row>
    <row r="148" spans="1:3" ht="15" customHeight="1" thickBot="1">
      <c r="A148" s="1061" t="s">
        <v>676</v>
      </c>
      <c r="B148" s="1061"/>
      <c r="C148" s="308"/>
    </row>
    <row r="149" spans="1:4" ht="13.5" customHeight="1" thickBot="1">
      <c r="A149" s="20">
        <v>1</v>
      </c>
      <c r="B149" s="30" t="s">
        <v>113</v>
      </c>
      <c r="C149" s="298">
        <f>+C62-C124</f>
        <v>-494880000</v>
      </c>
      <c r="D149" s="422"/>
    </row>
    <row r="150" spans="1:3" ht="21.75" thickBot="1">
      <c r="A150" s="20" t="s">
        <v>543</v>
      </c>
      <c r="B150" s="30" t="s">
        <v>114</v>
      </c>
      <c r="C150" s="298">
        <f>+C85-C144</f>
        <v>494880000</v>
      </c>
    </row>
  </sheetData>
  <sheetProtection/>
  <mergeCells count="6">
    <mergeCell ref="A148:B148"/>
    <mergeCell ref="A87:C87"/>
    <mergeCell ref="A1:C1"/>
    <mergeCell ref="A2:B2"/>
    <mergeCell ref="A88:B88"/>
    <mergeCell ref="A147:C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9" r:id="rId1"/>
  <headerFooter alignWithMargins="0">
    <oddHeader>&amp;C&amp;"Times New Roman CE,Félkövér"&amp;12
Tát Város Önkormányzat
2017. ÉVI KÖLTSÉGVETÉSÉNEK ÖSSZEVONT MÉRLEGE&amp;10
&amp;R&amp;"Times New Roman CE,Félkövér dőlt"&amp;11 1.1. melléklet az  1/2017. (II.07.) önkormányzati rendelethez</oddHeader>
  </headerFooter>
  <rowBreaks count="1" manualBreakCount="1">
    <brk id="86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445" t="s">
        <v>31</v>
      </c>
    </row>
    <row r="2" spans="1:3" s="446" customFormat="1" ht="25.5" customHeight="1">
      <c r="A2" s="397" t="s">
        <v>726</v>
      </c>
      <c r="B2" s="359" t="s">
        <v>206</v>
      </c>
      <c r="C2" s="374" t="s">
        <v>585</v>
      </c>
    </row>
    <row r="3" spans="1:3" s="446" customFormat="1" ht="24.75" thickBot="1">
      <c r="A3" s="438" t="s">
        <v>725</v>
      </c>
      <c r="B3" s="360" t="s">
        <v>185</v>
      </c>
      <c r="C3" s="375" t="s">
        <v>576</v>
      </c>
    </row>
    <row r="4" spans="1:3" s="447" customFormat="1" ht="15.75" customHeight="1" thickBot="1">
      <c r="A4" s="232"/>
      <c r="B4" s="232"/>
      <c r="C4" s="233"/>
    </row>
    <row r="5" spans="1:3" ht="13.5" thickBot="1">
      <c r="A5" s="398" t="s">
        <v>727</v>
      </c>
      <c r="B5" s="234" t="s">
        <v>577</v>
      </c>
      <c r="C5" s="235" t="s">
        <v>578</v>
      </c>
    </row>
    <row r="6" spans="1:3" s="448" customFormat="1" ht="12.75" customHeight="1" thickBot="1">
      <c r="A6" s="201">
        <v>1</v>
      </c>
      <c r="B6" s="202">
        <v>2</v>
      </c>
      <c r="C6" s="203">
        <v>3</v>
      </c>
    </row>
    <row r="7" spans="1:3" s="448" customFormat="1" ht="15.75" customHeight="1" thickBot="1">
      <c r="A7" s="236"/>
      <c r="B7" s="237" t="s">
        <v>579</v>
      </c>
      <c r="C7" s="238"/>
    </row>
    <row r="8" spans="1:3" s="376" customFormat="1" ht="12" customHeight="1" thickBot="1">
      <c r="A8" s="201" t="s">
        <v>542</v>
      </c>
      <c r="B8" s="239" t="s">
        <v>163</v>
      </c>
      <c r="C8" s="318">
        <f>SUM(C9:C18)</f>
        <v>3000000</v>
      </c>
    </row>
    <row r="9" spans="1:3" s="376" customFormat="1" ht="12" customHeight="1">
      <c r="A9" s="439" t="s">
        <v>625</v>
      </c>
      <c r="B9" s="10" t="s">
        <v>817</v>
      </c>
      <c r="C9" s="365"/>
    </row>
    <row r="10" spans="1:3" s="376" customFormat="1" ht="12" customHeight="1">
      <c r="A10" s="440" t="s">
        <v>626</v>
      </c>
      <c r="B10" s="8" t="s">
        <v>818</v>
      </c>
      <c r="C10" s="316">
        <v>3000000</v>
      </c>
    </row>
    <row r="11" spans="1:3" s="376" customFormat="1" ht="12" customHeight="1">
      <c r="A11" s="440" t="s">
        <v>627</v>
      </c>
      <c r="B11" s="8" t="s">
        <v>819</v>
      </c>
      <c r="C11" s="316"/>
    </row>
    <row r="12" spans="1:3" s="376" customFormat="1" ht="12" customHeight="1">
      <c r="A12" s="440" t="s">
        <v>628</v>
      </c>
      <c r="B12" s="8" t="s">
        <v>820</v>
      </c>
      <c r="C12" s="316"/>
    </row>
    <row r="13" spans="1:3" s="376" customFormat="1" ht="12" customHeight="1">
      <c r="A13" s="440" t="s">
        <v>670</v>
      </c>
      <c r="B13" s="8" t="s">
        <v>821</v>
      </c>
      <c r="C13" s="316"/>
    </row>
    <row r="14" spans="1:3" s="376" customFormat="1" ht="12" customHeight="1">
      <c r="A14" s="440" t="s">
        <v>629</v>
      </c>
      <c r="B14" s="8" t="s">
        <v>164</v>
      </c>
      <c r="C14" s="316"/>
    </row>
    <row r="15" spans="1:3" s="376" customFormat="1" ht="12" customHeight="1">
      <c r="A15" s="440" t="s">
        <v>630</v>
      </c>
      <c r="B15" s="7" t="s">
        <v>165</v>
      </c>
      <c r="C15" s="316"/>
    </row>
    <row r="16" spans="1:3" s="376" customFormat="1" ht="12" customHeight="1">
      <c r="A16" s="440" t="s">
        <v>640</v>
      </c>
      <c r="B16" s="8" t="s">
        <v>824</v>
      </c>
      <c r="C16" s="366"/>
    </row>
    <row r="17" spans="1:3" s="449" customFormat="1" ht="12" customHeight="1">
      <c r="A17" s="440" t="s">
        <v>641</v>
      </c>
      <c r="B17" s="8" t="s">
        <v>825</v>
      </c>
      <c r="C17" s="316"/>
    </row>
    <row r="18" spans="1:3" s="449" customFormat="1" ht="12" customHeight="1" thickBot="1">
      <c r="A18" s="440" t="s">
        <v>642</v>
      </c>
      <c r="B18" s="7" t="s">
        <v>826</v>
      </c>
      <c r="C18" s="317"/>
    </row>
    <row r="19" spans="1:3" s="376" customFormat="1" ht="12" customHeight="1" thickBot="1">
      <c r="A19" s="201" t="s">
        <v>543</v>
      </c>
      <c r="B19" s="239" t="s">
        <v>166</v>
      </c>
      <c r="C19" s="318">
        <f>SUM(C20:C22)</f>
        <v>0</v>
      </c>
    </row>
    <row r="20" spans="1:3" s="449" customFormat="1" ht="12" customHeight="1">
      <c r="A20" s="440" t="s">
        <v>631</v>
      </c>
      <c r="B20" s="9" t="s">
        <v>792</v>
      </c>
      <c r="C20" s="316"/>
    </row>
    <row r="21" spans="1:3" s="449" customFormat="1" ht="12" customHeight="1">
      <c r="A21" s="440" t="s">
        <v>632</v>
      </c>
      <c r="B21" s="8" t="s">
        <v>167</v>
      </c>
      <c r="C21" s="316"/>
    </row>
    <row r="22" spans="1:3" s="449" customFormat="1" ht="12" customHeight="1">
      <c r="A22" s="440" t="s">
        <v>633</v>
      </c>
      <c r="B22" s="8" t="s">
        <v>168</v>
      </c>
      <c r="C22" s="316"/>
    </row>
    <row r="23" spans="1:3" s="449" customFormat="1" ht="12" customHeight="1" thickBot="1">
      <c r="A23" s="440" t="s">
        <v>634</v>
      </c>
      <c r="B23" s="8" t="s">
        <v>526</v>
      </c>
      <c r="C23" s="316"/>
    </row>
    <row r="24" spans="1:3" s="449" customFormat="1" ht="12" customHeight="1" thickBot="1">
      <c r="A24" s="209" t="s">
        <v>544</v>
      </c>
      <c r="B24" s="124" t="s">
        <v>696</v>
      </c>
      <c r="C24" s="345"/>
    </row>
    <row r="25" spans="1:3" s="449" customFormat="1" ht="12" customHeight="1" thickBot="1">
      <c r="A25" s="209" t="s">
        <v>545</v>
      </c>
      <c r="B25" s="124" t="s">
        <v>169</v>
      </c>
      <c r="C25" s="318">
        <f>+C26+C27</f>
        <v>0</v>
      </c>
    </row>
    <row r="26" spans="1:3" s="449" customFormat="1" ht="12" customHeight="1">
      <c r="A26" s="441" t="s">
        <v>802</v>
      </c>
      <c r="B26" s="442" t="s">
        <v>167</v>
      </c>
      <c r="C26" s="78"/>
    </row>
    <row r="27" spans="1:3" s="449" customFormat="1" ht="12" customHeight="1">
      <c r="A27" s="441" t="s">
        <v>805</v>
      </c>
      <c r="B27" s="443" t="s">
        <v>170</v>
      </c>
      <c r="C27" s="319"/>
    </row>
    <row r="28" spans="1:3" s="449" customFormat="1" ht="12" customHeight="1" thickBot="1">
      <c r="A28" s="440" t="s">
        <v>806</v>
      </c>
      <c r="B28" s="444" t="s">
        <v>171</v>
      </c>
      <c r="C28" s="85"/>
    </row>
    <row r="29" spans="1:3" s="449" customFormat="1" ht="12" customHeight="1" thickBot="1">
      <c r="A29" s="209" t="s">
        <v>546</v>
      </c>
      <c r="B29" s="124" t="s">
        <v>172</v>
      </c>
      <c r="C29" s="318">
        <f>+C30+C31+C32</f>
        <v>0</v>
      </c>
    </row>
    <row r="30" spans="1:3" s="449" customFormat="1" ht="12" customHeight="1">
      <c r="A30" s="441" t="s">
        <v>618</v>
      </c>
      <c r="B30" s="442" t="s">
        <v>831</v>
      </c>
      <c r="C30" s="78"/>
    </row>
    <row r="31" spans="1:3" s="449" customFormat="1" ht="12" customHeight="1">
      <c r="A31" s="441" t="s">
        <v>619</v>
      </c>
      <c r="B31" s="443" t="s">
        <v>832</v>
      </c>
      <c r="C31" s="319"/>
    </row>
    <row r="32" spans="1:3" s="449" customFormat="1" ht="12" customHeight="1" thickBot="1">
      <c r="A32" s="440" t="s">
        <v>620</v>
      </c>
      <c r="B32" s="140" t="s">
        <v>833</v>
      </c>
      <c r="C32" s="85"/>
    </row>
    <row r="33" spans="1:3" s="376" customFormat="1" ht="12" customHeight="1" thickBot="1">
      <c r="A33" s="209" t="s">
        <v>547</v>
      </c>
      <c r="B33" s="124" t="s">
        <v>117</v>
      </c>
      <c r="C33" s="345"/>
    </row>
    <row r="34" spans="1:3" s="376" customFormat="1" ht="12" customHeight="1" thickBot="1">
      <c r="A34" s="209" t="s">
        <v>548</v>
      </c>
      <c r="B34" s="124" t="s">
        <v>173</v>
      </c>
      <c r="C34" s="367"/>
    </row>
    <row r="35" spans="1:3" s="376" customFormat="1" ht="12" customHeight="1" thickBot="1">
      <c r="A35" s="201" t="s">
        <v>549</v>
      </c>
      <c r="B35" s="124" t="s">
        <v>174</v>
      </c>
      <c r="C35" s="368">
        <f>+C8+C19+C24+C25+C29+C33+C34</f>
        <v>3000000</v>
      </c>
    </row>
    <row r="36" spans="1:3" s="376" customFormat="1" ht="12" customHeight="1" thickBot="1">
      <c r="A36" s="240" t="s">
        <v>550</v>
      </c>
      <c r="B36" s="124" t="s">
        <v>175</v>
      </c>
      <c r="C36" s="368">
        <f>+C37+C38+C39</f>
        <v>99877528</v>
      </c>
    </row>
    <row r="37" spans="1:3" s="376" customFormat="1" ht="12" customHeight="1">
      <c r="A37" s="441" t="s">
        <v>176</v>
      </c>
      <c r="B37" s="442" t="s">
        <v>764</v>
      </c>
      <c r="C37" s="78"/>
    </row>
    <row r="38" spans="1:3" s="376" customFormat="1" ht="12" customHeight="1">
      <c r="A38" s="441" t="s">
        <v>177</v>
      </c>
      <c r="B38" s="443" t="s">
        <v>527</v>
      </c>
      <c r="C38" s="319"/>
    </row>
    <row r="39" spans="1:3" s="449" customFormat="1" ht="12" customHeight="1" thickBot="1">
      <c r="A39" s="440" t="s">
        <v>178</v>
      </c>
      <c r="B39" s="140" t="s">
        <v>271</v>
      </c>
      <c r="C39" s="1014">
        <v>99877528</v>
      </c>
    </row>
    <row r="40" spans="1:3" s="449" customFormat="1" ht="15" customHeight="1" thickBot="1">
      <c r="A40" s="240" t="s">
        <v>551</v>
      </c>
      <c r="B40" s="241" t="s">
        <v>180</v>
      </c>
      <c r="C40" s="371">
        <f>+C35+C36</f>
        <v>102877528</v>
      </c>
    </row>
    <row r="41" spans="1:3" s="449" customFormat="1" ht="15" customHeight="1">
      <c r="A41" s="242"/>
      <c r="B41" s="243"/>
      <c r="C41" s="369"/>
    </row>
    <row r="42" spans="1:3" ht="13.5" thickBot="1">
      <c r="A42" s="244"/>
      <c r="B42" s="245"/>
      <c r="C42" s="370"/>
    </row>
    <row r="43" spans="1:3" s="448" customFormat="1" ht="16.5" customHeight="1" thickBot="1">
      <c r="A43" s="246"/>
      <c r="B43" s="247" t="s">
        <v>581</v>
      </c>
      <c r="C43" s="371"/>
    </row>
    <row r="44" spans="1:3" s="450" customFormat="1" ht="12" customHeight="1" thickBot="1">
      <c r="A44" s="209" t="s">
        <v>542</v>
      </c>
      <c r="B44" s="124" t="s">
        <v>181</v>
      </c>
      <c r="C44" s="318">
        <f>SUM(C45:C49)</f>
        <v>102877528</v>
      </c>
    </row>
    <row r="45" spans="1:3" ht="12" customHeight="1">
      <c r="A45" s="440" t="s">
        <v>625</v>
      </c>
      <c r="B45" s="9" t="s">
        <v>572</v>
      </c>
      <c r="C45" s="81">
        <v>71069000</v>
      </c>
    </row>
    <row r="46" spans="1:3" ht="12" customHeight="1">
      <c r="A46" s="440" t="s">
        <v>626</v>
      </c>
      <c r="B46" s="8" t="s">
        <v>705</v>
      </c>
      <c r="C46" s="81">
        <v>15918528</v>
      </c>
    </row>
    <row r="47" spans="1:3" ht="12" customHeight="1">
      <c r="A47" s="440" t="s">
        <v>627</v>
      </c>
      <c r="B47" s="8" t="s">
        <v>662</v>
      </c>
      <c r="C47" s="81">
        <v>15890000</v>
      </c>
    </row>
    <row r="48" spans="1:3" ht="12" customHeight="1">
      <c r="A48" s="440" t="s">
        <v>628</v>
      </c>
      <c r="B48" s="8" t="s">
        <v>706</v>
      </c>
      <c r="C48" s="81"/>
    </row>
    <row r="49" spans="1:3" ht="12" customHeight="1" thickBot="1">
      <c r="A49" s="440" t="s">
        <v>670</v>
      </c>
      <c r="B49" s="8" t="s">
        <v>707</v>
      </c>
      <c r="C49" s="81"/>
    </row>
    <row r="50" spans="1:3" ht="12" customHeight="1" thickBot="1">
      <c r="A50" s="209" t="s">
        <v>543</v>
      </c>
      <c r="B50" s="124" t="s">
        <v>182</v>
      </c>
      <c r="C50" s="318">
        <f>SUM(C51:C53)</f>
        <v>0</v>
      </c>
    </row>
    <row r="51" spans="1:3" s="450" customFormat="1" ht="12" customHeight="1">
      <c r="A51" s="440" t="s">
        <v>631</v>
      </c>
      <c r="B51" s="9" t="s">
        <v>754</v>
      </c>
      <c r="C51" s="78"/>
    </row>
    <row r="52" spans="1:3" ht="12" customHeight="1">
      <c r="A52" s="440" t="s">
        <v>632</v>
      </c>
      <c r="B52" s="8" t="s">
        <v>709</v>
      </c>
      <c r="C52" s="81"/>
    </row>
    <row r="53" spans="1:3" ht="12" customHeight="1">
      <c r="A53" s="440" t="s">
        <v>633</v>
      </c>
      <c r="B53" s="8" t="s">
        <v>582</v>
      </c>
      <c r="C53" s="81"/>
    </row>
    <row r="54" spans="1:3" ht="12" customHeight="1" thickBot="1">
      <c r="A54" s="440" t="s">
        <v>634</v>
      </c>
      <c r="B54" s="8" t="s">
        <v>528</v>
      </c>
      <c r="C54" s="81"/>
    </row>
    <row r="55" spans="1:3" ht="15" customHeight="1" thickBot="1">
      <c r="A55" s="209" t="s">
        <v>544</v>
      </c>
      <c r="B55" s="248" t="s">
        <v>183</v>
      </c>
      <c r="C55" s="372">
        <f>+C44+C50</f>
        <v>102877528</v>
      </c>
    </row>
    <row r="56" ht="13.5" thickBot="1">
      <c r="C56" s="373"/>
    </row>
    <row r="57" spans="1:3" ht="15" customHeight="1" thickBot="1">
      <c r="A57" s="251" t="s">
        <v>728</v>
      </c>
      <c r="B57" s="252"/>
      <c r="C57" s="121">
        <v>20</v>
      </c>
    </row>
    <row r="58" spans="1:3" ht="14.25" customHeight="1" thickBot="1">
      <c r="A58" s="251" t="s">
        <v>729</v>
      </c>
      <c r="B58" s="252"/>
      <c r="C58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workbookViewId="0" topLeftCell="A1">
      <selection activeCell="C1" sqref="C1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445" t="s">
        <v>32</v>
      </c>
    </row>
    <row r="2" spans="1:3" s="446" customFormat="1" ht="25.5" customHeight="1">
      <c r="A2" s="397" t="s">
        <v>726</v>
      </c>
      <c r="B2" s="359" t="s">
        <v>206</v>
      </c>
      <c r="C2" s="374" t="s">
        <v>585</v>
      </c>
    </row>
    <row r="3" spans="1:3" s="446" customFormat="1" ht="24.75" thickBot="1">
      <c r="A3" s="438" t="s">
        <v>725</v>
      </c>
      <c r="B3" s="360" t="s">
        <v>186</v>
      </c>
      <c r="C3" s="375" t="s">
        <v>586</v>
      </c>
    </row>
    <row r="4" spans="1:3" s="447" customFormat="1" ht="15.75" customHeight="1" thickBot="1">
      <c r="A4" s="232"/>
      <c r="B4" s="232"/>
      <c r="C4" s="233"/>
    </row>
    <row r="5" spans="1:3" ht="13.5" thickBot="1">
      <c r="A5" s="398" t="s">
        <v>727</v>
      </c>
      <c r="B5" s="234" t="s">
        <v>577</v>
      </c>
      <c r="C5" s="235" t="s">
        <v>578</v>
      </c>
    </row>
    <row r="6" spans="1:3" s="448" customFormat="1" ht="12.75" customHeight="1" thickBot="1">
      <c r="A6" s="201">
        <v>1</v>
      </c>
      <c r="B6" s="202">
        <v>2</v>
      </c>
      <c r="C6" s="203">
        <v>3</v>
      </c>
    </row>
    <row r="7" spans="1:3" s="448" customFormat="1" ht="15.75" customHeight="1" thickBot="1">
      <c r="A7" s="236"/>
      <c r="B7" s="237" t="s">
        <v>579</v>
      </c>
      <c r="C7" s="238"/>
    </row>
    <row r="8" spans="1:3" s="376" customFormat="1" ht="12" customHeight="1" thickBot="1">
      <c r="A8" s="201" t="s">
        <v>542</v>
      </c>
      <c r="B8" s="239" t="s">
        <v>163</v>
      </c>
      <c r="C8" s="318">
        <f>SUM(C9:C18)</f>
        <v>0</v>
      </c>
    </row>
    <row r="9" spans="1:3" s="376" customFormat="1" ht="12" customHeight="1">
      <c r="A9" s="439" t="s">
        <v>625</v>
      </c>
      <c r="B9" s="10" t="s">
        <v>817</v>
      </c>
      <c r="C9" s="365"/>
    </row>
    <row r="10" spans="1:3" s="376" customFormat="1" ht="12" customHeight="1">
      <c r="A10" s="440" t="s">
        <v>626</v>
      </c>
      <c r="B10" s="8" t="s">
        <v>818</v>
      </c>
      <c r="C10" s="316"/>
    </row>
    <row r="11" spans="1:3" s="376" customFormat="1" ht="12" customHeight="1">
      <c r="A11" s="440" t="s">
        <v>627</v>
      </c>
      <c r="B11" s="8" t="s">
        <v>819</v>
      </c>
      <c r="C11" s="316"/>
    </row>
    <row r="12" spans="1:3" s="376" customFormat="1" ht="12" customHeight="1">
      <c r="A12" s="440" t="s">
        <v>628</v>
      </c>
      <c r="B12" s="8" t="s">
        <v>820</v>
      </c>
      <c r="C12" s="316"/>
    </row>
    <row r="13" spans="1:3" s="376" customFormat="1" ht="12" customHeight="1">
      <c r="A13" s="440" t="s">
        <v>670</v>
      </c>
      <c r="B13" s="8" t="s">
        <v>821</v>
      </c>
      <c r="C13" s="316"/>
    </row>
    <row r="14" spans="1:3" s="376" customFormat="1" ht="12" customHeight="1">
      <c r="A14" s="440" t="s">
        <v>629</v>
      </c>
      <c r="B14" s="8" t="s">
        <v>164</v>
      </c>
      <c r="C14" s="316"/>
    </row>
    <row r="15" spans="1:3" s="376" customFormat="1" ht="12" customHeight="1">
      <c r="A15" s="440" t="s">
        <v>630</v>
      </c>
      <c r="B15" s="7" t="s">
        <v>165</v>
      </c>
      <c r="C15" s="316"/>
    </row>
    <row r="16" spans="1:3" s="376" customFormat="1" ht="12" customHeight="1">
      <c r="A16" s="440" t="s">
        <v>640</v>
      </c>
      <c r="B16" s="8" t="s">
        <v>824</v>
      </c>
      <c r="C16" s="366"/>
    </row>
    <row r="17" spans="1:3" s="449" customFormat="1" ht="12" customHeight="1">
      <c r="A17" s="440" t="s">
        <v>641</v>
      </c>
      <c r="B17" s="8" t="s">
        <v>825</v>
      </c>
      <c r="C17" s="316"/>
    </row>
    <row r="18" spans="1:3" s="449" customFormat="1" ht="12" customHeight="1" thickBot="1">
      <c r="A18" s="440" t="s">
        <v>642</v>
      </c>
      <c r="B18" s="7" t="s">
        <v>826</v>
      </c>
      <c r="C18" s="317"/>
    </row>
    <row r="19" spans="1:3" s="376" customFormat="1" ht="12" customHeight="1" thickBot="1">
      <c r="A19" s="201" t="s">
        <v>543</v>
      </c>
      <c r="B19" s="239" t="s">
        <v>166</v>
      </c>
      <c r="C19" s="318">
        <f>SUM(C20:C22)</f>
        <v>0</v>
      </c>
    </row>
    <row r="20" spans="1:3" s="449" customFormat="1" ht="12" customHeight="1">
      <c r="A20" s="440" t="s">
        <v>631</v>
      </c>
      <c r="B20" s="9" t="s">
        <v>792</v>
      </c>
      <c r="C20" s="316"/>
    </row>
    <row r="21" spans="1:3" s="449" customFormat="1" ht="12" customHeight="1">
      <c r="A21" s="440" t="s">
        <v>632</v>
      </c>
      <c r="B21" s="8" t="s">
        <v>167</v>
      </c>
      <c r="C21" s="316"/>
    </row>
    <row r="22" spans="1:3" s="449" customFormat="1" ht="12" customHeight="1">
      <c r="A22" s="440" t="s">
        <v>633</v>
      </c>
      <c r="B22" s="8" t="s">
        <v>168</v>
      </c>
      <c r="C22" s="316"/>
    </row>
    <row r="23" spans="1:3" s="449" customFormat="1" ht="12" customHeight="1" thickBot="1">
      <c r="A23" s="440" t="s">
        <v>634</v>
      </c>
      <c r="B23" s="8" t="s">
        <v>526</v>
      </c>
      <c r="C23" s="316"/>
    </row>
    <row r="24" spans="1:3" s="449" customFormat="1" ht="12" customHeight="1" thickBot="1">
      <c r="A24" s="209" t="s">
        <v>544</v>
      </c>
      <c r="B24" s="124" t="s">
        <v>696</v>
      </c>
      <c r="C24" s="345"/>
    </row>
    <row r="25" spans="1:3" s="449" customFormat="1" ht="12" customHeight="1" thickBot="1">
      <c r="A25" s="209" t="s">
        <v>545</v>
      </c>
      <c r="B25" s="124" t="s">
        <v>169</v>
      </c>
      <c r="C25" s="318">
        <f>+C26+C27</f>
        <v>0</v>
      </c>
    </row>
    <row r="26" spans="1:3" s="449" customFormat="1" ht="12" customHeight="1">
      <c r="A26" s="441" t="s">
        <v>802</v>
      </c>
      <c r="B26" s="442" t="s">
        <v>167</v>
      </c>
      <c r="C26" s="78"/>
    </row>
    <row r="27" spans="1:3" s="449" customFormat="1" ht="12" customHeight="1">
      <c r="A27" s="441" t="s">
        <v>805</v>
      </c>
      <c r="B27" s="443" t="s">
        <v>170</v>
      </c>
      <c r="C27" s="319"/>
    </row>
    <row r="28" spans="1:3" s="449" customFormat="1" ht="12" customHeight="1" thickBot="1">
      <c r="A28" s="440" t="s">
        <v>806</v>
      </c>
      <c r="B28" s="444" t="s">
        <v>171</v>
      </c>
      <c r="C28" s="85"/>
    </row>
    <row r="29" spans="1:3" s="449" customFormat="1" ht="12" customHeight="1" thickBot="1">
      <c r="A29" s="209" t="s">
        <v>546</v>
      </c>
      <c r="B29" s="124" t="s">
        <v>172</v>
      </c>
      <c r="C29" s="318">
        <f>+C30+C31+C32</f>
        <v>0</v>
      </c>
    </row>
    <row r="30" spans="1:3" s="449" customFormat="1" ht="12" customHeight="1">
      <c r="A30" s="441" t="s">
        <v>618</v>
      </c>
      <c r="B30" s="442" t="s">
        <v>831</v>
      </c>
      <c r="C30" s="78"/>
    </row>
    <row r="31" spans="1:3" s="449" customFormat="1" ht="12" customHeight="1">
      <c r="A31" s="441" t="s">
        <v>619</v>
      </c>
      <c r="B31" s="443" t="s">
        <v>832</v>
      </c>
      <c r="C31" s="319"/>
    </row>
    <row r="32" spans="1:3" s="449" customFormat="1" ht="12" customHeight="1" thickBot="1">
      <c r="A32" s="440" t="s">
        <v>620</v>
      </c>
      <c r="B32" s="140" t="s">
        <v>833</v>
      </c>
      <c r="C32" s="85"/>
    </row>
    <row r="33" spans="1:3" s="376" customFormat="1" ht="12" customHeight="1" thickBot="1">
      <c r="A33" s="209" t="s">
        <v>547</v>
      </c>
      <c r="B33" s="124" t="s">
        <v>117</v>
      </c>
      <c r="C33" s="345"/>
    </row>
    <row r="34" spans="1:3" s="376" customFormat="1" ht="12" customHeight="1" thickBot="1">
      <c r="A34" s="209" t="s">
        <v>548</v>
      </c>
      <c r="B34" s="124" t="s">
        <v>173</v>
      </c>
      <c r="C34" s="367"/>
    </row>
    <row r="35" spans="1:3" s="376" customFormat="1" ht="12" customHeight="1" thickBot="1">
      <c r="A35" s="201" t="s">
        <v>549</v>
      </c>
      <c r="B35" s="124" t="s">
        <v>174</v>
      </c>
      <c r="C35" s="368">
        <f>+C8+C19+C24+C25+C29+C33+C34</f>
        <v>0</v>
      </c>
    </row>
    <row r="36" spans="1:3" s="376" customFormat="1" ht="12" customHeight="1" thickBot="1">
      <c r="A36" s="240" t="s">
        <v>550</v>
      </c>
      <c r="B36" s="124" t="s">
        <v>175</v>
      </c>
      <c r="C36" s="368">
        <f>+C37+C38+C39</f>
        <v>0</v>
      </c>
    </row>
    <row r="37" spans="1:3" s="376" customFormat="1" ht="12" customHeight="1">
      <c r="A37" s="441" t="s">
        <v>176</v>
      </c>
      <c r="B37" s="442" t="s">
        <v>764</v>
      </c>
      <c r="C37" s="78"/>
    </row>
    <row r="38" spans="1:3" s="376" customFormat="1" ht="12" customHeight="1">
      <c r="A38" s="441" t="s">
        <v>177</v>
      </c>
      <c r="B38" s="443" t="s">
        <v>527</v>
      </c>
      <c r="C38" s="319"/>
    </row>
    <row r="39" spans="1:3" s="449" customFormat="1" ht="12" customHeight="1" thickBot="1">
      <c r="A39" s="440" t="s">
        <v>178</v>
      </c>
      <c r="B39" s="140" t="s">
        <v>179</v>
      </c>
      <c r="C39" s="85"/>
    </row>
    <row r="40" spans="1:3" s="449" customFormat="1" ht="15" customHeight="1" thickBot="1">
      <c r="A40" s="240" t="s">
        <v>551</v>
      </c>
      <c r="B40" s="241" t="s">
        <v>180</v>
      </c>
      <c r="C40" s="371">
        <f>+C35+C36</f>
        <v>0</v>
      </c>
    </row>
    <row r="41" spans="1:3" s="449" customFormat="1" ht="15" customHeight="1">
      <c r="A41" s="242"/>
      <c r="B41" s="243"/>
      <c r="C41" s="369"/>
    </row>
    <row r="42" spans="1:3" ht="13.5" thickBot="1">
      <c r="A42" s="244"/>
      <c r="B42" s="245"/>
      <c r="C42" s="370"/>
    </row>
    <row r="43" spans="1:3" s="448" customFormat="1" ht="16.5" customHeight="1" thickBot="1">
      <c r="A43" s="246"/>
      <c r="B43" s="247" t="s">
        <v>581</v>
      </c>
      <c r="C43" s="371"/>
    </row>
    <row r="44" spans="1:3" s="450" customFormat="1" ht="12" customHeight="1" thickBot="1">
      <c r="A44" s="209" t="s">
        <v>542</v>
      </c>
      <c r="B44" s="124" t="s">
        <v>181</v>
      </c>
      <c r="C44" s="318">
        <f>SUM(C45:C49)</f>
        <v>0</v>
      </c>
    </row>
    <row r="45" spans="1:3" ht="12" customHeight="1">
      <c r="A45" s="440" t="s">
        <v>625</v>
      </c>
      <c r="B45" s="9" t="s">
        <v>572</v>
      </c>
      <c r="C45" s="78"/>
    </row>
    <row r="46" spans="1:3" ht="12" customHeight="1">
      <c r="A46" s="440" t="s">
        <v>626</v>
      </c>
      <c r="B46" s="8" t="s">
        <v>705</v>
      </c>
      <c r="C46" s="81"/>
    </row>
    <row r="47" spans="1:3" ht="12" customHeight="1">
      <c r="A47" s="440" t="s">
        <v>627</v>
      </c>
      <c r="B47" s="8" t="s">
        <v>662</v>
      </c>
      <c r="C47" s="81"/>
    </row>
    <row r="48" spans="1:3" ht="12" customHeight="1">
      <c r="A48" s="440" t="s">
        <v>628</v>
      </c>
      <c r="B48" s="8" t="s">
        <v>706</v>
      </c>
      <c r="C48" s="81"/>
    </row>
    <row r="49" spans="1:3" ht="12" customHeight="1" thickBot="1">
      <c r="A49" s="440" t="s">
        <v>670</v>
      </c>
      <c r="B49" s="8" t="s">
        <v>707</v>
      </c>
      <c r="C49" s="81"/>
    </row>
    <row r="50" spans="1:3" ht="12" customHeight="1" thickBot="1">
      <c r="A50" s="209" t="s">
        <v>543</v>
      </c>
      <c r="B50" s="124" t="s">
        <v>182</v>
      </c>
      <c r="C50" s="318">
        <f>SUM(C51:C53)</f>
        <v>0</v>
      </c>
    </row>
    <row r="51" spans="1:3" s="450" customFormat="1" ht="12" customHeight="1">
      <c r="A51" s="440" t="s">
        <v>631</v>
      </c>
      <c r="B51" s="9" t="s">
        <v>754</v>
      </c>
      <c r="C51" s="78"/>
    </row>
    <row r="52" spans="1:3" ht="12" customHeight="1">
      <c r="A52" s="440" t="s">
        <v>632</v>
      </c>
      <c r="B52" s="8" t="s">
        <v>709</v>
      </c>
      <c r="C52" s="81"/>
    </row>
    <row r="53" spans="1:3" ht="12" customHeight="1">
      <c r="A53" s="440" t="s">
        <v>633</v>
      </c>
      <c r="B53" s="8" t="s">
        <v>582</v>
      </c>
      <c r="C53" s="81"/>
    </row>
    <row r="54" spans="1:3" ht="12" customHeight="1" thickBot="1">
      <c r="A54" s="440" t="s">
        <v>634</v>
      </c>
      <c r="B54" s="8" t="s">
        <v>528</v>
      </c>
      <c r="C54" s="81"/>
    </row>
    <row r="55" spans="1:3" ht="15" customHeight="1" thickBot="1">
      <c r="A55" s="209" t="s">
        <v>544</v>
      </c>
      <c r="B55" s="248" t="s">
        <v>183</v>
      </c>
      <c r="C55" s="372">
        <f>+C44+C50</f>
        <v>0</v>
      </c>
    </row>
    <row r="56" ht="13.5" thickBot="1">
      <c r="C56" s="373"/>
    </row>
    <row r="57" spans="1:3" ht="15" customHeight="1" thickBot="1">
      <c r="A57" s="251" t="s">
        <v>728</v>
      </c>
      <c r="B57" s="252"/>
      <c r="C57" s="121"/>
    </row>
    <row r="58" spans="1:3" ht="14.25" customHeight="1" thickBot="1">
      <c r="A58" s="251" t="s">
        <v>729</v>
      </c>
      <c r="B58" s="252"/>
      <c r="C58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445" t="s">
        <v>33</v>
      </c>
    </row>
    <row r="2" spans="1:3" s="446" customFormat="1" ht="25.5" customHeight="1">
      <c r="A2" s="397" t="s">
        <v>726</v>
      </c>
      <c r="B2" s="359" t="s">
        <v>227</v>
      </c>
      <c r="C2" s="374" t="s">
        <v>585</v>
      </c>
    </row>
    <row r="3" spans="1:3" s="446" customFormat="1" ht="24.75" thickBot="1">
      <c r="A3" s="438" t="s">
        <v>725</v>
      </c>
      <c r="B3" s="360" t="s">
        <v>265</v>
      </c>
      <c r="C3" s="375" t="s">
        <v>576</v>
      </c>
    </row>
    <row r="4" spans="1:3" s="447" customFormat="1" ht="15.75" customHeight="1" thickBot="1">
      <c r="A4" s="232"/>
      <c r="B4" s="232"/>
      <c r="C4" s="233"/>
    </row>
    <row r="5" spans="1:3" ht="13.5" thickBot="1">
      <c r="A5" s="398" t="s">
        <v>727</v>
      </c>
      <c r="B5" s="234" t="s">
        <v>577</v>
      </c>
      <c r="C5" s="235" t="s">
        <v>578</v>
      </c>
    </row>
    <row r="6" spans="1:3" s="448" customFormat="1" ht="12.75" customHeight="1" thickBot="1">
      <c r="A6" s="201">
        <v>1</v>
      </c>
      <c r="B6" s="202">
        <v>2</v>
      </c>
      <c r="C6" s="203">
        <v>3</v>
      </c>
    </row>
    <row r="7" spans="1:3" s="448" customFormat="1" ht="15.75" customHeight="1" thickBot="1">
      <c r="A7" s="236"/>
      <c r="B7" s="237" t="s">
        <v>579</v>
      </c>
      <c r="C7" s="238"/>
    </row>
    <row r="8" spans="1:3" s="376" customFormat="1" ht="12" customHeight="1" thickBot="1">
      <c r="A8" s="201" t="s">
        <v>542</v>
      </c>
      <c r="B8" s="239" t="s">
        <v>163</v>
      </c>
      <c r="C8" s="318">
        <f>SUM(C9:C18)</f>
        <v>3000000</v>
      </c>
    </row>
    <row r="9" spans="1:3" s="376" customFormat="1" ht="12" customHeight="1">
      <c r="A9" s="439" t="s">
        <v>625</v>
      </c>
      <c r="B9" s="10" t="s">
        <v>817</v>
      </c>
      <c r="C9" s="365"/>
    </row>
    <row r="10" spans="1:3" s="376" customFormat="1" ht="12" customHeight="1">
      <c r="A10" s="440" t="s">
        <v>626</v>
      </c>
      <c r="B10" s="8" t="s">
        <v>818</v>
      </c>
      <c r="C10" s="316">
        <v>3000000</v>
      </c>
    </row>
    <row r="11" spans="1:3" s="376" customFormat="1" ht="12" customHeight="1">
      <c r="A11" s="440" t="s">
        <v>627</v>
      </c>
      <c r="B11" s="8" t="s">
        <v>819</v>
      </c>
      <c r="C11" s="316"/>
    </row>
    <row r="12" spans="1:3" s="376" customFormat="1" ht="12" customHeight="1">
      <c r="A12" s="440" t="s">
        <v>628</v>
      </c>
      <c r="B12" s="8" t="s">
        <v>820</v>
      </c>
      <c r="C12" s="316"/>
    </row>
    <row r="13" spans="1:3" s="376" customFormat="1" ht="12" customHeight="1">
      <c r="A13" s="440" t="s">
        <v>670</v>
      </c>
      <c r="B13" s="8" t="s">
        <v>821</v>
      </c>
      <c r="C13" s="316"/>
    </row>
    <row r="14" spans="1:3" s="376" customFormat="1" ht="12" customHeight="1">
      <c r="A14" s="440" t="s">
        <v>629</v>
      </c>
      <c r="B14" s="8" t="s">
        <v>164</v>
      </c>
      <c r="C14" s="316"/>
    </row>
    <row r="15" spans="1:3" s="376" customFormat="1" ht="12" customHeight="1">
      <c r="A15" s="440" t="s">
        <v>630</v>
      </c>
      <c r="B15" s="7" t="s">
        <v>165</v>
      </c>
      <c r="C15" s="316"/>
    </row>
    <row r="16" spans="1:3" s="376" customFormat="1" ht="12" customHeight="1">
      <c r="A16" s="440" t="s">
        <v>640</v>
      </c>
      <c r="B16" s="8" t="s">
        <v>824</v>
      </c>
      <c r="C16" s="366"/>
    </row>
    <row r="17" spans="1:3" s="449" customFormat="1" ht="12" customHeight="1">
      <c r="A17" s="440" t="s">
        <v>641</v>
      </c>
      <c r="B17" s="8" t="s">
        <v>825</v>
      </c>
      <c r="C17" s="316"/>
    </row>
    <row r="18" spans="1:3" s="449" customFormat="1" ht="12" customHeight="1" thickBot="1">
      <c r="A18" s="440" t="s">
        <v>642</v>
      </c>
      <c r="B18" s="7" t="s">
        <v>826</v>
      </c>
      <c r="C18" s="317"/>
    </row>
    <row r="19" spans="1:3" s="376" customFormat="1" ht="12" customHeight="1" thickBot="1">
      <c r="A19" s="201" t="s">
        <v>543</v>
      </c>
      <c r="B19" s="239" t="s">
        <v>166</v>
      </c>
      <c r="C19" s="318">
        <f>SUM(C20:C22)</f>
        <v>0</v>
      </c>
    </row>
    <row r="20" spans="1:3" s="449" customFormat="1" ht="12" customHeight="1">
      <c r="A20" s="440" t="s">
        <v>631</v>
      </c>
      <c r="B20" s="9" t="s">
        <v>792</v>
      </c>
      <c r="C20" s="316"/>
    </row>
    <row r="21" spans="1:3" s="449" customFormat="1" ht="12" customHeight="1">
      <c r="A21" s="440" t="s">
        <v>632</v>
      </c>
      <c r="B21" s="8" t="s">
        <v>167</v>
      </c>
      <c r="C21" s="316"/>
    </row>
    <row r="22" spans="1:3" s="449" customFormat="1" ht="12" customHeight="1">
      <c r="A22" s="440" t="s">
        <v>633</v>
      </c>
      <c r="B22" s="8" t="s">
        <v>168</v>
      </c>
      <c r="C22" s="316"/>
    </row>
    <row r="23" spans="1:3" s="449" customFormat="1" ht="12" customHeight="1" thickBot="1">
      <c r="A23" s="440" t="s">
        <v>634</v>
      </c>
      <c r="B23" s="8" t="s">
        <v>526</v>
      </c>
      <c r="C23" s="316"/>
    </row>
    <row r="24" spans="1:3" s="449" customFormat="1" ht="12" customHeight="1" thickBot="1">
      <c r="A24" s="209" t="s">
        <v>544</v>
      </c>
      <c r="B24" s="124" t="s">
        <v>696</v>
      </c>
      <c r="C24" s="345"/>
    </row>
    <row r="25" spans="1:3" s="449" customFormat="1" ht="12" customHeight="1" thickBot="1">
      <c r="A25" s="209" t="s">
        <v>545</v>
      </c>
      <c r="B25" s="124" t="s">
        <v>169</v>
      </c>
      <c r="C25" s="318">
        <f>+C26+C27</f>
        <v>0</v>
      </c>
    </row>
    <row r="26" spans="1:3" s="449" customFormat="1" ht="12" customHeight="1">
      <c r="A26" s="441" t="s">
        <v>802</v>
      </c>
      <c r="B26" s="442" t="s">
        <v>167</v>
      </c>
      <c r="C26" s="78"/>
    </row>
    <row r="27" spans="1:3" s="449" customFormat="1" ht="12" customHeight="1">
      <c r="A27" s="441" t="s">
        <v>805</v>
      </c>
      <c r="B27" s="443" t="s">
        <v>170</v>
      </c>
      <c r="C27" s="319"/>
    </row>
    <row r="28" spans="1:3" s="449" customFormat="1" ht="12" customHeight="1" thickBot="1">
      <c r="A28" s="440" t="s">
        <v>806</v>
      </c>
      <c r="B28" s="444" t="s">
        <v>171</v>
      </c>
      <c r="C28" s="85"/>
    </row>
    <row r="29" spans="1:3" s="449" customFormat="1" ht="12" customHeight="1" thickBot="1">
      <c r="A29" s="209" t="s">
        <v>546</v>
      </c>
      <c r="B29" s="124" t="s">
        <v>172</v>
      </c>
      <c r="C29" s="318">
        <f>+C30+C31+C32</f>
        <v>0</v>
      </c>
    </row>
    <row r="30" spans="1:3" s="449" customFormat="1" ht="12" customHeight="1">
      <c r="A30" s="441" t="s">
        <v>618</v>
      </c>
      <c r="B30" s="442" t="s">
        <v>831</v>
      </c>
      <c r="C30" s="78"/>
    </row>
    <row r="31" spans="1:3" s="449" customFormat="1" ht="12" customHeight="1">
      <c r="A31" s="441" t="s">
        <v>619</v>
      </c>
      <c r="B31" s="443" t="s">
        <v>832</v>
      </c>
      <c r="C31" s="319"/>
    </row>
    <row r="32" spans="1:3" s="449" customFormat="1" ht="12" customHeight="1" thickBot="1">
      <c r="A32" s="440" t="s">
        <v>620</v>
      </c>
      <c r="B32" s="140" t="s">
        <v>833</v>
      </c>
      <c r="C32" s="85"/>
    </row>
    <row r="33" spans="1:3" s="376" customFormat="1" ht="12" customHeight="1" thickBot="1">
      <c r="A33" s="209" t="s">
        <v>547</v>
      </c>
      <c r="B33" s="124" t="s">
        <v>117</v>
      </c>
      <c r="C33" s="345"/>
    </row>
    <row r="34" spans="1:3" s="376" customFormat="1" ht="12" customHeight="1" thickBot="1">
      <c r="A34" s="209" t="s">
        <v>548</v>
      </c>
      <c r="B34" s="124" t="s">
        <v>173</v>
      </c>
      <c r="C34" s="367"/>
    </row>
    <row r="35" spans="1:3" s="376" customFormat="1" ht="12" customHeight="1" thickBot="1">
      <c r="A35" s="201" t="s">
        <v>549</v>
      </c>
      <c r="B35" s="124" t="s">
        <v>174</v>
      </c>
      <c r="C35" s="368"/>
    </row>
    <row r="36" spans="1:3" s="376" customFormat="1" ht="12" customHeight="1" thickBot="1">
      <c r="A36" s="240" t="s">
        <v>550</v>
      </c>
      <c r="B36" s="124" t="s">
        <v>175</v>
      </c>
      <c r="C36" s="368">
        <f>+C37+C38+C39</f>
        <v>99877528</v>
      </c>
    </row>
    <row r="37" spans="1:3" s="376" customFormat="1" ht="12" customHeight="1">
      <c r="A37" s="441" t="s">
        <v>176</v>
      </c>
      <c r="B37" s="442" t="s">
        <v>764</v>
      </c>
      <c r="C37" s="78"/>
    </row>
    <row r="38" spans="1:3" s="376" customFormat="1" ht="12" customHeight="1">
      <c r="A38" s="441" t="s">
        <v>177</v>
      </c>
      <c r="B38" s="443" t="s">
        <v>527</v>
      </c>
      <c r="C38" s="319"/>
    </row>
    <row r="39" spans="1:3" s="449" customFormat="1" ht="12" customHeight="1" thickBot="1">
      <c r="A39" s="440" t="s">
        <v>178</v>
      </c>
      <c r="B39" s="140" t="s">
        <v>179</v>
      </c>
      <c r="C39" s="1014">
        <v>99877528</v>
      </c>
    </row>
    <row r="40" spans="1:3" s="449" customFormat="1" ht="15" customHeight="1" thickBot="1">
      <c r="A40" s="240" t="s">
        <v>551</v>
      </c>
      <c r="B40" s="241" t="s">
        <v>180</v>
      </c>
      <c r="C40" s="371">
        <f>+C35+C36</f>
        <v>99877528</v>
      </c>
    </row>
    <row r="41" spans="1:3" s="449" customFormat="1" ht="15" customHeight="1">
      <c r="A41" s="242"/>
      <c r="B41" s="243"/>
      <c r="C41" s="369"/>
    </row>
    <row r="42" spans="1:3" ht="13.5" thickBot="1">
      <c r="A42" s="244"/>
      <c r="B42" s="245"/>
      <c r="C42" s="370"/>
    </row>
    <row r="43" spans="1:3" s="448" customFormat="1" ht="16.5" customHeight="1" thickBot="1">
      <c r="A43" s="246"/>
      <c r="B43" s="247" t="s">
        <v>581</v>
      </c>
      <c r="C43" s="371"/>
    </row>
    <row r="44" spans="1:3" s="450" customFormat="1" ht="12" customHeight="1" thickBot="1">
      <c r="A44" s="209" t="s">
        <v>542</v>
      </c>
      <c r="B44" s="124" t="s">
        <v>181</v>
      </c>
      <c r="C44" s="318">
        <f>SUM(C45:C49)</f>
        <v>99877528</v>
      </c>
    </row>
    <row r="45" spans="1:3" ht="12" customHeight="1">
      <c r="A45" s="440" t="s">
        <v>625</v>
      </c>
      <c r="B45" s="9" t="s">
        <v>572</v>
      </c>
      <c r="C45" s="81">
        <v>71069000</v>
      </c>
    </row>
    <row r="46" spans="1:3" ht="12" customHeight="1">
      <c r="A46" s="440" t="s">
        <v>626</v>
      </c>
      <c r="B46" s="8" t="s">
        <v>705</v>
      </c>
      <c r="C46" s="81">
        <v>15918528</v>
      </c>
    </row>
    <row r="47" spans="1:3" ht="12" customHeight="1">
      <c r="A47" s="440" t="s">
        <v>627</v>
      </c>
      <c r="B47" s="8" t="s">
        <v>662</v>
      </c>
      <c r="C47" s="81">
        <v>12890000</v>
      </c>
    </row>
    <row r="48" spans="1:3" ht="12" customHeight="1">
      <c r="A48" s="440" t="s">
        <v>628</v>
      </c>
      <c r="B48" s="8" t="s">
        <v>706</v>
      </c>
      <c r="C48" s="81"/>
    </row>
    <row r="49" spans="1:3" ht="12" customHeight="1" thickBot="1">
      <c r="A49" s="440" t="s">
        <v>670</v>
      </c>
      <c r="B49" s="8" t="s">
        <v>707</v>
      </c>
      <c r="C49" s="81"/>
    </row>
    <row r="50" spans="1:3" ht="12" customHeight="1" thickBot="1">
      <c r="A50" s="209" t="s">
        <v>543</v>
      </c>
      <c r="B50" s="124" t="s">
        <v>182</v>
      </c>
      <c r="C50" s="318">
        <f>SUM(C51:C53)</f>
        <v>0</v>
      </c>
    </row>
    <row r="51" spans="1:3" s="450" customFormat="1" ht="12" customHeight="1">
      <c r="A51" s="440" t="s">
        <v>631</v>
      </c>
      <c r="B51" s="9" t="s">
        <v>754</v>
      </c>
      <c r="C51" s="78"/>
    </row>
    <row r="52" spans="1:3" ht="12" customHeight="1">
      <c r="A52" s="440" t="s">
        <v>632</v>
      </c>
      <c r="B52" s="8" t="s">
        <v>709</v>
      </c>
      <c r="C52" s="81"/>
    </row>
    <row r="53" spans="1:3" ht="12" customHeight="1">
      <c r="A53" s="440" t="s">
        <v>633</v>
      </c>
      <c r="B53" s="8" t="s">
        <v>582</v>
      </c>
      <c r="C53" s="81"/>
    </row>
    <row r="54" spans="1:3" ht="12" customHeight="1" thickBot="1">
      <c r="A54" s="440" t="s">
        <v>634</v>
      </c>
      <c r="B54" s="8" t="s">
        <v>528</v>
      </c>
      <c r="C54" s="81"/>
    </row>
    <row r="55" spans="1:3" ht="15" customHeight="1" thickBot="1">
      <c r="A55" s="209" t="s">
        <v>544</v>
      </c>
      <c r="B55" s="248" t="s">
        <v>183</v>
      </c>
      <c r="C55" s="372">
        <f>+C44+C50</f>
        <v>99877528</v>
      </c>
    </row>
    <row r="56" ht="13.5" thickBot="1">
      <c r="C56" s="373"/>
    </row>
    <row r="57" spans="1:3" ht="15" customHeight="1" thickBot="1">
      <c r="A57" s="251" t="s">
        <v>728</v>
      </c>
      <c r="B57" s="252"/>
      <c r="C57" s="121">
        <v>20</v>
      </c>
    </row>
    <row r="58" spans="1:3" ht="14.25" customHeight="1" thickBot="1">
      <c r="A58" s="251" t="s">
        <v>729</v>
      </c>
      <c r="B58" s="252"/>
      <c r="C58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445" t="s">
        <v>34</v>
      </c>
    </row>
    <row r="2" spans="1:3" s="446" customFormat="1" ht="25.5" customHeight="1">
      <c r="A2" s="397" t="s">
        <v>726</v>
      </c>
      <c r="B2" s="359" t="s">
        <v>207</v>
      </c>
      <c r="C2" s="374" t="s">
        <v>586</v>
      </c>
    </row>
    <row r="3" spans="1:3" s="446" customFormat="1" ht="24.75" thickBot="1">
      <c r="A3" s="438" t="s">
        <v>725</v>
      </c>
      <c r="B3" s="360" t="s">
        <v>162</v>
      </c>
      <c r="C3" s="375" t="s">
        <v>576</v>
      </c>
    </row>
    <row r="4" spans="1:3" s="447" customFormat="1" ht="15.75" customHeight="1" thickBot="1">
      <c r="A4" s="638"/>
      <c r="B4" s="639"/>
      <c r="C4" s="640"/>
    </row>
    <row r="5" spans="1:3" ht="13.5" thickBot="1">
      <c r="A5" s="398" t="s">
        <v>727</v>
      </c>
      <c r="B5" s="234" t="s">
        <v>577</v>
      </c>
      <c r="C5" s="235" t="s">
        <v>578</v>
      </c>
    </row>
    <row r="6" spans="1:3" s="448" customFormat="1" ht="12.75" customHeight="1" thickBot="1">
      <c r="A6" s="201">
        <v>1</v>
      </c>
      <c r="B6" s="202">
        <v>2</v>
      </c>
      <c r="C6" s="203">
        <v>3</v>
      </c>
    </row>
    <row r="7" spans="1:3" s="448" customFormat="1" ht="15.75" customHeight="1" thickBot="1">
      <c r="A7" s="236"/>
      <c r="B7" s="237" t="s">
        <v>579</v>
      </c>
      <c r="C7" s="238"/>
    </row>
    <row r="8" spans="1:3" s="376" customFormat="1" ht="12" customHeight="1" thickBot="1">
      <c r="A8" s="201" t="s">
        <v>542</v>
      </c>
      <c r="B8" s="239" t="s">
        <v>163</v>
      </c>
      <c r="C8" s="318">
        <v>3030000</v>
      </c>
    </row>
    <row r="9" spans="1:3" s="376" customFormat="1" ht="12" customHeight="1">
      <c r="A9" s="439" t="s">
        <v>625</v>
      </c>
      <c r="B9" s="10" t="s">
        <v>817</v>
      </c>
      <c r="C9" s="315">
        <f>'9.3.1.melléklet'!C9+'9.3.2.melléklet'!C9+'9.3.3. melléklet'!C9</f>
        <v>0</v>
      </c>
    </row>
    <row r="10" spans="1:3" s="376" customFormat="1" ht="12" customHeight="1">
      <c r="A10" s="440" t="s">
        <v>626</v>
      </c>
      <c r="B10" s="8" t="s">
        <v>818</v>
      </c>
      <c r="C10" s="315">
        <v>1000000</v>
      </c>
    </row>
    <row r="11" spans="1:3" s="376" customFormat="1" ht="12" customHeight="1">
      <c r="A11" s="440" t="s">
        <v>627</v>
      </c>
      <c r="B11" s="8" t="s">
        <v>819</v>
      </c>
      <c r="C11" s="315"/>
    </row>
    <row r="12" spans="1:3" s="376" customFormat="1" ht="12" customHeight="1">
      <c r="A12" s="440" t="s">
        <v>628</v>
      </c>
      <c r="B12" s="8" t="s">
        <v>820</v>
      </c>
      <c r="C12" s="315">
        <f>'9.3.1.melléklet'!C12+'9.3.2.melléklet'!C12+'9.3.3. melléklet'!C12</f>
        <v>0</v>
      </c>
    </row>
    <row r="13" spans="1:3" s="376" customFormat="1" ht="12" customHeight="1">
      <c r="A13" s="440" t="s">
        <v>670</v>
      </c>
      <c r="B13" s="8" t="s">
        <v>821</v>
      </c>
      <c r="C13" s="315">
        <v>30000</v>
      </c>
    </row>
    <row r="14" spans="1:3" s="376" customFormat="1" ht="12" customHeight="1">
      <c r="A14" s="440" t="s">
        <v>629</v>
      </c>
      <c r="B14" s="8" t="s">
        <v>164</v>
      </c>
      <c r="C14" s="315">
        <f>'9.3.1.melléklet'!C14+'9.3.2.melléklet'!C14+'9.3.3. melléklet'!C14</f>
        <v>0</v>
      </c>
    </row>
    <row r="15" spans="1:3" s="376" customFormat="1" ht="12" customHeight="1">
      <c r="A15" s="440" t="s">
        <v>630</v>
      </c>
      <c r="B15" s="7" t="s">
        <v>165</v>
      </c>
      <c r="C15" s="315">
        <f>'9.3.1.melléklet'!C15+'9.3.2.melléklet'!C15+'9.3.3. melléklet'!C15</f>
        <v>0</v>
      </c>
    </row>
    <row r="16" spans="1:3" s="376" customFormat="1" ht="12" customHeight="1">
      <c r="A16" s="440" t="s">
        <v>640</v>
      </c>
      <c r="B16" s="8" t="s">
        <v>824</v>
      </c>
      <c r="C16" s="315"/>
    </row>
    <row r="17" spans="1:3" s="449" customFormat="1" ht="12" customHeight="1">
      <c r="A17" s="440" t="s">
        <v>641</v>
      </c>
      <c r="B17" s="8" t="s">
        <v>825</v>
      </c>
      <c r="C17" s="315">
        <f>'9.3.1.melléklet'!C17+'9.3.2.melléklet'!C17+'9.3.3. melléklet'!C17</f>
        <v>0</v>
      </c>
    </row>
    <row r="18" spans="1:3" s="449" customFormat="1" ht="12" customHeight="1" thickBot="1">
      <c r="A18" s="440" t="s">
        <v>642</v>
      </c>
      <c r="B18" s="7" t="s">
        <v>826</v>
      </c>
      <c r="C18" s="315">
        <v>2000000</v>
      </c>
    </row>
    <row r="19" spans="1:3" s="376" customFormat="1" ht="12" customHeight="1" thickBot="1">
      <c r="A19" s="201" t="s">
        <v>543</v>
      </c>
      <c r="B19" s="239" t="s">
        <v>166</v>
      </c>
      <c r="C19" s="318">
        <f>SUM(C20:C22)</f>
        <v>0</v>
      </c>
    </row>
    <row r="20" spans="1:3" s="449" customFormat="1" ht="12" customHeight="1">
      <c r="A20" s="440" t="s">
        <v>631</v>
      </c>
      <c r="B20" s="9" t="s">
        <v>792</v>
      </c>
      <c r="C20" s="315">
        <f>'9.3.1.melléklet'!C20+'9.3.2.melléklet'!C20+'9.3.3. melléklet'!C20</f>
        <v>0</v>
      </c>
    </row>
    <row r="21" spans="1:3" s="449" customFormat="1" ht="12" customHeight="1">
      <c r="A21" s="440" t="s">
        <v>632</v>
      </c>
      <c r="B21" s="8" t="s">
        <v>167</v>
      </c>
      <c r="C21" s="315">
        <f>'9.3.1.melléklet'!C21+'9.3.2.melléklet'!C21+'9.3.3. melléklet'!C21</f>
        <v>0</v>
      </c>
    </row>
    <row r="22" spans="1:3" s="449" customFormat="1" ht="12" customHeight="1">
      <c r="A22" s="440" t="s">
        <v>633</v>
      </c>
      <c r="B22" s="8" t="s">
        <v>168</v>
      </c>
      <c r="C22" s="315">
        <f>'9.3.1.melléklet'!C22+'9.3.2.melléklet'!C22+'9.3.3. melléklet'!C22</f>
        <v>0</v>
      </c>
    </row>
    <row r="23" spans="1:3" s="449" customFormat="1" ht="12" customHeight="1" thickBot="1">
      <c r="A23" s="440" t="s">
        <v>634</v>
      </c>
      <c r="B23" s="8" t="s">
        <v>526</v>
      </c>
      <c r="C23" s="315">
        <f>'9.3.1.melléklet'!C23+'9.3.2.melléklet'!C23+'9.3.3. melléklet'!C23</f>
        <v>0</v>
      </c>
    </row>
    <row r="24" spans="1:3" s="449" customFormat="1" ht="12" customHeight="1" thickBot="1">
      <c r="A24" s="209" t="s">
        <v>544</v>
      </c>
      <c r="B24" s="124" t="s">
        <v>696</v>
      </c>
      <c r="C24" s="318">
        <f>SUM(C25:C27)</f>
        <v>0</v>
      </c>
    </row>
    <row r="25" spans="1:3" s="449" customFormat="1" ht="12" customHeight="1" thickBot="1">
      <c r="A25" s="209" t="s">
        <v>545</v>
      </c>
      <c r="B25" s="124" t="s">
        <v>169</v>
      </c>
      <c r="C25" s="318">
        <f>SUM(C26:C28)</f>
        <v>0</v>
      </c>
    </row>
    <row r="26" spans="1:3" s="449" customFormat="1" ht="12" customHeight="1">
      <c r="A26" s="441" t="s">
        <v>802</v>
      </c>
      <c r="B26" s="442" t="s">
        <v>167</v>
      </c>
      <c r="C26" s="315">
        <f>'9.3.1.melléklet'!C26+'9.3.2.melléklet'!C26+'9.3.3. melléklet'!C26</f>
        <v>0</v>
      </c>
    </row>
    <row r="27" spans="1:3" s="449" customFormat="1" ht="12" customHeight="1">
      <c r="A27" s="441" t="s">
        <v>805</v>
      </c>
      <c r="B27" s="443" t="s">
        <v>170</v>
      </c>
      <c r="C27" s="315">
        <f>'9.3.1.melléklet'!C27+'9.3.2.melléklet'!C27+'9.3.3. melléklet'!C27</f>
        <v>0</v>
      </c>
    </row>
    <row r="28" spans="1:3" s="449" customFormat="1" ht="12" customHeight="1" thickBot="1">
      <c r="A28" s="440" t="s">
        <v>806</v>
      </c>
      <c r="B28" s="444" t="s">
        <v>171</v>
      </c>
      <c r="C28" s="315">
        <f>'9.3.1.melléklet'!C28+'9.3.2.melléklet'!C28+'9.3.3. melléklet'!C28</f>
        <v>0</v>
      </c>
    </row>
    <row r="29" spans="1:3" s="449" customFormat="1" ht="12" customHeight="1" thickBot="1">
      <c r="A29" s="209" t="s">
        <v>546</v>
      </c>
      <c r="B29" s="124" t="s">
        <v>172</v>
      </c>
      <c r="C29" s="318">
        <f>SUM(C30:C32)</f>
        <v>0</v>
      </c>
    </row>
    <row r="30" spans="1:3" s="449" customFormat="1" ht="12" customHeight="1">
      <c r="A30" s="441" t="s">
        <v>618</v>
      </c>
      <c r="B30" s="442" t="s">
        <v>831</v>
      </c>
      <c r="C30" s="641"/>
    </row>
    <row r="31" spans="1:3" s="449" customFormat="1" ht="12" customHeight="1">
      <c r="A31" s="441" t="s">
        <v>619</v>
      </c>
      <c r="B31" s="443" t="s">
        <v>832</v>
      </c>
      <c r="C31" s="642"/>
    </row>
    <row r="32" spans="1:3" s="449" customFormat="1" ht="12" customHeight="1" thickBot="1">
      <c r="A32" s="440" t="s">
        <v>620</v>
      </c>
      <c r="B32" s="140" t="s">
        <v>833</v>
      </c>
      <c r="C32" s="641"/>
    </row>
    <row r="33" spans="1:3" s="376" customFormat="1" ht="12" customHeight="1" thickBot="1">
      <c r="A33" s="209" t="s">
        <v>547</v>
      </c>
      <c r="B33" s="124" t="s">
        <v>117</v>
      </c>
      <c r="C33" s="345"/>
    </row>
    <row r="34" spans="1:3" s="376" customFormat="1" ht="12" customHeight="1" thickBot="1">
      <c r="A34" s="209" t="s">
        <v>548</v>
      </c>
      <c r="B34" s="124" t="s">
        <v>173</v>
      </c>
      <c r="C34" s="367"/>
    </row>
    <row r="35" spans="1:3" s="376" customFormat="1" ht="12" customHeight="1" thickBot="1">
      <c r="A35" s="201" t="s">
        <v>549</v>
      </c>
      <c r="B35" s="124" t="s">
        <v>174</v>
      </c>
      <c r="C35" s="368">
        <v>3030000</v>
      </c>
    </row>
    <row r="36" spans="1:3" s="376" customFormat="1" ht="12" customHeight="1" thickBot="1">
      <c r="A36" s="240" t="s">
        <v>550</v>
      </c>
      <c r="B36" s="124" t="s">
        <v>175</v>
      </c>
      <c r="C36" s="368">
        <f>C39</f>
        <v>20194893</v>
      </c>
    </row>
    <row r="37" spans="1:3" s="376" customFormat="1" ht="12" customHeight="1">
      <c r="A37" s="441" t="s">
        <v>176</v>
      </c>
      <c r="B37" s="442" t="s">
        <v>764</v>
      </c>
      <c r="C37" s="315">
        <f>'9.3.1.melléklet'!C37+'9.3.2.melléklet'!C37+'9.3.3. melléklet'!C37</f>
        <v>0</v>
      </c>
    </row>
    <row r="38" spans="1:3" s="376" customFormat="1" ht="12" customHeight="1">
      <c r="A38" s="441" t="s">
        <v>177</v>
      </c>
      <c r="B38" s="443" t="s">
        <v>527</v>
      </c>
      <c r="C38" s="315">
        <f>'9.3.1.melléklet'!C38+'9.3.2.melléklet'!C38+'9.3.3. melléklet'!C38</f>
        <v>0</v>
      </c>
    </row>
    <row r="39" spans="1:3" s="449" customFormat="1" ht="12" customHeight="1" thickBot="1">
      <c r="A39" s="440" t="s">
        <v>178</v>
      </c>
      <c r="B39" s="140" t="s">
        <v>179</v>
      </c>
      <c r="C39" s="315">
        <v>20194893</v>
      </c>
    </row>
    <row r="40" spans="1:3" s="449" customFormat="1" ht="15" customHeight="1" thickBot="1">
      <c r="A40" s="240" t="s">
        <v>551</v>
      </c>
      <c r="B40" s="241" t="s">
        <v>180</v>
      </c>
      <c r="C40" s="371">
        <f>C36+C35</f>
        <v>23224893</v>
      </c>
    </row>
    <row r="41" spans="1:3" s="449" customFormat="1" ht="15" customHeight="1">
      <c r="A41" s="242"/>
      <c r="B41" s="243"/>
      <c r="C41" s="369"/>
    </row>
    <row r="42" spans="1:3" ht="13.5" thickBot="1">
      <c r="A42" s="244"/>
      <c r="B42" s="245"/>
      <c r="C42" s="370"/>
    </row>
    <row r="43" spans="1:3" s="448" customFormat="1" ht="16.5" customHeight="1" thickBot="1">
      <c r="A43" s="246"/>
      <c r="B43" s="247" t="s">
        <v>581</v>
      </c>
      <c r="C43" s="371"/>
    </row>
    <row r="44" spans="1:3" s="450" customFormat="1" ht="12" customHeight="1" thickBot="1">
      <c r="A44" s="209" t="s">
        <v>542</v>
      </c>
      <c r="B44" s="124" t="s">
        <v>181</v>
      </c>
      <c r="C44" s="318">
        <f>C45+C46+C47</f>
        <v>23224893</v>
      </c>
    </row>
    <row r="45" spans="1:3" ht="12" customHeight="1">
      <c r="A45" s="440" t="s">
        <v>625</v>
      </c>
      <c r="B45" s="9" t="s">
        <v>572</v>
      </c>
      <c r="C45" s="315">
        <v>11661900</v>
      </c>
    </row>
    <row r="46" spans="1:3" ht="12" customHeight="1">
      <c r="A46" s="440" t="s">
        <v>626</v>
      </c>
      <c r="B46" s="8" t="s">
        <v>705</v>
      </c>
      <c r="C46" s="315">
        <v>2577993</v>
      </c>
    </row>
    <row r="47" spans="1:3" ht="12" customHeight="1">
      <c r="A47" s="440" t="s">
        <v>627</v>
      </c>
      <c r="B47" s="8" t="s">
        <v>662</v>
      </c>
      <c r="C47" s="315">
        <v>8985000</v>
      </c>
    </row>
    <row r="48" spans="1:3" ht="12" customHeight="1">
      <c r="A48" s="440" t="s">
        <v>628</v>
      </c>
      <c r="B48" s="8" t="s">
        <v>706</v>
      </c>
      <c r="C48" s="315"/>
    </row>
    <row r="49" spans="1:3" ht="12" customHeight="1" thickBot="1">
      <c r="A49" s="440" t="s">
        <v>670</v>
      </c>
      <c r="B49" s="8" t="s">
        <v>707</v>
      </c>
      <c r="C49" s="81"/>
    </row>
    <row r="50" spans="1:3" ht="12" customHeight="1" thickBot="1">
      <c r="A50" s="209" t="s">
        <v>543</v>
      </c>
      <c r="B50" s="124" t="s">
        <v>182</v>
      </c>
      <c r="C50" s="318">
        <f>SUM(C51:C53)</f>
        <v>0</v>
      </c>
    </row>
    <row r="51" spans="1:3" s="450" customFormat="1" ht="12" customHeight="1">
      <c r="A51" s="440" t="s">
        <v>631</v>
      </c>
      <c r="B51" s="9" t="s">
        <v>754</v>
      </c>
      <c r="C51" s="315"/>
    </row>
    <row r="52" spans="1:3" ht="12" customHeight="1">
      <c r="A52" s="440" t="s">
        <v>632</v>
      </c>
      <c r="B52" s="8" t="s">
        <v>709</v>
      </c>
      <c r="C52" s="81"/>
    </row>
    <row r="53" spans="1:3" ht="12" customHeight="1">
      <c r="A53" s="440" t="s">
        <v>633</v>
      </c>
      <c r="B53" s="8" t="s">
        <v>582</v>
      </c>
      <c r="C53" s="81"/>
    </row>
    <row r="54" spans="1:3" ht="12" customHeight="1" thickBot="1">
      <c r="A54" s="440" t="s">
        <v>634</v>
      </c>
      <c r="B54" s="8" t="s">
        <v>528</v>
      </c>
      <c r="C54" s="81"/>
    </row>
    <row r="55" spans="1:3" ht="15" customHeight="1" thickBot="1">
      <c r="A55" s="209" t="s">
        <v>544</v>
      </c>
      <c r="B55" s="248" t="s">
        <v>183</v>
      </c>
      <c r="C55" s="372">
        <f>+C44+C50</f>
        <v>23224893</v>
      </c>
    </row>
    <row r="56" ht="13.5" thickBot="1">
      <c r="C56" s="373"/>
    </row>
    <row r="57" spans="1:3" ht="15" customHeight="1" thickBot="1">
      <c r="A57" s="251" t="s">
        <v>728</v>
      </c>
      <c r="B57" s="252"/>
      <c r="C57" s="121">
        <v>4</v>
      </c>
    </row>
    <row r="58" spans="1:3" ht="14.25" customHeight="1" thickBot="1">
      <c r="A58" s="251" t="s">
        <v>729</v>
      </c>
      <c r="B58" s="252"/>
      <c r="C58" s="12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445" t="s">
        <v>35</v>
      </c>
    </row>
    <row r="2" spans="1:3" s="446" customFormat="1" ht="25.5" customHeight="1">
      <c r="A2" s="397" t="s">
        <v>726</v>
      </c>
      <c r="B2" s="359" t="s">
        <v>207</v>
      </c>
      <c r="C2" s="374" t="s">
        <v>586</v>
      </c>
    </row>
    <row r="3" spans="1:3" s="446" customFormat="1" ht="24.75" thickBot="1">
      <c r="A3" s="438" t="s">
        <v>725</v>
      </c>
      <c r="B3" s="360" t="s">
        <v>185</v>
      </c>
      <c r="C3" s="375" t="s">
        <v>576</v>
      </c>
    </row>
    <row r="4" spans="1:3" s="447" customFormat="1" ht="15.75" customHeight="1" thickBot="1">
      <c r="A4" s="232"/>
      <c r="B4" s="232"/>
      <c r="C4" s="640"/>
    </row>
    <row r="5" spans="1:3" ht="13.5" thickBot="1">
      <c r="A5" s="398" t="s">
        <v>727</v>
      </c>
      <c r="B5" s="234" t="s">
        <v>577</v>
      </c>
      <c r="C5" s="235" t="s">
        <v>578</v>
      </c>
    </row>
    <row r="6" spans="1:3" s="448" customFormat="1" ht="12.75" customHeight="1" thickBot="1">
      <c r="A6" s="201">
        <v>1</v>
      </c>
      <c r="B6" s="202">
        <v>2</v>
      </c>
      <c r="C6" s="203">
        <v>3</v>
      </c>
    </row>
    <row r="7" spans="1:3" s="448" customFormat="1" ht="15.75" customHeight="1" thickBot="1">
      <c r="A7" s="236"/>
      <c r="B7" s="237" t="s">
        <v>579</v>
      </c>
      <c r="C7" s="238"/>
    </row>
    <row r="8" spans="1:3" s="376" customFormat="1" ht="12" customHeight="1" thickBot="1">
      <c r="A8" s="201" t="s">
        <v>542</v>
      </c>
      <c r="B8" s="239" t="s">
        <v>163</v>
      </c>
      <c r="C8" s="318">
        <v>3030000</v>
      </c>
    </row>
    <row r="9" spans="1:3" s="376" customFormat="1" ht="12" customHeight="1">
      <c r="A9" s="439" t="s">
        <v>625</v>
      </c>
      <c r="B9" s="10" t="s">
        <v>817</v>
      </c>
      <c r="C9" s="315">
        <f>'9.3.1.melléklet'!C9+'9.3.2.melléklet'!C9+'9.3.3. melléklet'!C9</f>
        <v>0</v>
      </c>
    </row>
    <row r="10" spans="1:3" s="376" customFormat="1" ht="12" customHeight="1">
      <c r="A10" s="440" t="s">
        <v>626</v>
      </c>
      <c r="B10" s="8" t="s">
        <v>818</v>
      </c>
      <c r="C10" s="315">
        <v>1000000</v>
      </c>
    </row>
    <row r="11" spans="1:3" s="376" customFormat="1" ht="12" customHeight="1">
      <c r="A11" s="440" t="s">
        <v>627</v>
      </c>
      <c r="B11" s="8" t="s">
        <v>819</v>
      </c>
      <c r="C11" s="315"/>
    </row>
    <row r="12" spans="1:3" s="376" customFormat="1" ht="12" customHeight="1">
      <c r="A12" s="440" t="s">
        <v>628</v>
      </c>
      <c r="B12" s="8" t="s">
        <v>820</v>
      </c>
      <c r="C12" s="315">
        <f>'9.3.1.melléklet'!C12+'9.3.2.melléklet'!C12+'9.3.3. melléklet'!C12</f>
        <v>0</v>
      </c>
    </row>
    <row r="13" spans="1:3" s="376" customFormat="1" ht="12" customHeight="1">
      <c r="A13" s="440" t="s">
        <v>670</v>
      </c>
      <c r="B13" s="8" t="s">
        <v>821</v>
      </c>
      <c r="C13" s="315">
        <v>30000</v>
      </c>
    </row>
    <row r="14" spans="1:3" s="376" customFormat="1" ht="12" customHeight="1">
      <c r="A14" s="440" t="s">
        <v>629</v>
      </c>
      <c r="B14" s="8" t="s">
        <v>164</v>
      </c>
      <c r="C14" s="315">
        <f>'9.3.1.melléklet'!C14+'9.3.2.melléklet'!C14+'9.3.3. melléklet'!C14</f>
        <v>0</v>
      </c>
    </row>
    <row r="15" spans="1:3" s="376" customFormat="1" ht="12" customHeight="1">
      <c r="A15" s="440" t="s">
        <v>630</v>
      </c>
      <c r="B15" s="7" t="s">
        <v>165</v>
      </c>
      <c r="C15" s="315">
        <f>'9.3.1.melléklet'!C15+'9.3.2.melléklet'!C15+'9.3.3. melléklet'!C15</f>
        <v>0</v>
      </c>
    </row>
    <row r="16" spans="1:3" s="376" customFormat="1" ht="12" customHeight="1">
      <c r="A16" s="440" t="s">
        <v>640</v>
      </c>
      <c r="B16" s="8" t="s">
        <v>824</v>
      </c>
      <c r="C16" s="315"/>
    </row>
    <row r="17" spans="1:3" s="449" customFormat="1" ht="12" customHeight="1">
      <c r="A17" s="440" t="s">
        <v>641</v>
      </c>
      <c r="B17" s="8" t="s">
        <v>825</v>
      </c>
      <c r="C17" s="315">
        <f>'9.3.1.melléklet'!C17+'9.3.2.melléklet'!C17+'9.3.3. melléklet'!C17</f>
        <v>0</v>
      </c>
    </row>
    <row r="18" spans="1:3" s="449" customFormat="1" ht="12" customHeight="1" thickBot="1">
      <c r="A18" s="440" t="s">
        <v>642</v>
      </c>
      <c r="B18" s="7" t="s">
        <v>826</v>
      </c>
      <c r="C18" s="315">
        <v>2000000</v>
      </c>
    </row>
    <row r="19" spans="1:3" s="376" customFormat="1" ht="12" customHeight="1" thickBot="1">
      <c r="A19" s="201" t="s">
        <v>543</v>
      </c>
      <c r="B19" s="239" t="s">
        <v>166</v>
      </c>
      <c r="C19" s="318">
        <f>SUM(C20:C22)</f>
        <v>0</v>
      </c>
    </row>
    <row r="20" spans="1:3" s="449" customFormat="1" ht="12" customHeight="1">
      <c r="A20" s="440" t="s">
        <v>631</v>
      </c>
      <c r="B20" s="9" t="s">
        <v>792</v>
      </c>
      <c r="C20" s="315">
        <f>'9.3.1.melléklet'!C20+'9.3.2.melléklet'!C20+'9.3.3. melléklet'!C20</f>
        <v>0</v>
      </c>
    </row>
    <row r="21" spans="1:3" s="449" customFormat="1" ht="12" customHeight="1">
      <c r="A21" s="440" t="s">
        <v>632</v>
      </c>
      <c r="B21" s="8" t="s">
        <v>167</v>
      </c>
      <c r="C21" s="315">
        <f>'9.3.1.melléklet'!C21+'9.3.2.melléklet'!C21+'9.3.3. melléklet'!C21</f>
        <v>0</v>
      </c>
    </row>
    <row r="22" spans="1:3" s="449" customFormat="1" ht="12" customHeight="1">
      <c r="A22" s="440" t="s">
        <v>633</v>
      </c>
      <c r="B22" s="8" t="s">
        <v>168</v>
      </c>
      <c r="C22" s="315">
        <f>'9.3.1.melléklet'!C22+'9.3.2.melléklet'!C22+'9.3.3. melléklet'!C22</f>
        <v>0</v>
      </c>
    </row>
    <row r="23" spans="1:3" s="449" customFormat="1" ht="12" customHeight="1" thickBot="1">
      <c r="A23" s="440" t="s">
        <v>634</v>
      </c>
      <c r="B23" s="8" t="s">
        <v>526</v>
      </c>
      <c r="C23" s="315">
        <f>'9.3.1.melléklet'!C23+'9.3.2.melléklet'!C23+'9.3.3. melléklet'!C23</f>
        <v>0</v>
      </c>
    </row>
    <row r="24" spans="1:3" s="449" customFormat="1" ht="12" customHeight="1" thickBot="1">
      <c r="A24" s="209" t="s">
        <v>544</v>
      </c>
      <c r="B24" s="124" t="s">
        <v>696</v>
      </c>
      <c r="C24" s="318">
        <f>SUM(C25:C27)</f>
        <v>0</v>
      </c>
    </row>
    <row r="25" spans="1:3" s="449" customFormat="1" ht="12" customHeight="1" thickBot="1">
      <c r="A25" s="209" t="s">
        <v>545</v>
      </c>
      <c r="B25" s="124" t="s">
        <v>169</v>
      </c>
      <c r="C25" s="318">
        <f>SUM(C26:C28)</f>
        <v>0</v>
      </c>
    </row>
    <row r="26" spans="1:3" s="449" customFormat="1" ht="12" customHeight="1">
      <c r="A26" s="441" t="s">
        <v>802</v>
      </c>
      <c r="B26" s="442" t="s">
        <v>167</v>
      </c>
      <c r="C26" s="315">
        <f>'9.3.1.melléklet'!C26+'9.3.2.melléklet'!C26+'9.3.3. melléklet'!C26</f>
        <v>0</v>
      </c>
    </row>
    <row r="27" spans="1:3" s="449" customFormat="1" ht="12" customHeight="1">
      <c r="A27" s="441" t="s">
        <v>805</v>
      </c>
      <c r="B27" s="443" t="s">
        <v>170</v>
      </c>
      <c r="C27" s="315">
        <f>'9.3.1.melléklet'!C27+'9.3.2.melléklet'!C27+'9.3.3. melléklet'!C27</f>
        <v>0</v>
      </c>
    </row>
    <row r="28" spans="1:3" s="449" customFormat="1" ht="12" customHeight="1" thickBot="1">
      <c r="A28" s="440" t="s">
        <v>806</v>
      </c>
      <c r="B28" s="444" t="s">
        <v>171</v>
      </c>
      <c r="C28" s="315">
        <f>'9.3.1.melléklet'!C28+'9.3.2.melléklet'!C28+'9.3.3. melléklet'!C28</f>
        <v>0</v>
      </c>
    </row>
    <row r="29" spans="1:3" s="449" customFormat="1" ht="12" customHeight="1" thickBot="1">
      <c r="A29" s="209" t="s">
        <v>546</v>
      </c>
      <c r="B29" s="124" t="s">
        <v>172</v>
      </c>
      <c r="C29" s="318">
        <f>SUM(C30:C32)</f>
        <v>0</v>
      </c>
    </row>
    <row r="30" spans="1:3" s="449" customFormat="1" ht="12" customHeight="1">
      <c r="A30" s="441" t="s">
        <v>618</v>
      </c>
      <c r="B30" s="442" t="s">
        <v>831</v>
      </c>
      <c r="C30" s="641"/>
    </row>
    <row r="31" spans="1:3" s="449" customFormat="1" ht="12" customHeight="1">
      <c r="A31" s="441" t="s">
        <v>619</v>
      </c>
      <c r="B31" s="443" t="s">
        <v>832</v>
      </c>
      <c r="C31" s="642"/>
    </row>
    <row r="32" spans="1:3" s="449" customFormat="1" ht="12" customHeight="1" thickBot="1">
      <c r="A32" s="440" t="s">
        <v>620</v>
      </c>
      <c r="B32" s="140" t="s">
        <v>833</v>
      </c>
      <c r="C32" s="641"/>
    </row>
    <row r="33" spans="1:3" s="376" customFormat="1" ht="12" customHeight="1" thickBot="1">
      <c r="A33" s="209" t="s">
        <v>547</v>
      </c>
      <c r="B33" s="124" t="s">
        <v>117</v>
      </c>
      <c r="C33" s="345"/>
    </row>
    <row r="34" spans="1:3" s="376" customFormat="1" ht="12" customHeight="1" thickBot="1">
      <c r="A34" s="209" t="s">
        <v>548</v>
      </c>
      <c r="B34" s="124" t="s">
        <v>173</v>
      </c>
      <c r="C34" s="367"/>
    </row>
    <row r="35" spans="1:3" s="376" customFormat="1" ht="12" customHeight="1" thickBot="1">
      <c r="A35" s="201" t="s">
        <v>549</v>
      </c>
      <c r="B35" s="124" t="s">
        <v>174</v>
      </c>
      <c r="C35" s="368">
        <v>3030000</v>
      </c>
    </row>
    <row r="36" spans="1:3" s="376" customFormat="1" ht="12" customHeight="1" thickBot="1">
      <c r="A36" s="240" t="s">
        <v>550</v>
      </c>
      <c r="B36" s="124" t="s">
        <v>175</v>
      </c>
      <c r="C36" s="368">
        <f>C39</f>
        <v>20194893</v>
      </c>
    </row>
    <row r="37" spans="1:3" s="376" customFormat="1" ht="12" customHeight="1">
      <c r="A37" s="441" t="s">
        <v>176</v>
      </c>
      <c r="B37" s="442" t="s">
        <v>764</v>
      </c>
      <c r="C37" s="315">
        <f>'9.3.1.melléklet'!C37+'9.3.2.melléklet'!C37+'9.3.3. melléklet'!C37</f>
        <v>0</v>
      </c>
    </row>
    <row r="38" spans="1:3" s="376" customFormat="1" ht="12" customHeight="1">
      <c r="A38" s="441" t="s">
        <v>177</v>
      </c>
      <c r="B38" s="443" t="s">
        <v>527</v>
      </c>
      <c r="C38" s="315">
        <f>'9.3.1.melléklet'!C38+'9.3.2.melléklet'!C38+'9.3.3. melléklet'!C38</f>
        <v>0</v>
      </c>
    </row>
    <row r="39" spans="1:3" s="449" customFormat="1" ht="12" customHeight="1" thickBot="1">
      <c r="A39" s="440" t="s">
        <v>178</v>
      </c>
      <c r="B39" s="140" t="s">
        <v>179</v>
      </c>
      <c r="C39" s="315">
        <v>20194893</v>
      </c>
    </row>
    <row r="40" spans="1:3" s="449" customFormat="1" ht="15" customHeight="1" thickBot="1">
      <c r="A40" s="240" t="s">
        <v>551</v>
      </c>
      <c r="B40" s="241" t="s">
        <v>180</v>
      </c>
      <c r="C40" s="371">
        <f>C36+C35</f>
        <v>23224893</v>
      </c>
    </row>
    <row r="41" spans="1:3" s="449" customFormat="1" ht="15" customHeight="1">
      <c r="A41" s="242"/>
      <c r="B41" s="243"/>
      <c r="C41" s="369"/>
    </row>
    <row r="42" spans="1:3" ht="13.5" thickBot="1">
      <c r="A42" s="244"/>
      <c r="B42" s="245"/>
      <c r="C42" s="370"/>
    </row>
    <row r="43" spans="1:3" s="448" customFormat="1" ht="16.5" customHeight="1" thickBot="1">
      <c r="A43" s="246"/>
      <c r="B43" s="247" t="s">
        <v>581</v>
      </c>
      <c r="C43" s="371"/>
    </row>
    <row r="44" spans="1:3" s="450" customFormat="1" ht="12" customHeight="1" thickBot="1">
      <c r="A44" s="209" t="s">
        <v>542</v>
      </c>
      <c r="B44" s="124" t="s">
        <v>181</v>
      </c>
      <c r="C44" s="318">
        <f>C45+C46+C47</f>
        <v>23224893</v>
      </c>
    </row>
    <row r="45" spans="1:3" ht="12" customHeight="1">
      <c r="A45" s="440" t="s">
        <v>625</v>
      </c>
      <c r="B45" s="9" t="s">
        <v>572</v>
      </c>
      <c r="C45" s="315">
        <v>11661900</v>
      </c>
    </row>
    <row r="46" spans="1:3" ht="12" customHeight="1">
      <c r="A46" s="440" t="s">
        <v>626</v>
      </c>
      <c r="B46" s="8" t="s">
        <v>705</v>
      </c>
      <c r="C46" s="315">
        <v>2577993</v>
      </c>
    </row>
    <row r="47" spans="1:3" ht="12" customHeight="1">
      <c r="A47" s="440" t="s">
        <v>627</v>
      </c>
      <c r="B47" s="8" t="s">
        <v>662</v>
      </c>
      <c r="C47" s="315">
        <v>8985000</v>
      </c>
    </row>
    <row r="48" spans="1:3" ht="12" customHeight="1">
      <c r="A48" s="440" t="s">
        <v>628</v>
      </c>
      <c r="B48" s="8" t="s">
        <v>706</v>
      </c>
      <c r="C48" s="315"/>
    </row>
    <row r="49" spans="1:3" ht="12" customHeight="1" thickBot="1">
      <c r="A49" s="440" t="s">
        <v>670</v>
      </c>
      <c r="B49" s="8" t="s">
        <v>707</v>
      </c>
      <c r="C49" s="81"/>
    </row>
    <row r="50" spans="1:3" ht="12" customHeight="1" thickBot="1">
      <c r="A50" s="209" t="s">
        <v>543</v>
      </c>
      <c r="B50" s="124" t="s">
        <v>182</v>
      </c>
      <c r="C50" s="318">
        <f>SUM(C51:C53)</f>
        <v>0</v>
      </c>
    </row>
    <row r="51" spans="1:3" s="450" customFormat="1" ht="12" customHeight="1">
      <c r="A51" s="440" t="s">
        <v>631</v>
      </c>
      <c r="B51" s="9" t="s">
        <v>754</v>
      </c>
      <c r="C51" s="315"/>
    </row>
    <row r="52" spans="1:3" ht="12" customHeight="1">
      <c r="A52" s="440" t="s">
        <v>632</v>
      </c>
      <c r="B52" s="8" t="s">
        <v>709</v>
      </c>
      <c r="C52" s="81"/>
    </row>
    <row r="53" spans="1:3" ht="12" customHeight="1">
      <c r="A53" s="440" t="s">
        <v>633</v>
      </c>
      <c r="B53" s="8" t="s">
        <v>582</v>
      </c>
      <c r="C53" s="81"/>
    </row>
    <row r="54" spans="1:3" ht="12" customHeight="1" thickBot="1">
      <c r="A54" s="440" t="s">
        <v>634</v>
      </c>
      <c r="B54" s="8" t="s">
        <v>528</v>
      </c>
      <c r="C54" s="81"/>
    </row>
    <row r="55" spans="1:3" ht="15" customHeight="1" thickBot="1">
      <c r="A55" s="209" t="s">
        <v>544</v>
      </c>
      <c r="B55" s="248" t="s">
        <v>183</v>
      </c>
      <c r="C55" s="372">
        <f>+C44+C50</f>
        <v>23224893</v>
      </c>
    </row>
    <row r="56" ht="13.5" thickBot="1">
      <c r="C56" s="373"/>
    </row>
    <row r="57" spans="1:3" ht="15" customHeight="1" thickBot="1">
      <c r="A57" s="251" t="s">
        <v>728</v>
      </c>
      <c r="B57" s="252"/>
      <c r="C57" s="121">
        <v>4</v>
      </c>
    </row>
    <row r="58" spans="1:3" ht="14.25" customHeight="1" thickBot="1">
      <c r="A58" s="251" t="s">
        <v>729</v>
      </c>
      <c r="B58" s="252"/>
      <c r="C58" s="12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workbookViewId="0" topLeftCell="B1">
      <selection activeCell="C1" sqref="C1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445" t="s">
        <v>36</v>
      </c>
    </row>
    <row r="2" spans="1:3" s="446" customFormat="1" ht="25.5" customHeight="1">
      <c r="A2" s="397" t="s">
        <v>726</v>
      </c>
      <c r="B2" s="359" t="s">
        <v>207</v>
      </c>
      <c r="C2" s="374" t="s">
        <v>586</v>
      </c>
    </row>
    <row r="3" spans="1:3" s="446" customFormat="1" ht="24.75" thickBot="1">
      <c r="A3" s="438" t="s">
        <v>725</v>
      </c>
      <c r="B3" s="360" t="s">
        <v>186</v>
      </c>
      <c r="C3" s="375" t="s">
        <v>586</v>
      </c>
    </row>
    <row r="4" spans="1:3" s="447" customFormat="1" ht="15.75" customHeight="1" thickBot="1">
      <c r="A4" s="232"/>
      <c r="B4" s="232"/>
      <c r="C4" s="233"/>
    </row>
    <row r="5" spans="1:3" ht="13.5" thickBot="1">
      <c r="A5" s="398" t="s">
        <v>727</v>
      </c>
      <c r="B5" s="234" t="s">
        <v>577</v>
      </c>
      <c r="C5" s="235" t="s">
        <v>578</v>
      </c>
    </row>
    <row r="6" spans="1:3" s="448" customFormat="1" ht="12.75" customHeight="1" thickBot="1">
      <c r="A6" s="201">
        <v>1</v>
      </c>
      <c r="B6" s="202">
        <v>2</v>
      </c>
      <c r="C6" s="203">
        <v>3</v>
      </c>
    </row>
    <row r="7" spans="1:3" s="448" customFormat="1" ht="15.75" customHeight="1" thickBot="1">
      <c r="A7" s="236"/>
      <c r="B7" s="237" t="s">
        <v>579</v>
      </c>
      <c r="C7" s="238"/>
    </row>
    <row r="8" spans="1:3" s="376" customFormat="1" ht="12" customHeight="1" thickBot="1">
      <c r="A8" s="201" t="s">
        <v>542</v>
      </c>
      <c r="B8" s="239" t="s">
        <v>163</v>
      </c>
      <c r="C8" s="318">
        <f>SUM(C9:C18)</f>
        <v>0</v>
      </c>
    </row>
    <row r="9" spans="1:3" s="376" customFormat="1" ht="12" customHeight="1">
      <c r="A9" s="439" t="s">
        <v>625</v>
      </c>
      <c r="B9" s="10" t="s">
        <v>817</v>
      </c>
      <c r="C9" s="365"/>
    </row>
    <row r="10" spans="1:3" s="376" customFormat="1" ht="12" customHeight="1">
      <c r="A10" s="440" t="s">
        <v>626</v>
      </c>
      <c r="B10" s="8" t="s">
        <v>818</v>
      </c>
      <c r="C10" s="316"/>
    </row>
    <row r="11" spans="1:3" s="376" customFormat="1" ht="12" customHeight="1">
      <c r="A11" s="440" t="s">
        <v>627</v>
      </c>
      <c r="B11" s="8" t="s">
        <v>819</v>
      </c>
      <c r="C11" s="316"/>
    </row>
    <row r="12" spans="1:3" s="376" customFormat="1" ht="12" customHeight="1">
      <c r="A12" s="440" t="s">
        <v>628</v>
      </c>
      <c r="B12" s="8" t="s">
        <v>820</v>
      </c>
      <c r="C12" s="316"/>
    </row>
    <row r="13" spans="1:3" s="376" customFormat="1" ht="12" customHeight="1">
      <c r="A13" s="440" t="s">
        <v>670</v>
      </c>
      <c r="B13" s="8" t="s">
        <v>821</v>
      </c>
      <c r="C13" s="316"/>
    </row>
    <row r="14" spans="1:3" s="376" customFormat="1" ht="12" customHeight="1">
      <c r="A14" s="440" t="s">
        <v>629</v>
      </c>
      <c r="B14" s="8" t="s">
        <v>164</v>
      </c>
      <c r="C14" s="316"/>
    </row>
    <row r="15" spans="1:3" s="376" customFormat="1" ht="12" customHeight="1">
      <c r="A15" s="440" t="s">
        <v>630</v>
      </c>
      <c r="B15" s="7" t="s">
        <v>165</v>
      </c>
      <c r="C15" s="316"/>
    </row>
    <row r="16" spans="1:3" s="376" customFormat="1" ht="12" customHeight="1">
      <c r="A16" s="440" t="s">
        <v>640</v>
      </c>
      <c r="B16" s="8" t="s">
        <v>824</v>
      </c>
      <c r="C16" s="366"/>
    </row>
    <row r="17" spans="1:3" s="449" customFormat="1" ht="12" customHeight="1">
      <c r="A17" s="440" t="s">
        <v>641</v>
      </c>
      <c r="B17" s="8" t="s">
        <v>825</v>
      </c>
      <c r="C17" s="316"/>
    </row>
    <row r="18" spans="1:3" s="449" customFormat="1" ht="12" customHeight="1" thickBot="1">
      <c r="A18" s="440" t="s">
        <v>642</v>
      </c>
      <c r="B18" s="7" t="s">
        <v>826</v>
      </c>
      <c r="C18" s="317"/>
    </row>
    <row r="19" spans="1:3" s="376" customFormat="1" ht="12" customHeight="1" thickBot="1">
      <c r="A19" s="201" t="s">
        <v>543</v>
      </c>
      <c r="B19" s="239" t="s">
        <v>166</v>
      </c>
      <c r="C19" s="318">
        <f>SUM(C20:C22)</f>
        <v>0</v>
      </c>
    </row>
    <row r="20" spans="1:3" s="449" customFormat="1" ht="12" customHeight="1">
      <c r="A20" s="440" t="s">
        <v>631</v>
      </c>
      <c r="B20" s="9" t="s">
        <v>792</v>
      </c>
      <c r="C20" s="316"/>
    </row>
    <row r="21" spans="1:3" s="449" customFormat="1" ht="12" customHeight="1">
      <c r="A21" s="440" t="s">
        <v>632</v>
      </c>
      <c r="B21" s="8" t="s">
        <v>167</v>
      </c>
      <c r="C21" s="316"/>
    </row>
    <row r="22" spans="1:3" s="449" customFormat="1" ht="12" customHeight="1">
      <c r="A22" s="440" t="s">
        <v>633</v>
      </c>
      <c r="B22" s="8" t="s">
        <v>168</v>
      </c>
      <c r="C22" s="316"/>
    </row>
    <row r="23" spans="1:3" s="449" customFormat="1" ht="12" customHeight="1" thickBot="1">
      <c r="A23" s="440" t="s">
        <v>634</v>
      </c>
      <c r="B23" s="8" t="s">
        <v>526</v>
      </c>
      <c r="C23" s="316"/>
    </row>
    <row r="24" spans="1:3" s="449" customFormat="1" ht="12" customHeight="1" thickBot="1">
      <c r="A24" s="209" t="s">
        <v>544</v>
      </c>
      <c r="B24" s="124" t="s">
        <v>696</v>
      </c>
      <c r="C24" s="345"/>
    </row>
    <row r="25" spans="1:3" s="449" customFormat="1" ht="12" customHeight="1" thickBot="1">
      <c r="A25" s="209" t="s">
        <v>545</v>
      </c>
      <c r="B25" s="124" t="s">
        <v>169</v>
      </c>
      <c r="C25" s="318">
        <f>+C26+C27</f>
        <v>0</v>
      </c>
    </row>
    <row r="26" spans="1:3" s="449" customFormat="1" ht="12" customHeight="1">
      <c r="A26" s="441" t="s">
        <v>802</v>
      </c>
      <c r="B26" s="442" t="s">
        <v>167</v>
      </c>
      <c r="C26" s="78"/>
    </row>
    <row r="27" spans="1:3" s="449" customFormat="1" ht="12" customHeight="1">
      <c r="A27" s="441" t="s">
        <v>805</v>
      </c>
      <c r="B27" s="443" t="s">
        <v>170</v>
      </c>
      <c r="C27" s="319"/>
    </row>
    <row r="28" spans="1:3" s="449" customFormat="1" ht="12" customHeight="1" thickBot="1">
      <c r="A28" s="440" t="s">
        <v>806</v>
      </c>
      <c r="B28" s="444" t="s">
        <v>171</v>
      </c>
      <c r="C28" s="85"/>
    </row>
    <row r="29" spans="1:3" s="449" customFormat="1" ht="12" customHeight="1" thickBot="1">
      <c r="A29" s="209" t="s">
        <v>546</v>
      </c>
      <c r="B29" s="124" t="s">
        <v>172</v>
      </c>
      <c r="C29" s="318">
        <f>+C30+C31+C32</f>
        <v>0</v>
      </c>
    </row>
    <row r="30" spans="1:3" s="449" customFormat="1" ht="12" customHeight="1">
      <c r="A30" s="441" t="s">
        <v>618</v>
      </c>
      <c r="B30" s="442" t="s">
        <v>831</v>
      </c>
      <c r="C30" s="78"/>
    </row>
    <row r="31" spans="1:3" s="449" customFormat="1" ht="12" customHeight="1">
      <c r="A31" s="441" t="s">
        <v>619</v>
      </c>
      <c r="B31" s="443" t="s">
        <v>832</v>
      </c>
      <c r="C31" s="319"/>
    </row>
    <row r="32" spans="1:3" s="449" customFormat="1" ht="12" customHeight="1" thickBot="1">
      <c r="A32" s="440" t="s">
        <v>620</v>
      </c>
      <c r="B32" s="140" t="s">
        <v>833</v>
      </c>
      <c r="C32" s="85"/>
    </row>
    <row r="33" spans="1:3" s="376" customFormat="1" ht="12" customHeight="1" thickBot="1">
      <c r="A33" s="209" t="s">
        <v>547</v>
      </c>
      <c r="B33" s="124" t="s">
        <v>117</v>
      </c>
      <c r="C33" s="345"/>
    </row>
    <row r="34" spans="1:3" s="376" customFormat="1" ht="12" customHeight="1" thickBot="1">
      <c r="A34" s="209" t="s">
        <v>548</v>
      </c>
      <c r="B34" s="124" t="s">
        <v>173</v>
      </c>
      <c r="C34" s="367"/>
    </row>
    <row r="35" spans="1:3" s="376" customFormat="1" ht="12" customHeight="1" thickBot="1">
      <c r="A35" s="201" t="s">
        <v>549</v>
      </c>
      <c r="B35" s="124" t="s">
        <v>174</v>
      </c>
      <c r="C35" s="368">
        <f>+C8+C19+C24+C25+C29+C33+C34</f>
        <v>0</v>
      </c>
    </row>
    <row r="36" spans="1:3" s="376" customFormat="1" ht="12" customHeight="1" thickBot="1">
      <c r="A36" s="240" t="s">
        <v>550</v>
      </c>
      <c r="B36" s="124" t="s">
        <v>175</v>
      </c>
      <c r="C36" s="368">
        <f>+C37+C38+C39</f>
        <v>0</v>
      </c>
    </row>
    <row r="37" spans="1:3" s="376" customFormat="1" ht="12" customHeight="1">
      <c r="A37" s="441" t="s">
        <v>176</v>
      </c>
      <c r="B37" s="442" t="s">
        <v>764</v>
      </c>
      <c r="C37" s="78"/>
    </row>
    <row r="38" spans="1:3" s="376" customFormat="1" ht="12" customHeight="1">
      <c r="A38" s="441" t="s">
        <v>177</v>
      </c>
      <c r="B38" s="443" t="s">
        <v>527</v>
      </c>
      <c r="C38" s="319"/>
    </row>
    <row r="39" spans="1:3" s="449" customFormat="1" ht="12" customHeight="1" thickBot="1">
      <c r="A39" s="440" t="s">
        <v>178</v>
      </c>
      <c r="B39" s="140" t="s">
        <v>179</v>
      </c>
      <c r="C39" s="85"/>
    </row>
    <row r="40" spans="1:3" s="449" customFormat="1" ht="15" customHeight="1" thickBot="1">
      <c r="A40" s="240" t="s">
        <v>551</v>
      </c>
      <c r="B40" s="241" t="s">
        <v>180</v>
      </c>
      <c r="C40" s="371">
        <f>+C35+C36</f>
        <v>0</v>
      </c>
    </row>
    <row r="41" spans="1:3" s="449" customFormat="1" ht="15" customHeight="1">
      <c r="A41" s="242"/>
      <c r="B41" s="243"/>
      <c r="C41" s="369"/>
    </row>
    <row r="42" spans="1:3" ht="13.5" thickBot="1">
      <c r="A42" s="244"/>
      <c r="B42" s="245"/>
      <c r="C42" s="370"/>
    </row>
    <row r="43" spans="1:3" s="448" customFormat="1" ht="16.5" customHeight="1" thickBot="1">
      <c r="A43" s="246"/>
      <c r="B43" s="247" t="s">
        <v>581</v>
      </c>
      <c r="C43" s="371"/>
    </row>
    <row r="44" spans="1:3" s="450" customFormat="1" ht="12" customHeight="1" thickBot="1">
      <c r="A44" s="209" t="s">
        <v>542</v>
      </c>
      <c r="B44" s="124" t="s">
        <v>181</v>
      </c>
      <c r="C44" s="318">
        <f>SUM(C45:C49)</f>
        <v>0</v>
      </c>
    </row>
    <row r="45" spans="1:3" ht="12" customHeight="1">
      <c r="A45" s="440" t="s">
        <v>625</v>
      </c>
      <c r="B45" s="9" t="s">
        <v>572</v>
      </c>
      <c r="C45" s="78"/>
    </row>
    <row r="46" spans="1:3" ht="12" customHeight="1">
      <c r="A46" s="440" t="s">
        <v>626</v>
      </c>
      <c r="B46" s="8" t="s">
        <v>705</v>
      </c>
      <c r="C46" s="81"/>
    </row>
    <row r="47" spans="1:3" ht="12" customHeight="1">
      <c r="A47" s="440" t="s">
        <v>627</v>
      </c>
      <c r="B47" s="8" t="s">
        <v>662</v>
      </c>
      <c r="C47" s="81"/>
    </row>
    <row r="48" spans="1:3" ht="12" customHeight="1">
      <c r="A48" s="440" t="s">
        <v>628</v>
      </c>
      <c r="B48" s="8" t="s">
        <v>706</v>
      </c>
      <c r="C48" s="81"/>
    </row>
    <row r="49" spans="1:3" ht="12" customHeight="1" thickBot="1">
      <c r="A49" s="440" t="s">
        <v>670</v>
      </c>
      <c r="B49" s="8" t="s">
        <v>707</v>
      </c>
      <c r="C49" s="81"/>
    </row>
    <row r="50" spans="1:3" ht="12" customHeight="1" thickBot="1">
      <c r="A50" s="209" t="s">
        <v>543</v>
      </c>
      <c r="B50" s="124" t="s">
        <v>182</v>
      </c>
      <c r="C50" s="318">
        <f>SUM(C51:C53)</f>
        <v>0</v>
      </c>
    </row>
    <row r="51" spans="1:3" s="450" customFormat="1" ht="12" customHeight="1">
      <c r="A51" s="440" t="s">
        <v>631</v>
      </c>
      <c r="B51" s="9" t="s">
        <v>754</v>
      </c>
      <c r="C51" s="78"/>
    </row>
    <row r="52" spans="1:3" ht="12" customHeight="1">
      <c r="A52" s="440" t="s">
        <v>632</v>
      </c>
      <c r="B52" s="8" t="s">
        <v>709</v>
      </c>
      <c r="C52" s="81"/>
    </row>
    <row r="53" spans="1:3" ht="12" customHeight="1">
      <c r="A53" s="440" t="s">
        <v>633</v>
      </c>
      <c r="B53" s="8" t="s">
        <v>582</v>
      </c>
      <c r="C53" s="81"/>
    </row>
    <row r="54" spans="1:3" ht="12" customHeight="1" thickBot="1">
      <c r="A54" s="440" t="s">
        <v>634</v>
      </c>
      <c r="B54" s="8" t="s">
        <v>528</v>
      </c>
      <c r="C54" s="81"/>
    </row>
    <row r="55" spans="1:3" ht="15" customHeight="1" thickBot="1">
      <c r="A55" s="209" t="s">
        <v>544</v>
      </c>
      <c r="B55" s="248" t="s">
        <v>183</v>
      </c>
      <c r="C55" s="372">
        <f>+C44+C50</f>
        <v>0</v>
      </c>
    </row>
    <row r="56" ht="13.5" thickBot="1">
      <c r="C56" s="373"/>
    </row>
    <row r="57" spans="1:3" ht="15" customHeight="1" thickBot="1">
      <c r="A57" s="251" t="s">
        <v>728</v>
      </c>
      <c r="B57" s="252"/>
      <c r="C57" s="121"/>
    </row>
    <row r="58" spans="1:3" ht="14.25" customHeight="1" thickBot="1">
      <c r="A58" s="251" t="s">
        <v>729</v>
      </c>
      <c r="B58" s="252"/>
      <c r="C58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workbookViewId="0" topLeftCell="A1">
      <selection activeCell="C1" sqref="C1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445" t="s">
        <v>37</v>
      </c>
    </row>
    <row r="2" spans="1:3" s="446" customFormat="1" ht="25.5" customHeight="1">
      <c r="A2" s="397" t="s">
        <v>726</v>
      </c>
      <c r="B2" s="359" t="s">
        <v>207</v>
      </c>
      <c r="C2" s="374" t="s">
        <v>586</v>
      </c>
    </row>
    <row r="3" spans="1:3" s="446" customFormat="1" ht="24.75" thickBot="1">
      <c r="A3" s="438" t="s">
        <v>725</v>
      </c>
      <c r="B3" s="360" t="s">
        <v>187</v>
      </c>
      <c r="C3" s="375" t="s">
        <v>201</v>
      </c>
    </row>
    <row r="4" spans="1:3" s="447" customFormat="1" ht="15.75" customHeight="1" thickBot="1">
      <c r="A4" s="232"/>
      <c r="B4" s="232"/>
      <c r="C4" s="233"/>
    </row>
    <row r="5" spans="1:3" ht="13.5" thickBot="1">
      <c r="A5" s="398" t="s">
        <v>727</v>
      </c>
      <c r="B5" s="234" t="s">
        <v>577</v>
      </c>
      <c r="C5" s="235" t="s">
        <v>578</v>
      </c>
    </row>
    <row r="6" spans="1:3" s="448" customFormat="1" ht="12.75" customHeight="1" thickBot="1">
      <c r="A6" s="201">
        <v>1</v>
      </c>
      <c r="B6" s="202">
        <v>2</v>
      </c>
      <c r="C6" s="203">
        <v>3</v>
      </c>
    </row>
    <row r="7" spans="1:3" s="448" customFormat="1" ht="15.75" customHeight="1" thickBot="1">
      <c r="A7" s="236"/>
      <c r="B7" s="237" t="s">
        <v>579</v>
      </c>
      <c r="C7" s="238"/>
    </row>
    <row r="8" spans="1:3" s="376" customFormat="1" ht="12" customHeight="1" thickBot="1">
      <c r="A8" s="201" t="s">
        <v>542</v>
      </c>
      <c r="B8" s="239" t="s">
        <v>163</v>
      </c>
      <c r="C8" s="318">
        <f>SUM(C9:C18)</f>
        <v>0</v>
      </c>
    </row>
    <row r="9" spans="1:3" s="376" customFormat="1" ht="12" customHeight="1">
      <c r="A9" s="439" t="s">
        <v>625</v>
      </c>
      <c r="B9" s="10" t="s">
        <v>817</v>
      </c>
      <c r="C9" s="365"/>
    </row>
    <row r="10" spans="1:3" s="376" customFormat="1" ht="12" customHeight="1">
      <c r="A10" s="440" t="s">
        <v>626</v>
      </c>
      <c r="B10" s="8" t="s">
        <v>818</v>
      </c>
      <c r="C10" s="316"/>
    </row>
    <row r="11" spans="1:3" s="376" customFormat="1" ht="12" customHeight="1">
      <c r="A11" s="440" t="s">
        <v>627</v>
      </c>
      <c r="B11" s="8" t="s">
        <v>819</v>
      </c>
      <c r="C11" s="316"/>
    </row>
    <row r="12" spans="1:3" s="376" customFormat="1" ht="12" customHeight="1">
      <c r="A12" s="440" t="s">
        <v>628</v>
      </c>
      <c r="B12" s="8" t="s">
        <v>820</v>
      </c>
      <c r="C12" s="316"/>
    </row>
    <row r="13" spans="1:3" s="376" customFormat="1" ht="12" customHeight="1">
      <c r="A13" s="440" t="s">
        <v>670</v>
      </c>
      <c r="B13" s="8" t="s">
        <v>821</v>
      </c>
      <c r="C13" s="316"/>
    </row>
    <row r="14" spans="1:3" s="376" customFormat="1" ht="12" customHeight="1">
      <c r="A14" s="440" t="s">
        <v>629</v>
      </c>
      <c r="B14" s="8" t="s">
        <v>164</v>
      </c>
      <c r="C14" s="316"/>
    </row>
    <row r="15" spans="1:3" s="376" customFormat="1" ht="12" customHeight="1">
      <c r="A15" s="440" t="s">
        <v>630</v>
      </c>
      <c r="B15" s="7" t="s">
        <v>165</v>
      </c>
      <c r="C15" s="316"/>
    </row>
    <row r="16" spans="1:3" s="376" customFormat="1" ht="12" customHeight="1">
      <c r="A16" s="440" t="s">
        <v>640</v>
      </c>
      <c r="B16" s="8" t="s">
        <v>824</v>
      </c>
      <c r="C16" s="366"/>
    </row>
    <row r="17" spans="1:3" s="449" customFormat="1" ht="12" customHeight="1">
      <c r="A17" s="440" t="s">
        <v>641</v>
      </c>
      <c r="B17" s="8" t="s">
        <v>825</v>
      </c>
      <c r="C17" s="316"/>
    </row>
    <row r="18" spans="1:3" s="449" customFormat="1" ht="12" customHeight="1" thickBot="1">
      <c r="A18" s="440" t="s">
        <v>642</v>
      </c>
      <c r="B18" s="7" t="s">
        <v>826</v>
      </c>
      <c r="C18" s="317"/>
    </row>
    <row r="19" spans="1:3" s="376" customFormat="1" ht="12" customHeight="1" thickBot="1">
      <c r="A19" s="201" t="s">
        <v>543</v>
      </c>
      <c r="B19" s="239" t="s">
        <v>166</v>
      </c>
      <c r="C19" s="318">
        <f>SUM(C20:C22)</f>
        <v>0</v>
      </c>
    </row>
    <row r="20" spans="1:3" s="449" customFormat="1" ht="12" customHeight="1">
      <c r="A20" s="440" t="s">
        <v>631</v>
      </c>
      <c r="B20" s="9" t="s">
        <v>792</v>
      </c>
      <c r="C20" s="316"/>
    </row>
    <row r="21" spans="1:3" s="449" customFormat="1" ht="12" customHeight="1">
      <c r="A21" s="440" t="s">
        <v>632</v>
      </c>
      <c r="B21" s="8" t="s">
        <v>167</v>
      </c>
      <c r="C21" s="316"/>
    </row>
    <row r="22" spans="1:3" s="449" customFormat="1" ht="12" customHeight="1">
      <c r="A22" s="440" t="s">
        <v>633</v>
      </c>
      <c r="B22" s="8" t="s">
        <v>168</v>
      </c>
      <c r="C22" s="316"/>
    </row>
    <row r="23" spans="1:3" s="449" customFormat="1" ht="12" customHeight="1" thickBot="1">
      <c r="A23" s="440" t="s">
        <v>634</v>
      </c>
      <c r="B23" s="8" t="s">
        <v>526</v>
      </c>
      <c r="C23" s="316"/>
    </row>
    <row r="24" spans="1:3" s="449" customFormat="1" ht="12" customHeight="1" thickBot="1">
      <c r="A24" s="209" t="s">
        <v>544</v>
      </c>
      <c r="B24" s="124" t="s">
        <v>696</v>
      </c>
      <c r="C24" s="345"/>
    </row>
    <row r="25" spans="1:3" s="449" customFormat="1" ht="12" customHeight="1" thickBot="1">
      <c r="A25" s="209" t="s">
        <v>545</v>
      </c>
      <c r="B25" s="124" t="s">
        <v>169</v>
      </c>
      <c r="C25" s="318">
        <f>+C26+C27</f>
        <v>0</v>
      </c>
    </row>
    <row r="26" spans="1:3" s="449" customFormat="1" ht="12" customHeight="1">
      <c r="A26" s="441" t="s">
        <v>802</v>
      </c>
      <c r="B26" s="442" t="s">
        <v>167</v>
      </c>
      <c r="C26" s="78"/>
    </row>
    <row r="27" spans="1:3" s="449" customFormat="1" ht="12" customHeight="1">
      <c r="A27" s="441" t="s">
        <v>805</v>
      </c>
      <c r="B27" s="443" t="s">
        <v>170</v>
      </c>
      <c r="C27" s="319"/>
    </row>
    <row r="28" spans="1:3" s="449" customFormat="1" ht="12" customHeight="1" thickBot="1">
      <c r="A28" s="440" t="s">
        <v>806</v>
      </c>
      <c r="B28" s="444" t="s">
        <v>171</v>
      </c>
      <c r="C28" s="85"/>
    </row>
    <row r="29" spans="1:3" s="449" customFormat="1" ht="12" customHeight="1" thickBot="1">
      <c r="A29" s="209" t="s">
        <v>546</v>
      </c>
      <c r="B29" s="124" t="s">
        <v>172</v>
      </c>
      <c r="C29" s="318">
        <f>+C30+C31+C32</f>
        <v>0</v>
      </c>
    </row>
    <row r="30" spans="1:3" s="449" customFormat="1" ht="12" customHeight="1">
      <c r="A30" s="441" t="s">
        <v>618</v>
      </c>
      <c r="B30" s="442" t="s">
        <v>831</v>
      </c>
      <c r="C30" s="78"/>
    </row>
    <row r="31" spans="1:3" s="449" customFormat="1" ht="12" customHeight="1">
      <c r="A31" s="441" t="s">
        <v>619</v>
      </c>
      <c r="B31" s="443" t="s">
        <v>832</v>
      </c>
      <c r="C31" s="319"/>
    </row>
    <row r="32" spans="1:3" s="449" customFormat="1" ht="12" customHeight="1" thickBot="1">
      <c r="A32" s="440" t="s">
        <v>620</v>
      </c>
      <c r="B32" s="140" t="s">
        <v>833</v>
      </c>
      <c r="C32" s="85"/>
    </row>
    <row r="33" spans="1:3" s="376" customFormat="1" ht="12" customHeight="1" thickBot="1">
      <c r="A33" s="209" t="s">
        <v>547</v>
      </c>
      <c r="B33" s="124" t="s">
        <v>117</v>
      </c>
      <c r="C33" s="345"/>
    </row>
    <row r="34" spans="1:3" s="376" customFormat="1" ht="12" customHeight="1" thickBot="1">
      <c r="A34" s="209" t="s">
        <v>548</v>
      </c>
      <c r="B34" s="124" t="s">
        <v>173</v>
      </c>
      <c r="C34" s="367"/>
    </row>
    <row r="35" spans="1:3" s="376" customFormat="1" ht="12" customHeight="1" thickBot="1">
      <c r="A35" s="201" t="s">
        <v>549</v>
      </c>
      <c r="B35" s="124" t="s">
        <v>174</v>
      </c>
      <c r="C35" s="368">
        <f>+C8+C19+C24+C25+C29+C33+C34</f>
        <v>0</v>
      </c>
    </row>
    <row r="36" spans="1:3" s="376" customFormat="1" ht="12" customHeight="1" thickBot="1">
      <c r="A36" s="240" t="s">
        <v>550</v>
      </c>
      <c r="B36" s="124" t="s">
        <v>175</v>
      </c>
      <c r="C36" s="368">
        <f>+C37+C38+C39</f>
        <v>0</v>
      </c>
    </row>
    <row r="37" spans="1:3" s="376" customFormat="1" ht="12" customHeight="1">
      <c r="A37" s="441" t="s">
        <v>176</v>
      </c>
      <c r="B37" s="442" t="s">
        <v>764</v>
      </c>
      <c r="C37" s="78"/>
    </row>
    <row r="38" spans="1:3" s="376" customFormat="1" ht="12" customHeight="1">
      <c r="A38" s="441" t="s">
        <v>177</v>
      </c>
      <c r="B38" s="443" t="s">
        <v>527</v>
      </c>
      <c r="C38" s="319"/>
    </row>
    <row r="39" spans="1:3" s="449" customFormat="1" ht="12" customHeight="1" thickBot="1">
      <c r="A39" s="440" t="s">
        <v>178</v>
      </c>
      <c r="B39" s="140" t="s">
        <v>179</v>
      </c>
      <c r="C39" s="85"/>
    </row>
    <row r="40" spans="1:3" s="449" customFormat="1" ht="15" customHeight="1" thickBot="1">
      <c r="A40" s="240" t="s">
        <v>551</v>
      </c>
      <c r="B40" s="241" t="s">
        <v>180</v>
      </c>
      <c r="C40" s="371">
        <f>+C35+C36</f>
        <v>0</v>
      </c>
    </row>
    <row r="41" spans="1:3" s="449" customFormat="1" ht="15" customHeight="1">
      <c r="A41" s="242"/>
      <c r="B41" s="243"/>
      <c r="C41" s="369"/>
    </row>
    <row r="42" spans="1:3" ht="13.5" thickBot="1">
      <c r="A42" s="244"/>
      <c r="B42" s="245"/>
      <c r="C42" s="370"/>
    </row>
    <row r="43" spans="1:3" s="448" customFormat="1" ht="16.5" customHeight="1" thickBot="1">
      <c r="A43" s="246"/>
      <c r="B43" s="247" t="s">
        <v>581</v>
      </c>
      <c r="C43" s="371"/>
    </row>
    <row r="44" spans="1:3" s="450" customFormat="1" ht="12" customHeight="1" thickBot="1">
      <c r="A44" s="209" t="s">
        <v>542</v>
      </c>
      <c r="B44" s="124" t="s">
        <v>181</v>
      </c>
      <c r="C44" s="318">
        <f>SUM(C45:C49)</f>
        <v>0</v>
      </c>
    </row>
    <row r="45" spans="1:3" ht="12" customHeight="1">
      <c r="A45" s="440" t="s">
        <v>625</v>
      </c>
      <c r="B45" s="9" t="s">
        <v>572</v>
      </c>
      <c r="C45" s="78"/>
    </row>
    <row r="46" spans="1:3" ht="12" customHeight="1">
      <c r="A46" s="440" t="s">
        <v>626</v>
      </c>
      <c r="B46" s="8" t="s">
        <v>705</v>
      </c>
      <c r="C46" s="81"/>
    </row>
    <row r="47" spans="1:3" ht="12" customHeight="1">
      <c r="A47" s="440" t="s">
        <v>627</v>
      </c>
      <c r="B47" s="8" t="s">
        <v>662</v>
      </c>
      <c r="C47" s="81"/>
    </row>
    <row r="48" spans="1:3" ht="12" customHeight="1">
      <c r="A48" s="440" t="s">
        <v>628</v>
      </c>
      <c r="B48" s="8" t="s">
        <v>706</v>
      </c>
      <c r="C48" s="81"/>
    </row>
    <row r="49" spans="1:3" ht="12" customHeight="1" thickBot="1">
      <c r="A49" s="440" t="s">
        <v>670</v>
      </c>
      <c r="B49" s="8" t="s">
        <v>707</v>
      </c>
      <c r="C49" s="81"/>
    </row>
    <row r="50" spans="1:3" ht="12" customHeight="1" thickBot="1">
      <c r="A50" s="209" t="s">
        <v>543</v>
      </c>
      <c r="B50" s="124" t="s">
        <v>182</v>
      </c>
      <c r="C50" s="318">
        <f>SUM(C51:C53)</f>
        <v>0</v>
      </c>
    </row>
    <row r="51" spans="1:3" s="450" customFormat="1" ht="12" customHeight="1">
      <c r="A51" s="440" t="s">
        <v>631</v>
      </c>
      <c r="B51" s="9" t="s">
        <v>754</v>
      </c>
      <c r="C51" s="78"/>
    </row>
    <row r="52" spans="1:3" ht="12" customHeight="1">
      <c r="A52" s="440" t="s">
        <v>632</v>
      </c>
      <c r="B52" s="8" t="s">
        <v>709</v>
      </c>
      <c r="C52" s="81"/>
    </row>
    <row r="53" spans="1:3" ht="12" customHeight="1">
      <c r="A53" s="440" t="s">
        <v>633</v>
      </c>
      <c r="B53" s="8" t="s">
        <v>582</v>
      </c>
      <c r="C53" s="81"/>
    </row>
    <row r="54" spans="1:3" ht="12" customHeight="1" thickBot="1">
      <c r="A54" s="440" t="s">
        <v>634</v>
      </c>
      <c r="B54" s="8" t="s">
        <v>528</v>
      </c>
      <c r="C54" s="81"/>
    </row>
    <row r="55" spans="1:3" ht="15" customHeight="1" thickBot="1">
      <c r="A55" s="209" t="s">
        <v>544</v>
      </c>
      <c r="B55" s="248" t="s">
        <v>183</v>
      </c>
      <c r="C55" s="372">
        <f>+C44+C50</f>
        <v>0</v>
      </c>
    </row>
    <row r="56" ht="13.5" thickBot="1">
      <c r="C56" s="373"/>
    </row>
    <row r="57" spans="1:3" ht="15" customHeight="1" thickBot="1">
      <c r="A57" s="251" t="s">
        <v>728</v>
      </c>
      <c r="B57" s="252"/>
      <c r="C57" s="121"/>
    </row>
    <row r="58" spans="1:3" ht="14.25" customHeight="1" thickBot="1">
      <c r="A58" s="251" t="s">
        <v>729</v>
      </c>
      <c r="B58" s="252"/>
      <c r="C58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C58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17.875" style="0" customWidth="1"/>
    <col min="2" max="2" width="64.625" style="0" customWidth="1"/>
    <col min="3" max="3" width="22.375" style="0" customWidth="1"/>
  </cols>
  <sheetData>
    <row r="1" spans="1:3" ht="16.5" thickBot="1">
      <c r="A1" s="228"/>
      <c r="B1" s="230"/>
      <c r="C1" s="445" t="s">
        <v>38</v>
      </c>
    </row>
    <row r="2" spans="1:3" ht="26.25" customHeight="1">
      <c r="A2" s="397" t="s">
        <v>726</v>
      </c>
      <c r="B2" s="359" t="s">
        <v>208</v>
      </c>
      <c r="C2" s="374" t="s">
        <v>201</v>
      </c>
    </row>
    <row r="3" spans="1:3" ht="29.25" customHeight="1" thickBot="1">
      <c r="A3" s="438" t="s">
        <v>725</v>
      </c>
      <c r="B3" s="360" t="s">
        <v>162</v>
      </c>
      <c r="C3" s="375" t="s">
        <v>576</v>
      </c>
    </row>
    <row r="4" spans="1:3" ht="14.25" thickBot="1">
      <c r="A4" s="232"/>
      <c r="B4" s="232"/>
      <c r="C4" s="233"/>
    </row>
    <row r="5" spans="1:3" ht="43.5" customHeight="1" thickBot="1">
      <c r="A5" s="398" t="s">
        <v>727</v>
      </c>
      <c r="B5" s="234" t="s">
        <v>577</v>
      </c>
      <c r="C5" s="235" t="s">
        <v>578</v>
      </c>
    </row>
    <row r="6" spans="1:3" ht="13.5" thickBot="1">
      <c r="A6" s="201">
        <v>1</v>
      </c>
      <c r="B6" s="202">
        <v>2</v>
      </c>
      <c r="C6" s="203">
        <v>3</v>
      </c>
    </row>
    <row r="7" spans="1:3" ht="13.5" thickBot="1">
      <c r="A7" s="236"/>
      <c r="B7" s="237" t="s">
        <v>579</v>
      </c>
      <c r="C7" s="238"/>
    </row>
    <row r="8" spans="1:3" ht="18" customHeight="1" thickBot="1">
      <c r="A8" s="201" t="s">
        <v>542</v>
      </c>
      <c r="B8" s="636" t="s">
        <v>163</v>
      </c>
      <c r="C8" s="637">
        <f>C13+C18</f>
        <v>78051900</v>
      </c>
    </row>
    <row r="9" spans="1:3" ht="17.25" customHeight="1">
      <c r="A9" s="439" t="s">
        <v>625</v>
      </c>
      <c r="B9" s="10" t="s">
        <v>817</v>
      </c>
      <c r="C9" s="309">
        <f>'9.4.1.melléklet'!C9+'9.4.2.melléklet'!C9+'9.4.3.melléklet'!C9</f>
        <v>0</v>
      </c>
    </row>
    <row r="10" spans="1:3" ht="13.5" customHeight="1">
      <c r="A10" s="440" t="s">
        <v>626</v>
      </c>
      <c r="B10" s="8" t="s">
        <v>818</v>
      </c>
      <c r="C10" s="310">
        <f>'9.4.1.melléklet'!C10+'9.4.2.melléklet'!C10+'9.4.3.melléklet'!C10</f>
        <v>0</v>
      </c>
    </row>
    <row r="11" spans="1:3" ht="11.25" customHeight="1">
      <c r="A11" s="440" t="s">
        <v>627</v>
      </c>
      <c r="B11" s="8" t="s">
        <v>819</v>
      </c>
      <c r="C11" s="310">
        <f>'9.4.1.melléklet'!C11+'9.4.2.melléklet'!C11+'9.4.3.melléklet'!C11</f>
        <v>0</v>
      </c>
    </row>
    <row r="12" spans="1:3" ht="10.5" customHeight="1">
      <c r="A12" s="440" t="s">
        <v>628</v>
      </c>
      <c r="B12" s="8" t="s">
        <v>820</v>
      </c>
      <c r="C12" s="310">
        <f>'9.4.1.melléklet'!C12+'9.4.2.melléklet'!C12+'9.4.3.melléklet'!C12</f>
        <v>0</v>
      </c>
    </row>
    <row r="13" spans="1:3" ht="15" customHeight="1">
      <c r="A13" s="440" t="s">
        <v>670</v>
      </c>
      <c r="B13" s="8" t="s">
        <v>821</v>
      </c>
      <c r="C13" s="310">
        <v>73051900</v>
      </c>
    </row>
    <row r="14" spans="1:3" ht="14.25" customHeight="1">
      <c r="A14" s="440" t="s">
        <v>629</v>
      </c>
      <c r="B14" s="8" t="s">
        <v>164</v>
      </c>
      <c r="C14" s="310">
        <f>'9.4.1.melléklet'!C14+'9.4.2.melléklet'!C14+'9.4.3.melléklet'!C14</f>
        <v>0</v>
      </c>
    </row>
    <row r="15" spans="1:3" ht="14.25" customHeight="1">
      <c r="A15" s="440" t="s">
        <v>630</v>
      </c>
      <c r="B15" s="7" t="s">
        <v>165</v>
      </c>
      <c r="C15" s="310">
        <f>'9.4.1.melléklet'!C15+'9.4.2.melléklet'!C15+'9.4.3.melléklet'!C15</f>
        <v>0</v>
      </c>
    </row>
    <row r="16" spans="1:3" ht="15.75" customHeight="1">
      <c r="A16" s="440" t="s">
        <v>640</v>
      </c>
      <c r="B16" s="8" t="s">
        <v>824</v>
      </c>
      <c r="C16" s="310">
        <f>'9.4.1.melléklet'!C16+'9.4.2.melléklet'!C16+'9.4.3.melléklet'!C16</f>
        <v>0</v>
      </c>
    </row>
    <row r="17" spans="1:3" ht="12.75" customHeight="1">
      <c r="A17" s="440" t="s">
        <v>641</v>
      </c>
      <c r="B17" s="8" t="s">
        <v>825</v>
      </c>
      <c r="C17" s="310">
        <f>'9.4.1.melléklet'!C17+'9.4.2.melléklet'!C17+'9.4.3.melléklet'!C17</f>
        <v>0</v>
      </c>
    </row>
    <row r="18" spans="1:3" ht="14.25" customHeight="1" thickBot="1">
      <c r="A18" s="440" t="s">
        <v>642</v>
      </c>
      <c r="B18" s="7" t="s">
        <v>826</v>
      </c>
      <c r="C18" s="312">
        <v>5000000</v>
      </c>
    </row>
    <row r="19" spans="1:3" ht="12" customHeight="1" thickBot="1">
      <c r="A19" s="201" t="s">
        <v>543</v>
      </c>
      <c r="B19" s="636" t="s">
        <v>166</v>
      </c>
      <c r="C19" s="637">
        <f>SUM(C20:C22)</f>
        <v>0</v>
      </c>
    </row>
    <row r="20" spans="1:3" ht="13.5" customHeight="1">
      <c r="A20" s="440" t="s">
        <v>631</v>
      </c>
      <c r="B20" s="9" t="s">
        <v>792</v>
      </c>
      <c r="C20" s="310">
        <f>'9.4.1.melléklet'!C20+'9.4.2.melléklet'!C20+'9.4.3.melléklet'!C20</f>
        <v>0</v>
      </c>
    </row>
    <row r="21" spans="1:3" ht="12.75" customHeight="1">
      <c r="A21" s="440" t="s">
        <v>632</v>
      </c>
      <c r="B21" s="8" t="s">
        <v>167</v>
      </c>
      <c r="C21" s="316"/>
    </row>
    <row r="22" spans="1:3" ht="13.5" customHeight="1">
      <c r="A22" s="440" t="s">
        <v>633</v>
      </c>
      <c r="B22" s="8" t="s">
        <v>168</v>
      </c>
      <c r="C22" s="316"/>
    </row>
    <row r="23" spans="1:3" ht="14.25" customHeight="1" thickBot="1">
      <c r="A23" s="440" t="s">
        <v>634</v>
      </c>
      <c r="B23" s="8" t="s">
        <v>526</v>
      </c>
      <c r="C23" s="316"/>
    </row>
    <row r="24" spans="1:3" ht="13.5" customHeight="1" thickBot="1">
      <c r="A24" s="209" t="s">
        <v>544</v>
      </c>
      <c r="B24" s="124" t="s">
        <v>696</v>
      </c>
      <c r="C24" s="345"/>
    </row>
    <row r="25" spans="1:3" ht="12" customHeight="1" thickBot="1">
      <c r="A25" s="209" t="s">
        <v>545</v>
      </c>
      <c r="B25" s="124" t="s">
        <v>169</v>
      </c>
      <c r="C25" s="318">
        <f>+C26+C27</f>
        <v>0</v>
      </c>
    </row>
    <row r="26" spans="1:3" ht="12" customHeight="1">
      <c r="A26" s="441" t="s">
        <v>802</v>
      </c>
      <c r="B26" s="442" t="s">
        <v>167</v>
      </c>
      <c r="C26" s="78"/>
    </row>
    <row r="27" spans="1:3" ht="10.5" customHeight="1">
      <c r="A27" s="441" t="s">
        <v>805</v>
      </c>
      <c r="B27" s="443" t="s">
        <v>170</v>
      </c>
      <c r="C27" s="78"/>
    </row>
    <row r="28" spans="1:3" ht="12.75" customHeight="1" thickBot="1">
      <c r="A28" s="440" t="s">
        <v>806</v>
      </c>
      <c r="B28" s="444" t="s">
        <v>171</v>
      </c>
      <c r="C28" s="78"/>
    </row>
    <row r="29" spans="1:3" ht="13.5" customHeight="1" thickBot="1">
      <c r="A29" s="209" t="s">
        <v>546</v>
      </c>
      <c r="B29" s="124" t="s">
        <v>172</v>
      </c>
      <c r="C29" s="318">
        <f>+C30+C31+C32</f>
        <v>0</v>
      </c>
    </row>
    <row r="30" spans="1:3" ht="11.25" customHeight="1">
      <c r="A30" s="441" t="s">
        <v>618</v>
      </c>
      <c r="B30" s="442" t="s">
        <v>831</v>
      </c>
      <c r="C30" s="78"/>
    </row>
    <row r="31" spans="1:3" ht="13.5" customHeight="1">
      <c r="A31" s="441" t="s">
        <v>619</v>
      </c>
      <c r="B31" s="443" t="s">
        <v>832</v>
      </c>
      <c r="C31" s="78"/>
    </row>
    <row r="32" spans="1:3" ht="12.75" customHeight="1" thickBot="1">
      <c r="A32" s="440" t="s">
        <v>620</v>
      </c>
      <c r="B32" s="140" t="s">
        <v>833</v>
      </c>
      <c r="C32" s="78"/>
    </row>
    <row r="33" spans="1:3" ht="14.25" customHeight="1" thickBot="1">
      <c r="A33" s="209" t="s">
        <v>547</v>
      </c>
      <c r="B33" s="124" t="s">
        <v>117</v>
      </c>
      <c r="C33" s="345"/>
    </row>
    <row r="34" spans="1:3" ht="12" customHeight="1" thickBot="1">
      <c r="A34" s="209" t="s">
        <v>548</v>
      </c>
      <c r="B34" s="124" t="s">
        <v>173</v>
      </c>
      <c r="C34" s="367"/>
    </row>
    <row r="35" spans="1:3" ht="12" customHeight="1" thickBot="1">
      <c r="A35" s="201" t="s">
        <v>549</v>
      </c>
      <c r="B35" s="124" t="s">
        <v>174</v>
      </c>
      <c r="C35" s="368">
        <f>C8</f>
        <v>78051900</v>
      </c>
    </row>
    <row r="36" spans="1:3" ht="12" customHeight="1" thickBot="1">
      <c r="A36" s="240" t="s">
        <v>550</v>
      </c>
      <c r="B36" s="124" t="s">
        <v>175</v>
      </c>
      <c r="C36" s="368">
        <f>C39</f>
        <v>84900682</v>
      </c>
    </row>
    <row r="37" spans="1:3" ht="12" customHeight="1">
      <c r="A37" s="441" t="s">
        <v>176</v>
      </c>
      <c r="B37" s="442" t="s">
        <v>764</v>
      </c>
      <c r="C37" s="309">
        <f>'9.4.1.melléklet'!C37+'9.4.2.melléklet'!C37+'9.4.3.melléklet'!C37</f>
        <v>0</v>
      </c>
    </row>
    <row r="38" spans="1:3" ht="12" customHeight="1">
      <c r="A38" s="441" t="s">
        <v>177</v>
      </c>
      <c r="B38" s="443" t="s">
        <v>527</v>
      </c>
      <c r="C38" s="309">
        <f>'9.4.1.melléklet'!C38+'9.4.2.melléklet'!C38+'9.4.3.melléklet'!C38</f>
        <v>0</v>
      </c>
    </row>
    <row r="39" spans="1:3" ht="13.5" customHeight="1" thickBot="1">
      <c r="A39" s="440" t="s">
        <v>178</v>
      </c>
      <c r="B39" s="140" t="s">
        <v>179</v>
      </c>
      <c r="C39" s="309">
        <v>84900682</v>
      </c>
    </row>
    <row r="40" spans="1:3" ht="12.75" customHeight="1" thickBot="1">
      <c r="A40" s="240" t="s">
        <v>551</v>
      </c>
      <c r="B40" s="241" t="s">
        <v>180</v>
      </c>
      <c r="C40" s="371">
        <f>+C35+C36</f>
        <v>162952582</v>
      </c>
    </row>
    <row r="41" spans="1:3" ht="13.5" thickBot="1">
      <c r="A41" s="242"/>
      <c r="B41" s="243"/>
      <c r="C41" s="369"/>
    </row>
    <row r="42" spans="1:3" ht="13.5" thickBot="1">
      <c r="A42" s="246"/>
      <c r="B42" s="247" t="s">
        <v>581</v>
      </c>
      <c r="C42" s="371"/>
    </row>
    <row r="43" spans="1:3" ht="14.25" customHeight="1" thickBot="1">
      <c r="A43" s="209" t="s">
        <v>542</v>
      </c>
      <c r="B43" s="124" t="s">
        <v>181</v>
      </c>
      <c r="C43" s="318">
        <f>C44+C45+C46</f>
        <v>162952582</v>
      </c>
    </row>
    <row r="44" spans="1:3" ht="12.75" customHeight="1">
      <c r="A44" s="440" t="s">
        <v>625</v>
      </c>
      <c r="B44" s="9" t="s">
        <v>572</v>
      </c>
      <c r="C44" s="309">
        <v>84547300</v>
      </c>
    </row>
    <row r="45" spans="1:3" ht="11.25" customHeight="1">
      <c r="A45" s="440" t="s">
        <v>626</v>
      </c>
      <c r="B45" s="8" t="s">
        <v>705</v>
      </c>
      <c r="C45" s="309">
        <v>21572282</v>
      </c>
    </row>
    <row r="46" spans="1:3" ht="13.5" customHeight="1">
      <c r="A46" s="440" t="s">
        <v>627</v>
      </c>
      <c r="B46" s="8" t="s">
        <v>662</v>
      </c>
      <c r="C46" s="309">
        <v>56833000</v>
      </c>
    </row>
    <row r="47" spans="1:3" ht="12.75" customHeight="1">
      <c r="A47" s="440" t="s">
        <v>628</v>
      </c>
      <c r="B47" s="8" t="s">
        <v>706</v>
      </c>
      <c r="C47" s="309">
        <f>'9.4.1.melléklet'!C47+'9.4.2.melléklet'!C47+'9.4.3.melléklet'!C47</f>
        <v>0</v>
      </c>
    </row>
    <row r="48" spans="1:3" ht="12.75" customHeight="1" thickBot="1">
      <c r="A48" s="440" t="s">
        <v>670</v>
      </c>
      <c r="B48" s="8" t="s">
        <v>707</v>
      </c>
      <c r="C48" s="309">
        <f>'9.4.1.melléklet'!C48+'9.4.2.melléklet'!C48+'9.4.3.melléklet'!C48</f>
        <v>0</v>
      </c>
    </row>
    <row r="49" spans="1:3" ht="12.75" customHeight="1" thickBot="1">
      <c r="A49" s="209" t="s">
        <v>543</v>
      </c>
      <c r="B49" s="124" t="s">
        <v>182</v>
      </c>
      <c r="C49" s="318">
        <f>SUM(C50:C52)</f>
        <v>0</v>
      </c>
    </row>
    <row r="50" spans="1:3" ht="14.25" customHeight="1">
      <c r="A50" s="440" t="s">
        <v>631</v>
      </c>
      <c r="B50" s="9" t="s">
        <v>754</v>
      </c>
      <c r="C50" s="78"/>
    </row>
    <row r="51" spans="1:3" ht="15" customHeight="1">
      <c r="A51" s="440" t="s">
        <v>632</v>
      </c>
      <c r="B51" s="8" t="s">
        <v>709</v>
      </c>
      <c r="C51" s="81"/>
    </row>
    <row r="52" spans="1:3" ht="13.5" customHeight="1">
      <c r="A52" s="440" t="s">
        <v>633</v>
      </c>
      <c r="B52" s="8" t="s">
        <v>582</v>
      </c>
      <c r="C52" s="81"/>
    </row>
    <row r="53" spans="1:3" ht="12.75" customHeight="1" thickBot="1">
      <c r="A53" s="440" t="s">
        <v>634</v>
      </c>
      <c r="B53" s="8" t="s">
        <v>528</v>
      </c>
      <c r="C53" s="81"/>
    </row>
    <row r="54" spans="1:3" ht="13.5" customHeight="1" thickBot="1">
      <c r="A54" s="209" t="s">
        <v>544</v>
      </c>
      <c r="B54" s="248" t="s">
        <v>183</v>
      </c>
      <c r="C54" s="372">
        <f>+C43+C49</f>
        <v>162952582</v>
      </c>
    </row>
    <row r="55" spans="1:3" ht="13.5" thickBot="1">
      <c r="A55" s="249"/>
      <c r="B55" s="250"/>
      <c r="C55" s="373"/>
    </row>
    <row r="56" spans="1:3" ht="13.5" thickBot="1">
      <c r="A56" s="251" t="s">
        <v>728</v>
      </c>
      <c r="B56" s="252"/>
      <c r="C56" s="121">
        <v>31</v>
      </c>
    </row>
    <row r="57" spans="1:3" ht="13.5" thickBot="1">
      <c r="A57" s="251" t="s">
        <v>729</v>
      </c>
      <c r="B57" s="252"/>
      <c r="C57" s="121">
        <v>0</v>
      </c>
    </row>
    <row r="58" spans="1:3" ht="12.75">
      <c r="A58" s="249"/>
      <c r="B58" s="250"/>
      <c r="C58" s="250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C58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8.875" style="0" customWidth="1"/>
    <col min="2" max="2" width="64.125" style="0" customWidth="1"/>
    <col min="3" max="3" width="22.375" style="0" customWidth="1"/>
  </cols>
  <sheetData>
    <row r="1" spans="1:3" ht="16.5" thickBot="1">
      <c r="A1" s="228"/>
      <c r="B1" s="230"/>
      <c r="C1" s="445" t="s">
        <v>39</v>
      </c>
    </row>
    <row r="2" spans="1:3" ht="24">
      <c r="A2" s="397" t="s">
        <v>726</v>
      </c>
      <c r="B2" s="359" t="s">
        <v>208</v>
      </c>
      <c r="C2" s="374" t="s">
        <v>201</v>
      </c>
    </row>
    <row r="3" spans="1:3" ht="24.75" thickBot="1">
      <c r="A3" s="438" t="s">
        <v>725</v>
      </c>
      <c r="B3" s="360" t="s">
        <v>185</v>
      </c>
      <c r="C3" s="375" t="s">
        <v>576</v>
      </c>
    </row>
    <row r="4" spans="1:3" ht="14.25" thickBot="1">
      <c r="A4" s="232"/>
      <c r="B4" s="232"/>
      <c r="C4" s="233"/>
    </row>
    <row r="5" spans="1:3" ht="13.5" thickBot="1">
      <c r="A5" s="398" t="s">
        <v>727</v>
      </c>
      <c r="B5" s="234" t="s">
        <v>577</v>
      </c>
      <c r="C5" s="235" t="s">
        <v>578</v>
      </c>
    </row>
    <row r="6" spans="1:3" ht="13.5" thickBot="1">
      <c r="A6" s="201">
        <v>1</v>
      </c>
      <c r="B6" s="202">
        <v>2</v>
      </c>
      <c r="C6" s="203">
        <v>3</v>
      </c>
    </row>
    <row r="7" spans="1:3" ht="13.5" thickBot="1">
      <c r="A7" s="236"/>
      <c r="B7" s="237" t="s">
        <v>579</v>
      </c>
      <c r="C7" s="238"/>
    </row>
    <row r="8" spans="1:3" ht="13.5" thickBot="1">
      <c r="A8" s="201" t="s">
        <v>542</v>
      </c>
      <c r="B8" s="239" t="s">
        <v>163</v>
      </c>
      <c r="C8" s="637">
        <f>C13+C18</f>
        <v>78051900</v>
      </c>
    </row>
    <row r="9" spans="1:3" ht="12.75">
      <c r="A9" s="439" t="s">
        <v>625</v>
      </c>
      <c r="B9" s="10" t="s">
        <v>817</v>
      </c>
      <c r="C9" s="309">
        <f>'9.4.1.melléklet'!C9+'9.4.2.melléklet'!C9+'9.4.3.melléklet'!C9</f>
        <v>0</v>
      </c>
    </row>
    <row r="10" spans="1:3" ht="12.75">
      <c r="A10" s="440" t="s">
        <v>626</v>
      </c>
      <c r="B10" s="8" t="s">
        <v>818</v>
      </c>
      <c r="C10" s="310">
        <f>'9.4.1.melléklet'!C10+'9.4.2.melléklet'!C10+'9.4.3.melléklet'!C10</f>
        <v>0</v>
      </c>
    </row>
    <row r="11" spans="1:3" ht="12.75">
      <c r="A11" s="440" t="s">
        <v>627</v>
      </c>
      <c r="B11" s="8" t="s">
        <v>819</v>
      </c>
      <c r="C11" s="310">
        <f>'9.4.1.melléklet'!C11+'9.4.2.melléklet'!C11+'9.4.3.melléklet'!C11</f>
        <v>0</v>
      </c>
    </row>
    <row r="12" spans="1:3" ht="12.75">
      <c r="A12" s="440" t="s">
        <v>628</v>
      </c>
      <c r="B12" s="8" t="s">
        <v>820</v>
      </c>
      <c r="C12" s="310">
        <f>'9.4.1.melléklet'!C12+'9.4.2.melléklet'!C12+'9.4.3.melléklet'!C12</f>
        <v>0</v>
      </c>
    </row>
    <row r="13" spans="1:3" ht="12.75">
      <c r="A13" s="440" t="s">
        <v>670</v>
      </c>
      <c r="B13" s="8" t="s">
        <v>821</v>
      </c>
      <c r="C13" s="310">
        <v>73051900</v>
      </c>
    </row>
    <row r="14" spans="1:3" ht="12.75">
      <c r="A14" s="440" t="s">
        <v>629</v>
      </c>
      <c r="B14" s="8" t="s">
        <v>164</v>
      </c>
      <c r="C14" s="310">
        <f>'9.4.1.melléklet'!C14+'9.4.2.melléklet'!C14+'9.4.3.melléklet'!C14</f>
        <v>0</v>
      </c>
    </row>
    <row r="15" spans="1:3" ht="12.75">
      <c r="A15" s="440" t="s">
        <v>630</v>
      </c>
      <c r="B15" s="7" t="s">
        <v>165</v>
      </c>
      <c r="C15" s="310">
        <f>'9.4.1.melléklet'!C15+'9.4.2.melléklet'!C15+'9.4.3.melléklet'!C15</f>
        <v>0</v>
      </c>
    </row>
    <row r="16" spans="1:3" ht="12.75">
      <c r="A16" s="440" t="s">
        <v>640</v>
      </c>
      <c r="B16" s="8" t="s">
        <v>824</v>
      </c>
      <c r="C16" s="310">
        <f>'9.4.1.melléklet'!C16+'9.4.2.melléklet'!C16+'9.4.3.melléklet'!C16</f>
        <v>0</v>
      </c>
    </row>
    <row r="17" spans="1:3" ht="12.75">
      <c r="A17" s="440" t="s">
        <v>641</v>
      </c>
      <c r="B17" s="8" t="s">
        <v>825</v>
      </c>
      <c r="C17" s="310">
        <f>'9.4.1.melléklet'!C17+'9.4.2.melléklet'!C17+'9.4.3.melléklet'!C17</f>
        <v>0</v>
      </c>
    </row>
    <row r="18" spans="1:3" ht="13.5" thickBot="1">
      <c r="A18" s="440" t="s">
        <v>642</v>
      </c>
      <c r="B18" s="7" t="s">
        <v>826</v>
      </c>
      <c r="C18" s="312">
        <v>5000000</v>
      </c>
    </row>
    <row r="19" spans="1:3" ht="21.75" thickBot="1">
      <c r="A19" s="201" t="s">
        <v>543</v>
      </c>
      <c r="B19" s="239" t="s">
        <v>166</v>
      </c>
      <c r="C19" s="637">
        <f>SUM(C20:C22)</f>
        <v>0</v>
      </c>
    </row>
    <row r="20" spans="1:3" ht="12.75">
      <c r="A20" s="440" t="s">
        <v>631</v>
      </c>
      <c r="B20" s="9" t="s">
        <v>792</v>
      </c>
      <c r="C20" s="310">
        <f>'9.4.1.melléklet'!C20+'9.4.2.melléklet'!C20+'9.4.3.melléklet'!C20</f>
        <v>0</v>
      </c>
    </row>
    <row r="21" spans="1:3" ht="12.75">
      <c r="A21" s="440" t="s">
        <v>632</v>
      </c>
      <c r="B21" s="8" t="s">
        <v>167</v>
      </c>
      <c r="C21" s="316"/>
    </row>
    <row r="22" spans="1:3" ht="12.75">
      <c r="A22" s="440" t="s">
        <v>633</v>
      </c>
      <c r="B22" s="8" t="s">
        <v>168</v>
      </c>
      <c r="C22" s="316"/>
    </row>
    <row r="23" spans="1:3" ht="13.5" thickBot="1">
      <c r="A23" s="440" t="s">
        <v>634</v>
      </c>
      <c r="B23" s="8" t="s">
        <v>526</v>
      </c>
      <c r="C23" s="316"/>
    </row>
    <row r="24" spans="1:3" ht="13.5" thickBot="1">
      <c r="A24" s="209" t="s">
        <v>544</v>
      </c>
      <c r="B24" s="124" t="s">
        <v>696</v>
      </c>
      <c r="C24" s="345"/>
    </row>
    <row r="25" spans="1:3" ht="21.75" thickBot="1">
      <c r="A25" s="209" t="s">
        <v>545</v>
      </c>
      <c r="B25" s="124" t="s">
        <v>169</v>
      </c>
      <c r="C25" s="318">
        <f>+C26+C27</f>
        <v>0</v>
      </c>
    </row>
    <row r="26" spans="1:3" ht="12.75">
      <c r="A26" s="441" t="s">
        <v>802</v>
      </c>
      <c r="B26" s="442" t="s">
        <v>167</v>
      </c>
      <c r="C26" s="78"/>
    </row>
    <row r="27" spans="1:3" ht="12.75">
      <c r="A27" s="441" t="s">
        <v>805</v>
      </c>
      <c r="B27" s="443" t="s">
        <v>170</v>
      </c>
      <c r="C27" s="78"/>
    </row>
    <row r="28" spans="1:3" ht="13.5" thickBot="1">
      <c r="A28" s="440" t="s">
        <v>806</v>
      </c>
      <c r="B28" s="444" t="s">
        <v>171</v>
      </c>
      <c r="C28" s="78"/>
    </row>
    <row r="29" spans="1:3" ht="13.5" thickBot="1">
      <c r="A29" s="209" t="s">
        <v>546</v>
      </c>
      <c r="B29" s="124" t="s">
        <v>172</v>
      </c>
      <c r="C29" s="318">
        <f>+C30+C31+C32</f>
        <v>0</v>
      </c>
    </row>
    <row r="30" spans="1:3" ht="12.75">
      <c r="A30" s="441" t="s">
        <v>618</v>
      </c>
      <c r="B30" s="442" t="s">
        <v>831</v>
      </c>
      <c r="C30" s="78"/>
    </row>
    <row r="31" spans="1:3" ht="12.75">
      <c r="A31" s="441" t="s">
        <v>619</v>
      </c>
      <c r="B31" s="443" t="s">
        <v>832</v>
      </c>
      <c r="C31" s="78"/>
    </row>
    <row r="32" spans="1:3" ht="13.5" thickBot="1">
      <c r="A32" s="440" t="s">
        <v>620</v>
      </c>
      <c r="B32" s="140" t="s">
        <v>833</v>
      </c>
      <c r="C32" s="78"/>
    </row>
    <row r="33" spans="1:3" ht="13.5" thickBot="1">
      <c r="A33" s="209" t="s">
        <v>547</v>
      </c>
      <c r="B33" s="124" t="s">
        <v>117</v>
      </c>
      <c r="C33" s="345"/>
    </row>
    <row r="34" spans="1:3" ht="13.5" thickBot="1">
      <c r="A34" s="209" t="s">
        <v>548</v>
      </c>
      <c r="B34" s="124" t="s">
        <v>173</v>
      </c>
      <c r="C34" s="367"/>
    </row>
    <row r="35" spans="1:3" ht="13.5" thickBot="1">
      <c r="A35" s="201" t="s">
        <v>549</v>
      </c>
      <c r="B35" s="124" t="s">
        <v>174</v>
      </c>
      <c r="C35" s="368">
        <f>C8</f>
        <v>78051900</v>
      </c>
    </row>
    <row r="36" spans="1:3" ht="13.5" thickBot="1">
      <c r="A36" s="240" t="s">
        <v>550</v>
      </c>
      <c r="B36" s="124" t="s">
        <v>175</v>
      </c>
      <c r="C36" s="368">
        <f>C39</f>
        <v>84900682</v>
      </c>
    </row>
    <row r="37" spans="1:3" ht="12.75">
      <c r="A37" s="441" t="s">
        <v>176</v>
      </c>
      <c r="B37" s="442" t="s">
        <v>764</v>
      </c>
      <c r="C37" s="309">
        <f>'9.4.1.melléklet'!C37+'9.4.2.melléklet'!C37+'9.4.3.melléklet'!C37</f>
        <v>0</v>
      </c>
    </row>
    <row r="38" spans="1:3" ht="12.75">
      <c r="A38" s="441" t="s">
        <v>177</v>
      </c>
      <c r="B38" s="443" t="s">
        <v>527</v>
      </c>
      <c r="C38" s="309">
        <f>'9.4.1.melléklet'!C38+'9.4.2.melléklet'!C38+'9.4.3.melléklet'!C38</f>
        <v>0</v>
      </c>
    </row>
    <row r="39" spans="1:3" ht="13.5" thickBot="1">
      <c r="A39" s="440" t="s">
        <v>178</v>
      </c>
      <c r="B39" s="140" t="s">
        <v>179</v>
      </c>
      <c r="C39" s="309">
        <v>84900682</v>
      </c>
    </row>
    <row r="40" spans="1:3" ht="13.5" thickBot="1">
      <c r="A40" s="240" t="s">
        <v>551</v>
      </c>
      <c r="B40" s="241" t="s">
        <v>180</v>
      </c>
      <c r="C40" s="371">
        <f>+C35+C36</f>
        <v>162952582</v>
      </c>
    </row>
    <row r="41" spans="1:3" ht="13.5" thickBot="1">
      <c r="A41" s="242"/>
      <c r="B41" s="243"/>
      <c r="C41" s="369"/>
    </row>
    <row r="42" spans="1:3" ht="13.5" thickBot="1">
      <c r="A42" s="246"/>
      <c r="B42" s="247" t="s">
        <v>581</v>
      </c>
      <c r="C42" s="371"/>
    </row>
    <row r="43" spans="1:3" ht="13.5" thickBot="1">
      <c r="A43" s="209" t="s">
        <v>542</v>
      </c>
      <c r="B43" s="124" t="s">
        <v>181</v>
      </c>
      <c r="C43" s="318">
        <f>C44+C45+C46</f>
        <v>162952582</v>
      </c>
    </row>
    <row r="44" spans="1:3" ht="12.75">
      <c r="A44" s="440" t="s">
        <v>625</v>
      </c>
      <c r="B44" s="9" t="s">
        <v>572</v>
      </c>
      <c r="C44" s="309">
        <v>84547300</v>
      </c>
    </row>
    <row r="45" spans="1:3" ht="12.75">
      <c r="A45" s="440" t="s">
        <v>626</v>
      </c>
      <c r="B45" s="8" t="s">
        <v>705</v>
      </c>
      <c r="C45" s="309">
        <v>21572282</v>
      </c>
    </row>
    <row r="46" spans="1:3" ht="12.75">
      <c r="A46" s="440" t="s">
        <v>627</v>
      </c>
      <c r="B46" s="8" t="s">
        <v>662</v>
      </c>
      <c r="C46" s="309">
        <v>56833000</v>
      </c>
    </row>
    <row r="47" spans="1:3" ht="12.75">
      <c r="A47" s="440" t="s">
        <v>628</v>
      </c>
      <c r="B47" s="8" t="s">
        <v>706</v>
      </c>
      <c r="C47" s="309">
        <f>'9.4.1.melléklet'!C47+'9.4.2.melléklet'!C47+'9.4.3.melléklet'!C47</f>
        <v>0</v>
      </c>
    </row>
    <row r="48" spans="1:3" ht="13.5" thickBot="1">
      <c r="A48" s="440" t="s">
        <v>670</v>
      </c>
      <c r="B48" s="8" t="s">
        <v>707</v>
      </c>
      <c r="C48" s="309">
        <f>'9.4.1.melléklet'!C48+'9.4.2.melléklet'!C48+'9.4.3.melléklet'!C48</f>
        <v>0</v>
      </c>
    </row>
    <row r="49" spans="1:3" ht="13.5" thickBot="1">
      <c r="A49" s="209" t="s">
        <v>543</v>
      </c>
      <c r="B49" s="124" t="s">
        <v>182</v>
      </c>
      <c r="C49" s="318">
        <f>SUM(C50:C52)</f>
        <v>0</v>
      </c>
    </row>
    <row r="50" spans="1:3" ht="12.75">
      <c r="A50" s="440" t="s">
        <v>631</v>
      </c>
      <c r="B50" s="9" t="s">
        <v>754</v>
      </c>
      <c r="C50" s="78"/>
    </row>
    <row r="51" spans="1:3" ht="12.75">
      <c r="A51" s="440" t="s">
        <v>632</v>
      </c>
      <c r="B51" s="8" t="s">
        <v>709</v>
      </c>
      <c r="C51" s="81"/>
    </row>
    <row r="52" spans="1:3" ht="12.75">
      <c r="A52" s="440" t="s">
        <v>633</v>
      </c>
      <c r="B52" s="8" t="s">
        <v>582</v>
      </c>
      <c r="C52" s="81"/>
    </row>
    <row r="53" spans="1:3" ht="13.5" thickBot="1">
      <c r="A53" s="440" t="s">
        <v>634</v>
      </c>
      <c r="B53" s="8" t="s">
        <v>528</v>
      </c>
      <c r="C53" s="81"/>
    </row>
    <row r="54" spans="1:3" ht="13.5" thickBot="1">
      <c r="A54" s="209" t="s">
        <v>544</v>
      </c>
      <c r="B54" s="248" t="s">
        <v>183</v>
      </c>
      <c r="C54" s="372">
        <f>+C43+C49</f>
        <v>162952582</v>
      </c>
    </row>
    <row r="55" spans="1:3" ht="13.5" thickBot="1">
      <c r="A55" s="249"/>
      <c r="B55" s="250"/>
      <c r="C55" s="373"/>
    </row>
    <row r="56" spans="1:3" ht="13.5" thickBot="1">
      <c r="A56" s="251" t="s">
        <v>728</v>
      </c>
      <c r="B56" s="252"/>
      <c r="C56" s="121">
        <v>31</v>
      </c>
    </row>
    <row r="57" spans="1:3" ht="13.5" thickBot="1">
      <c r="A57" s="251" t="s">
        <v>729</v>
      </c>
      <c r="B57" s="252"/>
      <c r="C57" s="121">
        <v>0</v>
      </c>
    </row>
    <row r="58" spans="1:3" ht="12.75">
      <c r="A58" s="249"/>
      <c r="B58" s="250"/>
      <c r="C58" s="250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20.125" style="0" customWidth="1"/>
    <col min="2" max="2" width="66.125" style="0" customWidth="1"/>
    <col min="3" max="3" width="18.00390625" style="0" customWidth="1"/>
  </cols>
  <sheetData>
    <row r="1" spans="1:3" ht="16.5" thickBot="1">
      <c r="A1" s="228"/>
      <c r="B1" s="230"/>
      <c r="C1" s="445" t="s">
        <v>40</v>
      </c>
    </row>
    <row r="2" spans="1:3" ht="24">
      <c r="A2" s="397" t="s">
        <v>726</v>
      </c>
      <c r="B2" s="359" t="s">
        <v>208</v>
      </c>
      <c r="C2" s="374" t="s">
        <v>201</v>
      </c>
    </row>
    <row r="3" spans="1:3" ht="13.5" thickBot="1">
      <c r="A3" s="438" t="s">
        <v>725</v>
      </c>
      <c r="B3" s="360" t="s">
        <v>186</v>
      </c>
      <c r="C3" s="375" t="s">
        <v>586</v>
      </c>
    </row>
    <row r="4" spans="1:3" ht="14.25" thickBot="1">
      <c r="A4" s="232"/>
      <c r="B4" s="232"/>
      <c r="C4" s="233"/>
    </row>
    <row r="5" spans="1:3" ht="13.5" thickBot="1">
      <c r="A5" s="398" t="s">
        <v>727</v>
      </c>
      <c r="B5" s="234" t="s">
        <v>577</v>
      </c>
      <c r="C5" s="235" t="s">
        <v>578</v>
      </c>
    </row>
    <row r="6" spans="1:3" ht="13.5" thickBot="1">
      <c r="A6" s="201">
        <v>1</v>
      </c>
      <c r="B6" s="202">
        <v>2</v>
      </c>
      <c r="C6" s="203">
        <v>3</v>
      </c>
    </row>
    <row r="7" spans="1:3" ht="13.5" thickBot="1">
      <c r="A7" s="236"/>
      <c r="B7" s="237" t="s">
        <v>579</v>
      </c>
      <c r="C7" s="238"/>
    </row>
    <row r="8" spans="1:3" ht="13.5" thickBot="1">
      <c r="A8" s="201" t="s">
        <v>542</v>
      </c>
      <c r="B8" s="239" t="s">
        <v>163</v>
      </c>
      <c r="C8" s="318">
        <f>SUM(C9:C18)</f>
        <v>0</v>
      </c>
    </row>
    <row r="9" spans="1:3" ht="12.75">
      <c r="A9" s="439" t="s">
        <v>625</v>
      </c>
      <c r="B9" s="10" t="s">
        <v>817</v>
      </c>
      <c r="C9" s="365"/>
    </row>
    <row r="10" spans="1:3" ht="12.75">
      <c r="A10" s="440" t="s">
        <v>626</v>
      </c>
      <c r="B10" s="8" t="s">
        <v>818</v>
      </c>
      <c r="C10" s="316"/>
    </row>
    <row r="11" spans="1:3" ht="12.75">
      <c r="A11" s="440" t="s">
        <v>627</v>
      </c>
      <c r="B11" s="8" t="s">
        <v>819</v>
      </c>
      <c r="C11" s="316"/>
    </row>
    <row r="12" spans="1:3" ht="12.75">
      <c r="A12" s="440" t="s">
        <v>628</v>
      </c>
      <c r="B12" s="8" t="s">
        <v>820</v>
      </c>
      <c r="C12" s="316"/>
    </row>
    <row r="13" spans="1:3" ht="12.75">
      <c r="A13" s="440" t="s">
        <v>670</v>
      </c>
      <c r="B13" s="8" t="s">
        <v>821</v>
      </c>
      <c r="C13" s="316"/>
    </row>
    <row r="14" spans="1:3" ht="12.75">
      <c r="A14" s="440" t="s">
        <v>629</v>
      </c>
      <c r="B14" s="8" t="s">
        <v>164</v>
      </c>
      <c r="C14" s="316"/>
    </row>
    <row r="15" spans="1:3" ht="12.75">
      <c r="A15" s="440" t="s">
        <v>630</v>
      </c>
      <c r="B15" s="7" t="s">
        <v>165</v>
      </c>
      <c r="C15" s="316"/>
    </row>
    <row r="16" spans="1:3" ht="12.75">
      <c r="A16" s="440" t="s">
        <v>640</v>
      </c>
      <c r="B16" s="8" t="s">
        <v>824</v>
      </c>
      <c r="C16" s="366"/>
    </row>
    <row r="17" spans="1:3" ht="12.75">
      <c r="A17" s="440" t="s">
        <v>641</v>
      </c>
      <c r="B17" s="8" t="s">
        <v>825</v>
      </c>
      <c r="C17" s="316"/>
    </row>
    <row r="18" spans="1:3" ht="13.5" thickBot="1">
      <c r="A18" s="440" t="s">
        <v>642</v>
      </c>
      <c r="B18" s="7" t="s">
        <v>826</v>
      </c>
      <c r="C18" s="317"/>
    </row>
    <row r="19" spans="1:3" ht="13.5" thickBot="1">
      <c r="A19" s="201" t="s">
        <v>543</v>
      </c>
      <c r="B19" s="239" t="s">
        <v>166</v>
      </c>
      <c r="C19" s="318">
        <f>SUM(C20:C22)</f>
        <v>0</v>
      </c>
    </row>
    <row r="20" spans="1:3" ht="12.75">
      <c r="A20" s="440" t="s">
        <v>631</v>
      </c>
      <c r="B20" s="9" t="s">
        <v>792</v>
      </c>
      <c r="C20" s="316"/>
    </row>
    <row r="21" spans="1:3" ht="12.75">
      <c r="A21" s="440" t="s">
        <v>632</v>
      </c>
      <c r="B21" s="8" t="s">
        <v>167</v>
      </c>
      <c r="C21" s="316"/>
    </row>
    <row r="22" spans="1:3" ht="12.75">
      <c r="A22" s="440" t="s">
        <v>633</v>
      </c>
      <c r="B22" s="8" t="s">
        <v>168</v>
      </c>
      <c r="C22" s="316"/>
    </row>
    <row r="23" spans="1:3" ht="13.5" thickBot="1">
      <c r="A23" s="440" t="s">
        <v>634</v>
      </c>
      <c r="B23" s="8" t="s">
        <v>526</v>
      </c>
      <c r="C23" s="316"/>
    </row>
    <row r="24" spans="1:3" ht="13.5" thickBot="1">
      <c r="A24" s="209" t="s">
        <v>544</v>
      </c>
      <c r="B24" s="124" t="s">
        <v>696</v>
      </c>
      <c r="C24" s="345"/>
    </row>
    <row r="25" spans="1:3" ht="13.5" thickBot="1">
      <c r="A25" s="209" t="s">
        <v>545</v>
      </c>
      <c r="B25" s="124" t="s">
        <v>169</v>
      </c>
      <c r="C25" s="318">
        <f>+C26+C27</f>
        <v>0</v>
      </c>
    </row>
    <row r="26" spans="1:3" ht="12.75">
      <c r="A26" s="441" t="s">
        <v>802</v>
      </c>
      <c r="B26" s="442" t="s">
        <v>167</v>
      </c>
      <c r="C26" s="78"/>
    </row>
    <row r="27" spans="1:3" ht="12.75">
      <c r="A27" s="441" t="s">
        <v>805</v>
      </c>
      <c r="B27" s="443" t="s">
        <v>170</v>
      </c>
      <c r="C27" s="319"/>
    </row>
    <row r="28" spans="1:3" ht="13.5" thickBot="1">
      <c r="A28" s="440" t="s">
        <v>806</v>
      </c>
      <c r="B28" s="444" t="s">
        <v>171</v>
      </c>
      <c r="C28" s="85"/>
    </row>
    <row r="29" spans="1:3" ht="13.5" thickBot="1">
      <c r="A29" s="209" t="s">
        <v>546</v>
      </c>
      <c r="B29" s="124" t="s">
        <v>172</v>
      </c>
      <c r="C29" s="318">
        <f>+C30+C31+C32</f>
        <v>0</v>
      </c>
    </row>
    <row r="30" spans="1:3" ht="12.75">
      <c r="A30" s="441" t="s">
        <v>618</v>
      </c>
      <c r="B30" s="442" t="s">
        <v>831</v>
      </c>
      <c r="C30" s="78"/>
    </row>
    <row r="31" spans="1:3" ht="12.75">
      <c r="A31" s="441" t="s">
        <v>619</v>
      </c>
      <c r="B31" s="443" t="s">
        <v>832</v>
      </c>
      <c r="C31" s="319"/>
    </row>
    <row r="32" spans="1:3" ht="13.5" thickBot="1">
      <c r="A32" s="440" t="s">
        <v>620</v>
      </c>
      <c r="B32" s="140" t="s">
        <v>833</v>
      </c>
      <c r="C32" s="85"/>
    </row>
    <row r="33" spans="1:3" ht="13.5" thickBot="1">
      <c r="A33" s="209" t="s">
        <v>547</v>
      </c>
      <c r="B33" s="124" t="s">
        <v>117</v>
      </c>
      <c r="C33" s="345"/>
    </row>
    <row r="34" spans="1:3" ht="13.5" thickBot="1">
      <c r="A34" s="209" t="s">
        <v>548</v>
      </c>
      <c r="B34" s="124" t="s">
        <v>173</v>
      </c>
      <c r="C34" s="367"/>
    </row>
    <row r="35" spans="1:3" ht="13.5" thickBot="1">
      <c r="A35" s="201" t="s">
        <v>549</v>
      </c>
      <c r="B35" s="124" t="s">
        <v>174</v>
      </c>
      <c r="C35" s="368">
        <f>+C8+C19+C24+C25+C29+C33+C34</f>
        <v>0</v>
      </c>
    </row>
    <row r="36" spans="1:3" ht="13.5" thickBot="1">
      <c r="A36" s="240" t="s">
        <v>550</v>
      </c>
      <c r="B36" s="124" t="s">
        <v>175</v>
      </c>
      <c r="C36" s="368">
        <f>+C37+C38+C39</f>
        <v>0</v>
      </c>
    </row>
    <row r="37" spans="1:3" ht="12.75">
      <c r="A37" s="441" t="s">
        <v>176</v>
      </c>
      <c r="B37" s="442" t="s">
        <v>764</v>
      </c>
      <c r="C37" s="78"/>
    </row>
    <row r="38" spans="1:3" ht="12.75">
      <c r="A38" s="441" t="s">
        <v>177</v>
      </c>
      <c r="B38" s="443" t="s">
        <v>527</v>
      </c>
      <c r="C38" s="319"/>
    </row>
    <row r="39" spans="1:3" ht="13.5" thickBot="1">
      <c r="A39" s="440" t="s">
        <v>178</v>
      </c>
      <c r="B39" s="140" t="s">
        <v>179</v>
      </c>
      <c r="C39" s="85"/>
    </row>
    <row r="40" spans="1:3" ht="13.5" thickBot="1">
      <c r="A40" s="240" t="s">
        <v>551</v>
      </c>
      <c r="B40" s="241" t="s">
        <v>180</v>
      </c>
      <c r="C40" s="371">
        <f>+C35+C36</f>
        <v>0</v>
      </c>
    </row>
    <row r="41" spans="1:3" ht="13.5" thickBot="1">
      <c r="A41" s="242"/>
      <c r="B41" s="243"/>
      <c r="C41" s="369"/>
    </row>
    <row r="42" spans="1:3" ht="13.5" thickBot="1">
      <c r="A42" s="246"/>
      <c r="B42" s="247" t="s">
        <v>581</v>
      </c>
      <c r="C42" s="371"/>
    </row>
    <row r="43" spans="1:3" ht="13.5" thickBot="1">
      <c r="A43" s="209" t="s">
        <v>542</v>
      </c>
      <c r="B43" s="124" t="s">
        <v>181</v>
      </c>
      <c r="C43" s="318">
        <f>SUM(C44:C48)</f>
        <v>0</v>
      </c>
    </row>
    <row r="44" spans="1:3" ht="12.75">
      <c r="A44" s="440" t="s">
        <v>625</v>
      </c>
      <c r="B44" s="9" t="s">
        <v>572</v>
      </c>
      <c r="C44" s="78"/>
    </row>
    <row r="45" spans="1:3" ht="12.75">
      <c r="A45" s="440" t="s">
        <v>626</v>
      </c>
      <c r="B45" s="8" t="s">
        <v>705</v>
      </c>
      <c r="C45" s="81"/>
    </row>
    <row r="46" spans="1:3" ht="12.75">
      <c r="A46" s="440" t="s">
        <v>627</v>
      </c>
      <c r="B46" s="8" t="s">
        <v>662</v>
      </c>
      <c r="C46" s="81"/>
    </row>
    <row r="47" spans="1:3" ht="12.75">
      <c r="A47" s="440" t="s">
        <v>628</v>
      </c>
      <c r="B47" s="8" t="s">
        <v>706</v>
      </c>
      <c r="C47" s="81"/>
    </row>
    <row r="48" spans="1:3" ht="13.5" thickBot="1">
      <c r="A48" s="440" t="s">
        <v>670</v>
      </c>
      <c r="B48" s="8" t="s">
        <v>707</v>
      </c>
      <c r="C48" s="81"/>
    </row>
    <row r="49" spans="1:3" ht="13.5" thickBot="1">
      <c r="A49" s="209" t="s">
        <v>543</v>
      </c>
      <c r="B49" s="124" t="s">
        <v>182</v>
      </c>
      <c r="C49" s="318">
        <f>SUM(C50:C52)</f>
        <v>0</v>
      </c>
    </row>
    <row r="50" spans="1:3" ht="12.75">
      <c r="A50" s="440" t="s">
        <v>631</v>
      </c>
      <c r="B50" s="9" t="s">
        <v>754</v>
      </c>
      <c r="C50" s="78"/>
    </row>
    <row r="51" spans="1:3" ht="12.75">
      <c r="A51" s="440" t="s">
        <v>632</v>
      </c>
      <c r="B51" s="8" t="s">
        <v>709</v>
      </c>
      <c r="C51" s="81"/>
    </row>
    <row r="52" spans="1:3" ht="12.75">
      <c r="A52" s="440" t="s">
        <v>633</v>
      </c>
      <c r="B52" s="8" t="s">
        <v>582</v>
      </c>
      <c r="C52" s="81"/>
    </row>
    <row r="53" spans="1:3" ht="13.5" thickBot="1">
      <c r="A53" s="440" t="s">
        <v>634</v>
      </c>
      <c r="B53" s="8" t="s">
        <v>528</v>
      </c>
      <c r="C53" s="81"/>
    </row>
    <row r="54" spans="1:3" ht="13.5" thickBot="1">
      <c r="A54" s="209" t="s">
        <v>544</v>
      </c>
      <c r="B54" s="248" t="s">
        <v>183</v>
      </c>
      <c r="C54" s="372">
        <f>+C43+C49</f>
        <v>0</v>
      </c>
    </row>
    <row r="55" spans="1:3" ht="13.5" thickBot="1">
      <c r="A55" s="249"/>
      <c r="B55" s="250"/>
      <c r="C55" s="373"/>
    </row>
    <row r="56" spans="1:3" ht="13.5" thickBot="1">
      <c r="A56" s="251" t="s">
        <v>728</v>
      </c>
      <c r="B56" s="252"/>
      <c r="C56" s="121"/>
    </row>
    <row r="57" spans="1:3" ht="13.5" thickBot="1">
      <c r="A57" s="251" t="s">
        <v>729</v>
      </c>
      <c r="B57" s="252"/>
      <c r="C57" s="121"/>
    </row>
    <row r="58" spans="1:3" ht="12.75">
      <c r="A58" s="249"/>
      <c r="B58" s="250"/>
      <c r="C58" s="250"/>
    </row>
    <row r="59" spans="1:3" ht="12.75">
      <c r="A59" s="249"/>
      <c r="B59" s="250"/>
      <c r="C59" s="250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0"/>
  <sheetViews>
    <sheetView view="pageLayout" zoomScaleNormal="120" zoomScaleSheetLayoutView="100" workbookViewId="0" topLeftCell="A1">
      <selection activeCell="C94" sqref="C94"/>
    </sheetView>
  </sheetViews>
  <sheetFormatPr defaultColWidth="9.00390625" defaultRowHeight="12.75"/>
  <cols>
    <col min="1" max="1" width="9.50390625" style="381" customWidth="1"/>
    <col min="2" max="2" width="91.625" style="381" customWidth="1"/>
    <col min="3" max="3" width="21.625" style="382" customWidth="1"/>
    <col min="4" max="4" width="9.00390625" style="404" customWidth="1"/>
    <col min="5" max="16384" width="9.375" style="404" customWidth="1"/>
  </cols>
  <sheetData>
    <row r="1" spans="1:3" ht="15.75" customHeight="1">
      <c r="A1" s="1062" t="s">
        <v>539</v>
      </c>
      <c r="B1" s="1062"/>
      <c r="C1" s="1062"/>
    </row>
    <row r="2" spans="1:3" ht="15.75" customHeight="1" thickBot="1">
      <c r="A2" s="1061" t="s">
        <v>674</v>
      </c>
      <c r="B2" s="1061"/>
      <c r="C2" s="308"/>
    </row>
    <row r="3" spans="1:3" ht="37.5" customHeight="1" thickBot="1">
      <c r="A3" s="23" t="s">
        <v>595</v>
      </c>
      <c r="B3" s="24" t="s">
        <v>541</v>
      </c>
      <c r="C3" s="39" t="s">
        <v>447</v>
      </c>
    </row>
    <row r="4" spans="1:3" s="405" customFormat="1" ht="12" customHeight="1" thickBot="1">
      <c r="A4" s="399">
        <v>1</v>
      </c>
      <c r="B4" s="400">
        <v>2</v>
      </c>
      <c r="C4" s="401">
        <v>3</v>
      </c>
    </row>
    <row r="5" spans="1:3" s="406" customFormat="1" ht="12" customHeight="1" thickBot="1">
      <c r="A5" s="20" t="s">
        <v>542</v>
      </c>
      <c r="B5" s="21" t="s">
        <v>784</v>
      </c>
      <c r="C5" s="298">
        <f>+C6+C7+C8+C9+C10+C11</f>
        <v>293199529</v>
      </c>
    </row>
    <row r="6" spans="1:3" s="406" customFormat="1" ht="12" customHeight="1">
      <c r="A6" s="15" t="s">
        <v>625</v>
      </c>
      <c r="B6" s="407" t="s">
        <v>785</v>
      </c>
      <c r="C6" s="301">
        <f>'1.1.melléklet'!C6-'1.3.melléklet'!C6-'1.4.melléklet'!C6</f>
        <v>26883797</v>
      </c>
    </row>
    <row r="7" spans="1:3" s="406" customFormat="1" ht="12" customHeight="1">
      <c r="A7" s="14" t="s">
        <v>626</v>
      </c>
      <c r="B7" s="408" t="s">
        <v>786</v>
      </c>
      <c r="C7" s="301">
        <f>'1.1.melléklet'!C7-'1.3.melléklet'!C7-'1.4.melléklet'!C7</f>
        <v>123139166</v>
      </c>
    </row>
    <row r="8" spans="1:3" s="406" customFormat="1" ht="12" customHeight="1">
      <c r="A8" s="14" t="s">
        <v>627</v>
      </c>
      <c r="B8" s="408" t="s">
        <v>787</v>
      </c>
      <c r="C8" s="301">
        <f>'1.1.melléklet'!C8-'1.3.melléklet'!C8-'1.4.melléklet'!C8</f>
        <v>136398531</v>
      </c>
    </row>
    <row r="9" spans="1:3" s="406" customFormat="1" ht="12" customHeight="1">
      <c r="A9" s="14" t="s">
        <v>628</v>
      </c>
      <c r="B9" s="408" t="s">
        <v>788</v>
      </c>
      <c r="C9" s="301">
        <f>'1.1.melléklet'!C9-'1.3.melléklet'!C9-'1.4.melléklet'!C9</f>
        <v>6271140</v>
      </c>
    </row>
    <row r="10" spans="1:3" s="406" customFormat="1" ht="12" customHeight="1">
      <c r="A10" s="14" t="s">
        <v>670</v>
      </c>
      <c r="B10" s="408" t="s">
        <v>789</v>
      </c>
      <c r="C10" s="301">
        <f>'1.1.melléklet'!C10-'1.3.melléklet'!C10-'1.4.melléklet'!C10</f>
        <v>506895</v>
      </c>
    </row>
    <row r="11" spans="1:3" s="406" customFormat="1" ht="12" customHeight="1" thickBot="1">
      <c r="A11" s="16" t="s">
        <v>629</v>
      </c>
      <c r="B11" s="409" t="s">
        <v>790</v>
      </c>
      <c r="C11" s="914">
        <f>'1.1.melléklet'!C11-'1.3.melléklet'!C11-'1.4.melléklet'!C11</f>
        <v>0</v>
      </c>
    </row>
    <row r="12" spans="1:3" s="406" customFormat="1" ht="12" customHeight="1" thickBot="1">
      <c r="A12" s="20" t="s">
        <v>543</v>
      </c>
      <c r="B12" s="293" t="s">
        <v>791</v>
      </c>
      <c r="C12" s="915">
        <f>'1.1.melléklet'!C12-'1.3.melléklet'!C12-'1.4.melléklet'!C12</f>
        <v>10280000</v>
      </c>
    </row>
    <row r="13" spans="1:3" s="406" customFormat="1" ht="12" customHeight="1">
      <c r="A13" s="15" t="s">
        <v>631</v>
      </c>
      <c r="B13" s="407" t="s">
        <v>792</v>
      </c>
      <c r="C13" s="301">
        <f>'1.1.melléklet'!C13-'1.3.melléklet'!C13-'1.4.melléklet'!C13</f>
        <v>0</v>
      </c>
    </row>
    <row r="14" spans="1:3" s="406" customFormat="1" ht="12" customHeight="1">
      <c r="A14" s="14" t="s">
        <v>632</v>
      </c>
      <c r="B14" s="408" t="s">
        <v>793</v>
      </c>
      <c r="C14" s="301">
        <f>'1.1.melléklet'!C14-'1.3.melléklet'!C14-'1.4.melléklet'!C14</f>
        <v>0</v>
      </c>
    </row>
    <row r="15" spans="1:3" s="406" customFormat="1" ht="12" customHeight="1">
      <c r="A15" s="14" t="s">
        <v>633</v>
      </c>
      <c r="B15" s="408" t="s">
        <v>360</v>
      </c>
      <c r="C15" s="301">
        <f>'1.1.melléklet'!C15-'1.3.melléklet'!C15-'1.4.melléklet'!C15</f>
        <v>10280000</v>
      </c>
    </row>
    <row r="16" spans="1:3" s="406" customFormat="1" ht="12" customHeight="1">
      <c r="A16" s="14" t="s">
        <v>634</v>
      </c>
      <c r="B16" s="408" t="s">
        <v>361</v>
      </c>
      <c r="C16" s="301">
        <f>'1.1.melléklet'!C16-'1.3.melléklet'!C16-'1.4.melléklet'!C16</f>
        <v>0</v>
      </c>
    </row>
    <row r="17" spans="1:3" s="406" customFormat="1" ht="12" customHeight="1">
      <c r="A17" s="14" t="s">
        <v>635</v>
      </c>
      <c r="B17" s="408" t="s">
        <v>362</v>
      </c>
      <c r="C17" s="301">
        <f>'1.1.melléklet'!C17-'1.3.melléklet'!C17-'1.4.melléklet'!C17</f>
        <v>0</v>
      </c>
    </row>
    <row r="18" spans="1:3" s="406" customFormat="1" ht="12" customHeight="1" thickBot="1">
      <c r="A18" s="16" t="s">
        <v>644</v>
      </c>
      <c r="B18" s="409" t="s">
        <v>795</v>
      </c>
      <c r="C18" s="914">
        <f>'1.1.melléklet'!C18-'1.3.melléklet'!C18-'1.4.melléklet'!C18</f>
        <v>0</v>
      </c>
    </row>
    <row r="19" spans="1:3" s="406" customFormat="1" ht="12" customHeight="1" thickBot="1">
      <c r="A19" s="20" t="s">
        <v>544</v>
      </c>
      <c r="B19" s="21" t="s">
        <v>796</v>
      </c>
      <c r="C19" s="915">
        <f>'1.1.melléklet'!C19-'1.3.melléklet'!C19-'1.4.melléklet'!C19</f>
        <v>157449027</v>
      </c>
    </row>
    <row r="20" spans="1:3" s="406" customFormat="1" ht="12" customHeight="1">
      <c r="A20" s="15" t="s">
        <v>614</v>
      </c>
      <c r="B20" s="407" t="s">
        <v>797</v>
      </c>
      <c r="C20" s="301">
        <f>'1.1.melléklet'!C20-'1.3.melléklet'!C20-'1.4.melléklet'!C20</f>
        <v>0</v>
      </c>
    </row>
    <row r="21" spans="1:3" s="406" customFormat="1" ht="12" customHeight="1">
      <c r="A21" s="14" t="s">
        <v>615</v>
      </c>
      <c r="B21" s="408" t="s">
        <v>798</v>
      </c>
      <c r="C21" s="301">
        <f>'1.1.melléklet'!C21-'1.3.melléklet'!C21-'1.4.melléklet'!C21</f>
        <v>0</v>
      </c>
    </row>
    <row r="22" spans="1:3" s="406" customFormat="1" ht="12" customHeight="1">
      <c r="A22" s="14" t="s">
        <v>616</v>
      </c>
      <c r="B22" s="408" t="s">
        <v>193</v>
      </c>
      <c r="C22" s="301">
        <f>'1.1.melléklet'!C22-'1.3.melléklet'!C22-'1.4.melléklet'!C22</f>
        <v>0</v>
      </c>
    </row>
    <row r="23" spans="1:3" s="406" customFormat="1" ht="12" customHeight="1">
      <c r="A23" s="14" t="s">
        <v>617</v>
      </c>
      <c r="B23" s="408" t="s">
        <v>351</v>
      </c>
      <c r="C23" s="301">
        <f>'1.1.melléklet'!C23-'1.3.melléklet'!C23-'1.4.melléklet'!C23</f>
        <v>133390721</v>
      </c>
    </row>
    <row r="24" spans="1:3" s="406" customFormat="1" ht="12" customHeight="1">
      <c r="A24" s="14" t="s">
        <v>693</v>
      </c>
      <c r="B24" s="408" t="s">
        <v>21</v>
      </c>
      <c r="C24" s="301">
        <f>'1.1.melléklet'!C24-'1.3.melléklet'!C24-'1.4.melléklet'!C24</f>
        <v>24058306</v>
      </c>
    </row>
    <row r="25" spans="1:3" s="406" customFormat="1" ht="12" customHeight="1" thickBot="1">
      <c r="A25" s="16" t="s">
        <v>694</v>
      </c>
      <c r="B25" s="409" t="s">
        <v>800</v>
      </c>
      <c r="C25" s="914">
        <f>'1.1.melléklet'!C25-'1.3.melléklet'!C25-'1.4.melléklet'!C25</f>
        <v>0</v>
      </c>
    </row>
    <row r="26" spans="1:3" s="406" customFormat="1" ht="12" customHeight="1" thickBot="1">
      <c r="A26" s="20" t="s">
        <v>695</v>
      </c>
      <c r="B26" s="21" t="s">
        <v>801</v>
      </c>
      <c r="C26" s="915">
        <f>'1.1.melléklet'!C26-'1.3.melléklet'!C26-'1.4.melléklet'!C26</f>
        <v>145800000</v>
      </c>
    </row>
    <row r="27" spans="1:3" s="406" customFormat="1" ht="12" customHeight="1">
      <c r="A27" s="15" t="s">
        <v>802</v>
      </c>
      <c r="B27" s="407" t="s">
        <v>808</v>
      </c>
      <c r="C27" s="301">
        <f>'1.1.melléklet'!C27-'1.3.melléklet'!C27-'1.4.melléklet'!C27</f>
        <v>125800000</v>
      </c>
    </row>
    <row r="28" spans="1:3" s="406" customFormat="1" ht="12" customHeight="1">
      <c r="A28" s="14" t="s">
        <v>803</v>
      </c>
      <c r="B28" s="644" t="s">
        <v>353</v>
      </c>
      <c r="C28" s="301">
        <f>'1.1.melléklet'!C28-'1.3.melléklet'!C28-'1.4.melléklet'!C28</f>
        <v>5800000</v>
      </c>
    </row>
    <row r="29" spans="1:3" s="406" customFormat="1" ht="12" customHeight="1">
      <c r="A29" s="14" t="s">
        <v>804</v>
      </c>
      <c r="B29" s="644" t="s">
        <v>354</v>
      </c>
      <c r="C29" s="301">
        <f>'1.1.melléklet'!C29-'1.3.melléklet'!C29-'1.4.melléklet'!C29</f>
        <v>120000000</v>
      </c>
    </row>
    <row r="30" spans="1:3" s="406" customFormat="1" ht="12" customHeight="1">
      <c r="A30" s="14" t="s">
        <v>805</v>
      </c>
      <c r="B30" s="408" t="s">
        <v>811</v>
      </c>
      <c r="C30" s="301">
        <f>'1.1.melléklet'!C30-'1.3.melléklet'!C30-'1.4.melléklet'!C30</f>
        <v>18000000</v>
      </c>
    </row>
    <row r="31" spans="1:3" s="406" customFormat="1" ht="12" customHeight="1">
      <c r="A31" s="14" t="s">
        <v>806</v>
      </c>
      <c r="B31" s="408" t="s">
        <v>812</v>
      </c>
      <c r="C31" s="301">
        <f>'1.1.melléklet'!C31-'1.3.melléklet'!C31-'1.4.melléklet'!C31</f>
        <v>300000</v>
      </c>
    </row>
    <row r="32" spans="1:3" s="406" customFormat="1" ht="12" customHeight="1">
      <c r="A32" s="16" t="s">
        <v>807</v>
      </c>
      <c r="B32" s="409" t="s">
        <v>322</v>
      </c>
      <c r="C32" s="301">
        <f>'1.1.melléklet'!C32-'1.3.melléklet'!C32-'1.4.melléklet'!C32</f>
        <v>900000</v>
      </c>
    </row>
    <row r="33" spans="1:3" s="406" customFormat="1" ht="12" customHeight="1" thickBot="1">
      <c r="A33" s="16" t="s">
        <v>320</v>
      </c>
      <c r="B33" s="409" t="s">
        <v>813</v>
      </c>
      <c r="C33" s="914"/>
    </row>
    <row r="34" spans="1:3" s="406" customFormat="1" ht="12" customHeight="1" thickBot="1">
      <c r="A34" s="20" t="s">
        <v>546</v>
      </c>
      <c r="B34" s="21" t="s">
        <v>814</v>
      </c>
      <c r="C34" s="915">
        <f>C36+C37+C38+C39:D39+C40:D40+C42+C41+C44</f>
        <v>112661900</v>
      </c>
    </row>
    <row r="35" spans="1:3" s="406" customFormat="1" ht="12" customHeight="1">
      <c r="A35" s="15" t="s">
        <v>618</v>
      </c>
      <c r="B35" s="407" t="s">
        <v>817</v>
      </c>
      <c r="C35" s="301"/>
    </row>
    <row r="36" spans="1:3" s="406" customFormat="1" ht="12" customHeight="1">
      <c r="A36" s="14" t="s">
        <v>619</v>
      </c>
      <c r="B36" s="408" t="s">
        <v>818</v>
      </c>
      <c r="C36" s="301">
        <v>7350000</v>
      </c>
    </row>
    <row r="37" spans="1:3" s="406" customFormat="1" ht="12" customHeight="1">
      <c r="A37" s="14" t="s">
        <v>620</v>
      </c>
      <c r="B37" s="408" t="s">
        <v>819</v>
      </c>
      <c r="C37" s="301">
        <f>'1.1.melléklet'!C37-'1.3.melléklet'!C37-'1.4.melléklet'!C37</f>
        <v>300000</v>
      </c>
    </row>
    <row r="38" spans="1:3" s="406" customFormat="1" ht="12" customHeight="1">
      <c r="A38" s="14" t="s">
        <v>697</v>
      </c>
      <c r="B38" s="408" t="s">
        <v>820</v>
      </c>
      <c r="C38" s="301">
        <f>'1.1.melléklet'!C38-'1.3.melléklet'!C38-'1.4.melléklet'!C38</f>
        <v>3200000</v>
      </c>
    </row>
    <row r="39" spans="1:3" s="406" customFormat="1" ht="12" customHeight="1">
      <c r="A39" s="14" t="s">
        <v>698</v>
      </c>
      <c r="B39" s="408" t="s">
        <v>821</v>
      </c>
      <c r="C39" s="301">
        <f>'1.1.melléklet'!C39-'1.3.melléklet'!C39-'1.4.melléklet'!C39</f>
        <v>81231900</v>
      </c>
    </row>
    <row r="40" spans="1:3" s="406" customFormat="1" ht="12" customHeight="1">
      <c r="A40" s="14" t="s">
        <v>699</v>
      </c>
      <c r="B40" s="408" t="s">
        <v>822</v>
      </c>
      <c r="C40" s="301">
        <f>'1.1.melléklet'!C40-'1.3.melléklet'!C40-'1.4.melléklet'!C40</f>
        <v>3280000</v>
      </c>
    </row>
    <row r="41" spans="1:3" s="406" customFormat="1" ht="12" customHeight="1">
      <c r="A41" s="14" t="s">
        <v>700</v>
      </c>
      <c r="B41" s="408" t="s">
        <v>823</v>
      </c>
      <c r="C41" s="301">
        <f>'1.1.melléklet'!C41-'1.3.melléklet'!C41-'1.4.melléklet'!C41</f>
        <v>9300000</v>
      </c>
    </row>
    <row r="42" spans="1:3" s="406" customFormat="1" ht="12" customHeight="1">
      <c r="A42" s="14" t="s">
        <v>701</v>
      </c>
      <c r="B42" s="408" t="s">
        <v>824</v>
      </c>
      <c r="C42" s="301">
        <f>'1.1.melléklet'!C42-'1.3.melléklet'!C42-'1.4.melléklet'!C42</f>
        <v>1000000</v>
      </c>
    </row>
    <row r="43" spans="1:3" s="406" customFormat="1" ht="12" customHeight="1">
      <c r="A43" s="14" t="s">
        <v>815</v>
      </c>
      <c r="B43" s="408" t="s">
        <v>825</v>
      </c>
      <c r="C43" s="301">
        <f>'1.1.melléklet'!C43-'1.3.melléklet'!C43-'1.4.melléklet'!C43</f>
        <v>0</v>
      </c>
    </row>
    <row r="44" spans="1:3" s="406" customFormat="1" ht="12" customHeight="1" thickBot="1">
      <c r="A44" s="16" t="s">
        <v>816</v>
      </c>
      <c r="B44" s="409" t="s">
        <v>826</v>
      </c>
      <c r="C44" s="914">
        <f>'1.1.melléklet'!C44-'1.3.melléklet'!C44-'1.4.melléklet'!C44</f>
        <v>7000000</v>
      </c>
    </row>
    <row r="45" spans="1:3" s="406" customFormat="1" ht="12" customHeight="1" thickBot="1">
      <c r="A45" s="20" t="s">
        <v>547</v>
      </c>
      <c r="B45" s="21" t="s">
        <v>827</v>
      </c>
      <c r="C45" s="915">
        <f>'1.1.melléklet'!C45-'1.3.melléklet'!C45-'1.4.melléklet'!C45</f>
        <v>0</v>
      </c>
    </row>
    <row r="46" spans="1:3" s="406" customFormat="1" ht="12" customHeight="1">
      <c r="A46" s="15" t="s">
        <v>621</v>
      </c>
      <c r="B46" s="407" t="s">
        <v>831</v>
      </c>
      <c r="C46" s="301">
        <f>'1.1.melléklet'!C46-'1.3.melléklet'!C46-'1.4.melléklet'!C46</f>
        <v>0</v>
      </c>
    </row>
    <row r="47" spans="1:3" s="406" customFormat="1" ht="12" customHeight="1">
      <c r="A47" s="14" t="s">
        <v>622</v>
      </c>
      <c r="B47" s="408" t="s">
        <v>832</v>
      </c>
      <c r="C47" s="301">
        <f>'1.1.melléklet'!C47-'1.3.melléklet'!C47-'1.4.melléklet'!C47</f>
        <v>0</v>
      </c>
    </row>
    <row r="48" spans="1:3" s="406" customFormat="1" ht="12" customHeight="1">
      <c r="A48" s="14" t="s">
        <v>828</v>
      </c>
      <c r="B48" s="408" t="s">
        <v>833</v>
      </c>
      <c r="C48" s="301">
        <f>'1.1.melléklet'!C48-'1.3.melléklet'!C48-'1.4.melléklet'!C48</f>
        <v>0</v>
      </c>
    </row>
    <row r="49" spans="1:3" s="406" customFormat="1" ht="12" customHeight="1">
      <c r="A49" s="14" t="s">
        <v>829</v>
      </c>
      <c r="B49" s="408" t="s">
        <v>834</v>
      </c>
      <c r="C49" s="301">
        <f>'1.1.melléklet'!C49-'1.3.melléklet'!C49-'1.4.melléklet'!C49</f>
        <v>0</v>
      </c>
    </row>
    <row r="50" spans="1:3" s="406" customFormat="1" ht="12" customHeight="1" thickBot="1">
      <c r="A50" s="16" t="s">
        <v>830</v>
      </c>
      <c r="B50" s="409" t="s">
        <v>835</v>
      </c>
      <c r="C50" s="914">
        <f>'1.1.melléklet'!C50-'1.3.melléklet'!C50-'1.4.melléklet'!C50</f>
        <v>0</v>
      </c>
    </row>
    <row r="51" spans="1:3" s="406" customFormat="1" ht="12" customHeight="1" thickBot="1">
      <c r="A51" s="20" t="s">
        <v>702</v>
      </c>
      <c r="B51" s="21" t="s">
        <v>836</v>
      </c>
      <c r="C51" s="915">
        <f>'1.1.melléklet'!C51-'1.3.melléklet'!C51-'1.4.melléklet'!C51</f>
        <v>0</v>
      </c>
    </row>
    <row r="52" spans="1:3" s="406" customFormat="1" ht="12" customHeight="1">
      <c r="A52" s="15" t="s">
        <v>623</v>
      </c>
      <c r="B52" s="407" t="s">
        <v>837</v>
      </c>
      <c r="C52" s="301">
        <f>'1.1.melléklet'!C52-'1.3.melléklet'!C52-'1.4.melléklet'!C52</f>
        <v>0</v>
      </c>
    </row>
    <row r="53" spans="1:3" s="406" customFormat="1" ht="12" customHeight="1">
      <c r="A53" s="14" t="s">
        <v>624</v>
      </c>
      <c r="B53" s="408" t="s">
        <v>340</v>
      </c>
      <c r="C53" s="301">
        <f>'1.1.melléklet'!C53-'1.3.melléklet'!C53-'1.4.melléklet'!C53</f>
        <v>0</v>
      </c>
    </row>
    <row r="54" spans="1:3" s="406" customFormat="1" ht="12" customHeight="1">
      <c r="A54" s="14" t="s">
        <v>840</v>
      </c>
      <c r="B54" s="408" t="s">
        <v>342</v>
      </c>
      <c r="C54" s="301">
        <f>'1.1.melléklet'!C54-'1.3.melléklet'!C54-'1.4.melléklet'!C54</f>
        <v>0</v>
      </c>
    </row>
    <row r="55" spans="1:3" s="406" customFormat="1" ht="12" customHeight="1" thickBot="1">
      <c r="A55" s="16" t="s">
        <v>841</v>
      </c>
      <c r="B55" s="409" t="s">
        <v>839</v>
      </c>
      <c r="C55" s="914">
        <f>'1.1.melléklet'!C55-'1.3.melléklet'!C55-'1.4.melléklet'!C55</f>
        <v>0</v>
      </c>
    </row>
    <row r="56" spans="1:3" s="406" customFormat="1" ht="12" customHeight="1" thickBot="1">
      <c r="A56" s="20" t="s">
        <v>549</v>
      </c>
      <c r="B56" s="293" t="s">
        <v>842</v>
      </c>
      <c r="C56" s="915">
        <f>'1.1.melléklet'!C56-'1.3.melléklet'!C56-'1.4.melléklet'!C56</f>
        <v>0</v>
      </c>
    </row>
    <row r="57" spans="1:3" s="406" customFormat="1" ht="12" customHeight="1">
      <c r="A57" s="15" t="s">
        <v>703</v>
      </c>
      <c r="B57" s="407" t="s">
        <v>844</v>
      </c>
      <c r="C57" s="301">
        <f>'1.1.melléklet'!C57-'1.3.melléklet'!C57-'1.4.melléklet'!C57</f>
        <v>0</v>
      </c>
    </row>
    <row r="58" spans="1:3" s="406" customFormat="1" ht="12" customHeight="1">
      <c r="A58" s="14" t="s">
        <v>704</v>
      </c>
      <c r="B58" s="408" t="s">
        <v>196</v>
      </c>
      <c r="C58" s="301">
        <f>'1.1.melléklet'!C58-'1.3.melléklet'!C58-'1.4.melléklet'!C58</f>
        <v>0</v>
      </c>
    </row>
    <row r="59" spans="1:3" s="406" customFormat="1" ht="12" customHeight="1">
      <c r="A59" s="14" t="s">
        <v>756</v>
      </c>
      <c r="B59" s="408" t="s">
        <v>357</v>
      </c>
      <c r="C59" s="301"/>
    </row>
    <row r="60" spans="1:3" s="406" customFormat="1" ht="12" customHeight="1" thickBot="1">
      <c r="A60" s="16" t="s">
        <v>843</v>
      </c>
      <c r="B60" s="409" t="s">
        <v>846</v>
      </c>
      <c r="C60" s="914"/>
    </row>
    <row r="61" spans="1:3" s="406" customFormat="1" ht="12" customHeight="1" thickBot="1">
      <c r="A61" s="20" t="s">
        <v>550</v>
      </c>
      <c r="B61" s="21" t="s">
        <v>847</v>
      </c>
      <c r="C61" s="915">
        <f>C56+C51+C45+C34+C26+C19+C12+C5</f>
        <v>719390456</v>
      </c>
    </row>
    <row r="62" spans="1:3" s="406" customFormat="1" ht="12" customHeight="1" thickBot="1">
      <c r="A62" s="410" t="s">
        <v>848</v>
      </c>
      <c r="B62" s="293" t="s">
        <v>849</v>
      </c>
      <c r="C62" s="915"/>
    </row>
    <row r="63" spans="1:3" s="406" customFormat="1" ht="12" customHeight="1">
      <c r="A63" s="15" t="s">
        <v>54</v>
      </c>
      <c r="B63" s="407" t="s">
        <v>850</v>
      </c>
      <c r="C63" s="301">
        <f>'1.1.melléklet'!C63-'1.3.melléklet'!C63-'1.4.melléklet'!C63</f>
        <v>0</v>
      </c>
    </row>
    <row r="64" spans="1:3" s="406" customFormat="1" ht="12" customHeight="1">
      <c r="A64" s="14" t="s">
        <v>63</v>
      </c>
      <c r="B64" s="408" t="s">
        <v>851</v>
      </c>
      <c r="C64" s="301">
        <f>'1.1.melléklet'!C64-'1.3.melléklet'!C64-'1.4.melléklet'!C64</f>
        <v>0</v>
      </c>
    </row>
    <row r="65" spans="1:3" s="406" customFormat="1" ht="12" customHeight="1" thickBot="1">
      <c r="A65" s="16" t="s">
        <v>64</v>
      </c>
      <c r="B65" s="411" t="s">
        <v>852</v>
      </c>
      <c r="C65" s="914">
        <f>'1.1.melléklet'!C65-'1.3.melléklet'!C65-'1.4.melléklet'!C65</f>
        <v>0</v>
      </c>
    </row>
    <row r="66" spans="1:3" s="406" customFormat="1" ht="12" customHeight="1" thickBot="1">
      <c r="A66" s="410" t="s">
        <v>853</v>
      </c>
      <c r="B66" s="293" t="s">
        <v>854</v>
      </c>
      <c r="C66" s="915">
        <f>C67:D67</f>
        <v>295000000</v>
      </c>
    </row>
    <row r="67" spans="1:3" s="406" customFormat="1" ht="12" customHeight="1">
      <c r="A67" s="15" t="s">
        <v>671</v>
      </c>
      <c r="B67" s="407" t="s">
        <v>855</v>
      </c>
      <c r="C67" s="301">
        <f>'1.1.melléklet'!C67-'1.3.melléklet'!C67-'1.4.melléklet'!C67</f>
        <v>295000000</v>
      </c>
    </row>
    <row r="68" spans="1:3" s="406" customFormat="1" ht="12" customHeight="1">
      <c r="A68" s="14" t="s">
        <v>672</v>
      </c>
      <c r="B68" s="408" t="s">
        <v>856</v>
      </c>
      <c r="C68" s="301"/>
    </row>
    <row r="69" spans="1:3" s="406" customFormat="1" ht="12" customHeight="1">
      <c r="A69" s="14" t="s">
        <v>55</v>
      </c>
      <c r="B69" s="408" t="s">
        <v>857</v>
      </c>
      <c r="C69" s="301">
        <f>'1.1.melléklet'!C69-'1.3.melléklet'!C69-'1.4.melléklet'!C69</f>
        <v>0</v>
      </c>
    </row>
    <row r="70" spans="1:3" s="406" customFormat="1" ht="12" customHeight="1" thickBot="1">
      <c r="A70" s="16" t="s">
        <v>56</v>
      </c>
      <c r="B70" s="409" t="s">
        <v>858</v>
      </c>
      <c r="C70" s="914">
        <f>'1.1.melléklet'!C70-'1.3.melléklet'!C70-'1.4.melléklet'!C70</f>
        <v>0</v>
      </c>
    </row>
    <row r="71" spans="1:3" s="406" customFormat="1" ht="12" customHeight="1" thickBot="1">
      <c r="A71" s="410" t="s">
        <v>859</v>
      </c>
      <c r="B71" s="293" t="s">
        <v>860</v>
      </c>
      <c r="C71" s="915">
        <f>C72</f>
        <v>199880000</v>
      </c>
    </row>
    <row r="72" spans="1:3" s="406" customFormat="1" ht="12" customHeight="1">
      <c r="A72" s="15" t="s">
        <v>57</v>
      </c>
      <c r="B72" s="407" t="s">
        <v>861</v>
      </c>
      <c r="C72" s="301">
        <f>'1.1.melléklet'!C72-'1.3.melléklet'!C72-'1.4.melléklet'!C72</f>
        <v>199880000</v>
      </c>
    </row>
    <row r="73" spans="1:3" s="406" customFormat="1" ht="12" customHeight="1" thickBot="1">
      <c r="A73" s="16" t="s">
        <v>58</v>
      </c>
      <c r="B73" s="409" t="s">
        <v>862</v>
      </c>
      <c r="C73" s="914"/>
    </row>
    <row r="74" spans="1:3" s="406" customFormat="1" ht="12" customHeight="1" thickBot="1">
      <c r="A74" s="410" t="s">
        <v>863</v>
      </c>
      <c r="B74" s="293" t="s">
        <v>864</v>
      </c>
      <c r="C74" s="915">
        <f>'1.1.melléklet'!C74-'1.3.melléklet'!C74-'1.4.melléklet'!C74</f>
        <v>0</v>
      </c>
    </row>
    <row r="75" spans="1:3" s="406" customFormat="1" ht="12" customHeight="1">
      <c r="A75" s="15" t="s">
        <v>59</v>
      </c>
      <c r="B75" s="407" t="s">
        <v>865</v>
      </c>
      <c r="C75" s="301">
        <f>'1.1.melléklet'!C75-'1.3.melléklet'!C75-'1.4.melléklet'!C75</f>
        <v>0</v>
      </c>
    </row>
    <row r="76" spans="1:3" s="406" customFormat="1" ht="12" customHeight="1">
      <c r="A76" s="14" t="s">
        <v>60</v>
      </c>
      <c r="B76" s="408" t="s">
        <v>866</v>
      </c>
      <c r="C76" s="301">
        <f>'1.1.melléklet'!C76-'1.3.melléklet'!C76-'1.4.melléklet'!C76</f>
        <v>0</v>
      </c>
    </row>
    <row r="77" spans="1:3" s="406" customFormat="1" ht="12" customHeight="1" thickBot="1">
      <c r="A77" s="16" t="s">
        <v>61</v>
      </c>
      <c r="B77" s="409" t="s">
        <v>867</v>
      </c>
      <c r="C77" s="914">
        <f>'1.1.melléklet'!C77-'1.3.melléklet'!C77-'1.4.melléklet'!C77</f>
        <v>0</v>
      </c>
    </row>
    <row r="78" spans="1:3" s="406" customFormat="1" ht="12" customHeight="1" thickBot="1">
      <c r="A78" s="410" t="s">
        <v>868</v>
      </c>
      <c r="B78" s="293" t="s">
        <v>62</v>
      </c>
      <c r="C78" s="915">
        <f>'1.1.melléklet'!C78-'1.3.melléklet'!C78-'1.4.melléklet'!C78</f>
        <v>0</v>
      </c>
    </row>
    <row r="79" spans="1:3" s="406" customFormat="1" ht="12" customHeight="1">
      <c r="A79" s="412" t="s">
        <v>869</v>
      </c>
      <c r="B79" s="407" t="s">
        <v>42</v>
      </c>
      <c r="C79" s="301">
        <f>'1.1.melléklet'!C79-'1.3.melléklet'!C79-'1.4.melléklet'!C79</f>
        <v>0</v>
      </c>
    </row>
    <row r="80" spans="1:3" s="406" customFormat="1" ht="12" customHeight="1">
      <c r="A80" s="413" t="s">
        <v>43</v>
      </c>
      <c r="B80" s="408" t="s">
        <v>44</v>
      </c>
      <c r="C80" s="301">
        <f>'1.1.melléklet'!C80-'1.3.melléklet'!C80-'1.4.melléklet'!C80</f>
        <v>0</v>
      </c>
    </row>
    <row r="81" spans="1:3" s="406" customFormat="1" ht="12" customHeight="1">
      <c r="A81" s="413" t="s">
        <v>45</v>
      </c>
      <c r="B81" s="408" t="s">
        <v>46</v>
      </c>
      <c r="C81" s="301">
        <f>'1.1.melléklet'!C81-'1.3.melléklet'!C81-'1.4.melléklet'!C81</f>
        <v>0</v>
      </c>
    </row>
    <row r="82" spans="1:3" s="406" customFormat="1" ht="12" customHeight="1" thickBot="1">
      <c r="A82" s="414" t="s">
        <v>47</v>
      </c>
      <c r="B82" s="409" t="s">
        <v>48</v>
      </c>
      <c r="C82" s="914">
        <f>'1.1.melléklet'!C82-'1.3.melléklet'!C82-'1.4.melléklet'!C82</f>
        <v>0</v>
      </c>
    </row>
    <row r="83" spans="1:3" s="406" customFormat="1" ht="13.5" customHeight="1" thickBot="1">
      <c r="A83" s="410" t="s">
        <v>49</v>
      </c>
      <c r="B83" s="293" t="s">
        <v>50</v>
      </c>
      <c r="C83" s="915">
        <f>'1.1.melléklet'!C83-'1.3.melléklet'!C83-'1.4.melléklet'!C83</f>
        <v>0</v>
      </c>
    </row>
    <row r="84" spans="1:3" s="406" customFormat="1" ht="15.75" customHeight="1" thickBot="1">
      <c r="A84" s="410" t="s">
        <v>51</v>
      </c>
      <c r="B84" s="415" t="s">
        <v>52</v>
      </c>
      <c r="C84" s="915">
        <f>C83+C78+C74+C71+C66+C62</f>
        <v>494880000</v>
      </c>
    </row>
    <row r="85" spans="1:4" s="406" customFormat="1" ht="16.5" customHeight="1" thickBot="1">
      <c r="A85" s="416" t="s">
        <v>65</v>
      </c>
      <c r="B85" s="417" t="s">
        <v>53</v>
      </c>
      <c r="C85" s="1040">
        <f>C84+C61</f>
        <v>1214270456</v>
      </c>
      <c r="D85" s="1041"/>
    </row>
    <row r="86" spans="1:3" s="406" customFormat="1" ht="83.25" customHeight="1">
      <c r="A86" s="5"/>
      <c r="B86" s="6"/>
      <c r="C86" s="305"/>
    </row>
    <row r="87" spans="1:3" ht="16.5" customHeight="1">
      <c r="A87" s="1062" t="s">
        <v>570</v>
      </c>
      <c r="B87" s="1062"/>
      <c r="C87" s="1062"/>
    </row>
    <row r="88" spans="1:3" s="418" customFormat="1" ht="16.5" customHeight="1" thickBot="1">
      <c r="A88" s="1063" t="s">
        <v>675</v>
      </c>
      <c r="B88" s="1063"/>
      <c r="C88" s="139"/>
    </row>
    <row r="89" spans="1:3" ht="37.5" customHeight="1" thickBot="1">
      <c r="A89" s="23" t="s">
        <v>595</v>
      </c>
      <c r="B89" s="24" t="s">
        <v>571</v>
      </c>
      <c r="C89" s="39" t="s">
        <v>447</v>
      </c>
    </row>
    <row r="90" spans="1:3" s="405" customFormat="1" ht="12" customHeight="1" thickBot="1">
      <c r="A90" s="32">
        <v>1</v>
      </c>
      <c r="B90" s="33">
        <v>2</v>
      </c>
      <c r="C90" s="34">
        <v>3</v>
      </c>
    </row>
    <row r="91" spans="1:3" ht="12" customHeight="1" thickBot="1">
      <c r="A91" s="22" t="s">
        <v>542</v>
      </c>
      <c r="B91" s="31" t="s">
        <v>68</v>
      </c>
      <c r="C91" s="297">
        <f>C92+C93+C94+C95+C96</f>
        <v>523598667</v>
      </c>
    </row>
    <row r="92" spans="1:3" ht="12" customHeight="1">
      <c r="A92" s="17" t="s">
        <v>625</v>
      </c>
      <c r="B92" s="10" t="s">
        <v>572</v>
      </c>
      <c r="C92" s="299">
        <v>136058000</v>
      </c>
    </row>
    <row r="93" spans="1:3" ht="12" customHeight="1">
      <c r="A93" s="14" t="s">
        <v>626</v>
      </c>
      <c r="B93" s="8" t="s">
        <v>705</v>
      </c>
      <c r="C93" s="300">
        <v>33114026</v>
      </c>
    </row>
    <row r="94" spans="1:3" ht="12" customHeight="1">
      <c r="A94" s="14" t="s">
        <v>627</v>
      </c>
      <c r="B94" s="8" t="s">
        <v>662</v>
      </c>
      <c r="C94" s="302">
        <v>204123000</v>
      </c>
    </row>
    <row r="95" spans="1:3" ht="12" customHeight="1">
      <c r="A95" s="14" t="s">
        <v>628</v>
      </c>
      <c r="B95" s="11" t="s">
        <v>706</v>
      </c>
      <c r="C95" s="302">
        <v>9611000</v>
      </c>
    </row>
    <row r="96" spans="1:3" ht="12" customHeight="1">
      <c r="A96" s="14" t="s">
        <v>639</v>
      </c>
      <c r="B96" s="19" t="s">
        <v>707</v>
      </c>
      <c r="C96" s="302">
        <f>C101+C106</f>
        <v>140692641</v>
      </c>
    </row>
    <row r="97" spans="1:3" ht="12" customHeight="1">
      <c r="A97" s="14" t="s">
        <v>629</v>
      </c>
      <c r="B97" s="8" t="s">
        <v>69</v>
      </c>
      <c r="C97" s="302"/>
    </row>
    <row r="98" spans="1:3" ht="12" customHeight="1">
      <c r="A98" s="14" t="s">
        <v>630</v>
      </c>
      <c r="B98" s="141" t="s">
        <v>70</v>
      </c>
      <c r="C98" s="302"/>
    </row>
    <row r="99" spans="1:3" ht="12" customHeight="1">
      <c r="A99" s="14" t="s">
        <v>640</v>
      </c>
      <c r="B99" s="142" t="s">
        <v>71</v>
      </c>
      <c r="C99" s="302"/>
    </row>
    <row r="100" spans="1:3" ht="12" customHeight="1">
      <c r="A100" s="14" t="s">
        <v>641</v>
      </c>
      <c r="B100" s="142" t="s">
        <v>72</v>
      </c>
      <c r="C100" s="302"/>
    </row>
    <row r="101" spans="1:3" ht="12" customHeight="1">
      <c r="A101" s="14" t="s">
        <v>642</v>
      </c>
      <c r="B101" s="141" t="s">
        <v>73</v>
      </c>
      <c r="C101" s="302">
        <f>'1.1.melléklet'!C101</f>
        <v>138942641</v>
      </c>
    </row>
    <row r="102" spans="1:3" ht="12" customHeight="1">
      <c r="A102" s="14" t="s">
        <v>643</v>
      </c>
      <c r="B102" s="141" t="s">
        <v>74</v>
      </c>
      <c r="C102" s="302"/>
    </row>
    <row r="103" spans="1:3" ht="12" customHeight="1">
      <c r="A103" s="14" t="s">
        <v>645</v>
      </c>
      <c r="B103" s="142" t="s">
        <v>75</v>
      </c>
      <c r="C103" s="302"/>
    </row>
    <row r="104" spans="1:3" ht="12" customHeight="1">
      <c r="A104" s="13" t="s">
        <v>708</v>
      </c>
      <c r="B104" s="143" t="s">
        <v>76</v>
      </c>
      <c r="C104" s="302"/>
    </row>
    <row r="105" spans="1:3" ht="12" customHeight="1">
      <c r="A105" s="14" t="s">
        <v>66</v>
      </c>
      <c r="B105" s="143" t="s">
        <v>77</v>
      </c>
      <c r="C105" s="302"/>
    </row>
    <row r="106" spans="1:3" ht="12" customHeight="1" thickBot="1">
      <c r="A106" s="18" t="s">
        <v>67</v>
      </c>
      <c r="B106" s="144" t="s">
        <v>78</v>
      </c>
      <c r="C106" s="306">
        <f>'1.1.melléklet'!C106-1450000</f>
        <v>1750000</v>
      </c>
    </row>
    <row r="107" spans="1:3" ht="12" customHeight="1" thickBot="1">
      <c r="A107" s="20" t="s">
        <v>543</v>
      </c>
      <c r="B107" s="30" t="s">
        <v>79</v>
      </c>
      <c r="C107" s="298">
        <f>+C108+C110+C112</f>
        <v>321411285</v>
      </c>
    </row>
    <row r="108" spans="1:3" ht="12" customHeight="1">
      <c r="A108" s="15" t="s">
        <v>631</v>
      </c>
      <c r="B108" s="8" t="s">
        <v>754</v>
      </c>
      <c r="C108" s="301">
        <f>'1.1.melléklet'!C108</f>
        <v>140411285</v>
      </c>
    </row>
    <row r="109" spans="1:3" ht="12" customHeight="1">
      <c r="A109" s="15" t="s">
        <v>632</v>
      </c>
      <c r="B109" s="12" t="s">
        <v>83</v>
      </c>
      <c r="C109" s="301"/>
    </row>
    <row r="110" spans="1:3" ht="12" customHeight="1">
      <c r="A110" s="15" t="s">
        <v>633</v>
      </c>
      <c r="B110" s="12" t="s">
        <v>709</v>
      </c>
      <c r="C110" s="300">
        <f>'1.1.melléklet'!C110</f>
        <v>181000000</v>
      </c>
    </row>
    <row r="111" spans="1:3" ht="12" customHeight="1">
      <c r="A111" s="15" t="s">
        <v>634</v>
      </c>
      <c r="B111" s="12" t="s">
        <v>84</v>
      </c>
      <c r="C111" s="271"/>
    </row>
    <row r="112" spans="1:3" ht="12" customHeight="1">
      <c r="A112" s="15" t="s">
        <v>635</v>
      </c>
      <c r="B112" s="295" t="s">
        <v>757</v>
      </c>
      <c r="C112" s="271"/>
    </row>
    <row r="113" spans="1:3" ht="12" customHeight="1">
      <c r="A113" s="15" t="s">
        <v>644</v>
      </c>
      <c r="B113" s="294" t="s">
        <v>197</v>
      </c>
      <c r="C113" s="271"/>
    </row>
    <row r="114" spans="1:3" ht="12" customHeight="1">
      <c r="A114" s="15" t="s">
        <v>646</v>
      </c>
      <c r="B114" s="142" t="s">
        <v>72</v>
      </c>
      <c r="C114" s="271"/>
    </row>
    <row r="115" spans="1:3" ht="15.75">
      <c r="A115" s="15" t="s">
        <v>710</v>
      </c>
      <c r="B115" s="142" t="s">
        <v>390</v>
      </c>
      <c r="C115" s="271"/>
    </row>
    <row r="116" spans="1:3" ht="12" customHeight="1">
      <c r="A116" s="15" t="s">
        <v>711</v>
      </c>
      <c r="B116" s="142" t="s">
        <v>389</v>
      </c>
      <c r="C116" s="271"/>
    </row>
    <row r="117" spans="1:3" ht="12" customHeight="1">
      <c r="A117" s="15" t="s">
        <v>712</v>
      </c>
      <c r="B117" s="142" t="s">
        <v>87</v>
      </c>
      <c r="C117" s="271"/>
    </row>
    <row r="118" spans="1:3" ht="12" customHeight="1">
      <c r="A118" s="15" t="s">
        <v>80</v>
      </c>
      <c r="B118" s="142" t="s">
        <v>75</v>
      </c>
      <c r="C118" s="271"/>
    </row>
    <row r="119" spans="1:3" ht="12" customHeight="1">
      <c r="A119" s="15" t="s">
        <v>81</v>
      </c>
      <c r="B119" s="142" t="s">
        <v>86</v>
      </c>
      <c r="C119" s="271"/>
    </row>
    <row r="120" spans="1:3" ht="16.5" thickBot="1">
      <c r="A120" s="13" t="s">
        <v>82</v>
      </c>
      <c r="B120" s="142" t="s">
        <v>85</v>
      </c>
      <c r="C120" s="272"/>
    </row>
    <row r="121" spans="1:3" ht="12" customHeight="1" thickBot="1">
      <c r="A121" s="20" t="s">
        <v>544</v>
      </c>
      <c r="B121" s="124" t="s">
        <v>90</v>
      </c>
      <c r="C121" s="298">
        <f>+C122+C123</f>
        <v>369260504</v>
      </c>
    </row>
    <row r="122" spans="1:3" ht="12" customHeight="1">
      <c r="A122" s="15" t="s">
        <v>614</v>
      </c>
      <c r="B122" s="9" t="s">
        <v>583</v>
      </c>
      <c r="C122" s="301">
        <f>'1.1.melléklet'!C122</f>
        <v>38342762</v>
      </c>
    </row>
    <row r="123" spans="1:3" ht="12" customHeight="1" thickBot="1">
      <c r="A123" s="16" t="s">
        <v>615</v>
      </c>
      <c r="B123" s="12" t="s">
        <v>584</v>
      </c>
      <c r="C123" s="302">
        <v>330917742</v>
      </c>
    </row>
    <row r="124" spans="1:3" ht="12" customHeight="1" thickBot="1">
      <c r="A124" s="20" t="s">
        <v>545</v>
      </c>
      <c r="B124" s="124" t="s">
        <v>91</v>
      </c>
      <c r="C124" s="298">
        <f>+C91+C107+C121</f>
        <v>1214270456</v>
      </c>
    </row>
    <row r="125" spans="1:3" ht="12" customHeight="1" thickBot="1">
      <c r="A125" s="20" t="s">
        <v>546</v>
      </c>
      <c r="B125" s="124" t="s">
        <v>92</v>
      </c>
      <c r="C125" s="298">
        <f>+C126+C127+C128</f>
        <v>0</v>
      </c>
    </row>
    <row r="126" spans="1:3" ht="12" customHeight="1">
      <c r="A126" s="15" t="s">
        <v>618</v>
      </c>
      <c r="B126" s="9" t="s">
        <v>93</v>
      </c>
      <c r="C126" s="271"/>
    </row>
    <row r="127" spans="1:3" ht="12" customHeight="1">
      <c r="A127" s="15" t="s">
        <v>619</v>
      </c>
      <c r="B127" s="9" t="s">
        <v>94</v>
      </c>
      <c r="C127" s="271"/>
    </row>
    <row r="128" spans="1:3" ht="12" customHeight="1" thickBot="1">
      <c r="A128" s="13" t="s">
        <v>620</v>
      </c>
      <c r="B128" s="7" t="s">
        <v>95</v>
      </c>
      <c r="C128" s="271"/>
    </row>
    <row r="129" spans="1:3" ht="12" customHeight="1" thickBot="1">
      <c r="A129" s="20" t="s">
        <v>547</v>
      </c>
      <c r="B129" s="124" t="s">
        <v>156</v>
      </c>
      <c r="C129" s="298">
        <f>+C130+C131+C132+C133</f>
        <v>0</v>
      </c>
    </row>
    <row r="130" spans="1:3" ht="12" customHeight="1">
      <c r="A130" s="15" t="s">
        <v>621</v>
      </c>
      <c r="B130" s="9" t="s">
        <v>96</v>
      </c>
      <c r="C130" s="271"/>
    </row>
    <row r="131" spans="1:3" ht="12" customHeight="1">
      <c r="A131" s="15" t="s">
        <v>622</v>
      </c>
      <c r="B131" s="9" t="s">
        <v>97</v>
      </c>
      <c r="C131" s="271"/>
    </row>
    <row r="132" spans="1:3" ht="12" customHeight="1">
      <c r="A132" s="15" t="s">
        <v>828</v>
      </c>
      <c r="B132" s="9" t="s">
        <v>98</v>
      </c>
      <c r="C132" s="271"/>
    </row>
    <row r="133" spans="1:3" ht="12" customHeight="1" thickBot="1">
      <c r="A133" s="13" t="s">
        <v>829</v>
      </c>
      <c r="B133" s="7" t="s">
        <v>99</v>
      </c>
      <c r="C133" s="271"/>
    </row>
    <row r="134" spans="1:3" ht="12" customHeight="1" thickBot="1">
      <c r="A134" s="20" t="s">
        <v>548</v>
      </c>
      <c r="B134" s="124" t="s">
        <v>100</v>
      </c>
      <c r="C134" s="304">
        <f>+C135+C136+C137+C138</f>
        <v>0</v>
      </c>
    </row>
    <row r="135" spans="1:3" ht="12" customHeight="1">
      <c r="A135" s="15" t="s">
        <v>623</v>
      </c>
      <c r="B135" s="9" t="s">
        <v>101</v>
      </c>
      <c r="C135" s="271"/>
    </row>
    <row r="136" spans="1:3" ht="12" customHeight="1">
      <c r="A136" s="15" t="s">
        <v>624</v>
      </c>
      <c r="B136" s="9" t="s">
        <v>111</v>
      </c>
      <c r="C136" s="271"/>
    </row>
    <row r="137" spans="1:3" ht="12" customHeight="1">
      <c r="A137" s="15" t="s">
        <v>840</v>
      </c>
      <c r="B137" s="9" t="s">
        <v>411</v>
      </c>
      <c r="C137" s="271">
        <f>'1.1.melléklet'!C137</f>
        <v>0</v>
      </c>
    </row>
    <row r="138" spans="1:3" ht="12" customHeight="1" thickBot="1">
      <c r="A138" s="13" t="s">
        <v>841</v>
      </c>
      <c r="B138" s="7" t="s">
        <v>103</v>
      </c>
      <c r="C138" s="271"/>
    </row>
    <row r="139" spans="1:3" ht="12" customHeight="1" thickBot="1">
      <c r="A139" s="20" t="s">
        <v>549</v>
      </c>
      <c r="B139" s="124" t="s">
        <v>104</v>
      </c>
      <c r="C139" s="307">
        <f>+C140+C141+C142+C143</f>
        <v>0</v>
      </c>
    </row>
    <row r="140" spans="1:3" ht="12" customHeight="1">
      <c r="A140" s="15" t="s">
        <v>703</v>
      </c>
      <c r="B140" s="9" t="s">
        <v>105</v>
      </c>
      <c r="C140" s="271"/>
    </row>
    <row r="141" spans="1:3" ht="12" customHeight="1">
      <c r="A141" s="15" t="s">
        <v>704</v>
      </c>
      <c r="B141" s="9" t="s">
        <v>106</v>
      </c>
      <c r="C141" s="271"/>
    </row>
    <row r="142" spans="1:3" ht="12" customHeight="1">
      <c r="A142" s="15" t="s">
        <v>756</v>
      </c>
      <c r="B142" s="9" t="s">
        <v>107</v>
      </c>
      <c r="C142" s="271"/>
    </row>
    <row r="143" spans="1:3" ht="12" customHeight="1" thickBot="1">
      <c r="A143" s="15" t="s">
        <v>843</v>
      </c>
      <c r="B143" s="9" t="s">
        <v>108</v>
      </c>
      <c r="C143" s="271"/>
    </row>
    <row r="144" spans="1:9" ht="15" customHeight="1" thickBot="1">
      <c r="A144" s="20" t="s">
        <v>550</v>
      </c>
      <c r="B144" s="124" t="s">
        <v>109</v>
      </c>
      <c r="C144" s="419">
        <f>+C125+C129+C134+C139</f>
        <v>0</v>
      </c>
      <c r="F144" s="420"/>
      <c r="G144" s="421"/>
      <c r="H144" s="421"/>
      <c r="I144" s="421"/>
    </row>
    <row r="145" spans="1:3" s="406" customFormat="1" ht="12.75" customHeight="1" thickBot="1">
      <c r="A145" s="296" t="s">
        <v>551</v>
      </c>
      <c r="B145" s="380" t="s">
        <v>110</v>
      </c>
      <c r="C145" s="419">
        <f>+C124+C144</f>
        <v>1214270456</v>
      </c>
    </row>
    <row r="146" ht="7.5" customHeight="1"/>
    <row r="147" spans="1:3" ht="15.75">
      <c r="A147" s="1064" t="s">
        <v>112</v>
      </c>
      <c r="B147" s="1064"/>
      <c r="C147" s="1064"/>
    </row>
    <row r="148" spans="1:3" ht="15" customHeight="1" thickBot="1">
      <c r="A148" s="1061" t="s">
        <v>676</v>
      </c>
      <c r="B148" s="1061"/>
      <c r="C148" s="308"/>
    </row>
    <row r="149" spans="1:4" ht="13.5" customHeight="1" thickBot="1">
      <c r="A149" s="20">
        <v>1</v>
      </c>
      <c r="B149" s="30" t="s">
        <v>113</v>
      </c>
      <c r="C149" s="298"/>
      <c r="D149" s="422"/>
    </row>
    <row r="150" spans="1:3" ht="27.75" customHeight="1" thickBot="1">
      <c r="A150" s="20" t="s">
        <v>543</v>
      </c>
      <c r="B150" s="30" t="s">
        <v>114</v>
      </c>
      <c r="C150" s="298"/>
    </row>
  </sheetData>
  <sheetProtection/>
  <mergeCells count="6">
    <mergeCell ref="A147:C147"/>
    <mergeCell ref="A148:B148"/>
    <mergeCell ref="A1:C1"/>
    <mergeCell ref="A2:B2"/>
    <mergeCell ref="A87:C87"/>
    <mergeCell ref="A88:B8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9" r:id="rId1"/>
  <headerFooter alignWithMargins="0">
    <oddHeader>&amp;C&amp;"Times New Roman CE,Félkövér"&amp;12
Tát Város Önkormányzat
2017. ÉVI KÖLTSÉGVETÉS
KÖTELEZŐ FELADATAINAK MÉRLEGE &amp;R&amp;"Times New Roman CE,Félkövér dőlt"&amp;11 1.2. melléklet az 1/2017. (II.07.) önkormányzati rendelethez</oddHeader>
  </headerFooter>
  <rowBreaks count="1" manualBreakCount="1">
    <brk id="86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view="pageBreakPreview" zoomScale="60" zoomScalePageLayoutView="0" workbookViewId="0" topLeftCell="A1">
      <selection activeCell="C1" sqref="C1"/>
    </sheetView>
  </sheetViews>
  <sheetFormatPr defaultColWidth="9.00390625" defaultRowHeight="12.75"/>
  <cols>
    <col min="1" max="1" width="18.875" style="0" customWidth="1"/>
    <col min="2" max="2" width="66.125" style="0" customWidth="1"/>
    <col min="3" max="3" width="18.625" style="0" customWidth="1"/>
  </cols>
  <sheetData>
    <row r="1" spans="1:3" ht="16.5" thickBot="1">
      <c r="A1" s="228"/>
      <c r="B1" s="230"/>
      <c r="C1" s="445" t="s">
        <v>41</v>
      </c>
    </row>
    <row r="2" spans="1:3" ht="24">
      <c r="A2" s="397" t="s">
        <v>726</v>
      </c>
      <c r="B2" s="359" t="s">
        <v>208</v>
      </c>
      <c r="C2" s="374" t="s">
        <v>201</v>
      </c>
    </row>
    <row r="3" spans="1:3" ht="24.75" thickBot="1">
      <c r="A3" s="438" t="s">
        <v>725</v>
      </c>
      <c r="B3" s="360" t="s">
        <v>187</v>
      </c>
      <c r="C3" s="375" t="s">
        <v>201</v>
      </c>
    </row>
    <row r="4" spans="1:3" ht="14.25" thickBot="1">
      <c r="A4" s="232"/>
      <c r="B4" s="232"/>
      <c r="C4" s="233"/>
    </row>
    <row r="5" spans="1:3" ht="13.5" thickBot="1">
      <c r="A5" s="398" t="s">
        <v>727</v>
      </c>
      <c r="B5" s="234" t="s">
        <v>577</v>
      </c>
      <c r="C5" s="235" t="s">
        <v>578</v>
      </c>
    </row>
    <row r="6" spans="1:3" ht="13.5" thickBot="1">
      <c r="A6" s="201">
        <v>1</v>
      </c>
      <c r="B6" s="202">
        <v>2</v>
      </c>
      <c r="C6" s="203">
        <v>3</v>
      </c>
    </row>
    <row r="7" spans="1:3" ht="13.5" thickBot="1">
      <c r="A7" s="236"/>
      <c r="B7" s="237" t="s">
        <v>579</v>
      </c>
      <c r="C7" s="238"/>
    </row>
    <row r="8" spans="1:3" ht="13.5" thickBot="1">
      <c r="A8" s="201" t="s">
        <v>542</v>
      </c>
      <c r="B8" s="239" t="s">
        <v>163</v>
      </c>
      <c r="C8" s="318">
        <f>SUM(C9:C18)</f>
        <v>0</v>
      </c>
    </row>
    <row r="9" spans="1:3" ht="12.75">
      <c r="A9" s="439" t="s">
        <v>625</v>
      </c>
      <c r="B9" s="10" t="s">
        <v>817</v>
      </c>
      <c r="C9" s="365"/>
    </row>
    <row r="10" spans="1:3" ht="12.75">
      <c r="A10" s="440" t="s">
        <v>626</v>
      </c>
      <c r="B10" s="8" t="s">
        <v>818</v>
      </c>
      <c r="C10" s="316"/>
    </row>
    <row r="11" spans="1:3" ht="12.75">
      <c r="A11" s="440" t="s">
        <v>627</v>
      </c>
      <c r="B11" s="8" t="s">
        <v>819</v>
      </c>
      <c r="C11" s="316"/>
    </row>
    <row r="12" spans="1:3" ht="12.75">
      <c r="A12" s="440" t="s">
        <v>628</v>
      </c>
      <c r="B12" s="8" t="s">
        <v>820</v>
      </c>
      <c r="C12" s="316"/>
    </row>
    <row r="13" spans="1:3" ht="12.75">
      <c r="A13" s="440" t="s">
        <v>670</v>
      </c>
      <c r="B13" s="8" t="s">
        <v>821</v>
      </c>
      <c r="C13" s="316"/>
    </row>
    <row r="14" spans="1:3" ht="12.75">
      <c r="A14" s="440" t="s">
        <v>629</v>
      </c>
      <c r="B14" s="8" t="s">
        <v>164</v>
      </c>
      <c r="C14" s="316"/>
    </row>
    <row r="15" spans="1:3" ht="12.75">
      <c r="A15" s="440" t="s">
        <v>630</v>
      </c>
      <c r="B15" s="7" t="s">
        <v>165</v>
      </c>
      <c r="C15" s="316"/>
    </row>
    <row r="16" spans="1:3" ht="12.75">
      <c r="A16" s="440" t="s">
        <v>640</v>
      </c>
      <c r="B16" s="8" t="s">
        <v>824</v>
      </c>
      <c r="C16" s="366"/>
    </row>
    <row r="17" spans="1:3" ht="12.75">
      <c r="A17" s="440" t="s">
        <v>641</v>
      </c>
      <c r="B17" s="8" t="s">
        <v>825</v>
      </c>
      <c r="C17" s="316"/>
    </row>
    <row r="18" spans="1:3" ht="13.5" thickBot="1">
      <c r="A18" s="440" t="s">
        <v>642</v>
      </c>
      <c r="B18" s="7" t="s">
        <v>826</v>
      </c>
      <c r="C18" s="317"/>
    </row>
    <row r="19" spans="1:3" ht="13.5" thickBot="1">
      <c r="A19" s="201" t="s">
        <v>543</v>
      </c>
      <c r="B19" s="239" t="s">
        <v>166</v>
      </c>
      <c r="C19" s="318">
        <f>SUM(C20:C22)</f>
        <v>0</v>
      </c>
    </row>
    <row r="20" spans="1:3" ht="12.75">
      <c r="A20" s="440" t="s">
        <v>631</v>
      </c>
      <c r="B20" s="9" t="s">
        <v>792</v>
      </c>
      <c r="C20" s="316"/>
    </row>
    <row r="21" spans="1:3" ht="12.75">
      <c r="A21" s="440" t="s">
        <v>632</v>
      </c>
      <c r="B21" s="8" t="s">
        <v>167</v>
      </c>
      <c r="C21" s="316"/>
    </row>
    <row r="22" spans="1:3" ht="12.75">
      <c r="A22" s="440" t="s">
        <v>633</v>
      </c>
      <c r="B22" s="8" t="s">
        <v>168</v>
      </c>
      <c r="C22" s="316"/>
    </row>
    <row r="23" spans="1:3" ht="13.5" thickBot="1">
      <c r="A23" s="440" t="s">
        <v>634</v>
      </c>
      <c r="B23" s="8" t="s">
        <v>526</v>
      </c>
      <c r="C23" s="316"/>
    </row>
    <row r="24" spans="1:3" ht="13.5" thickBot="1">
      <c r="A24" s="209" t="s">
        <v>544</v>
      </c>
      <c r="B24" s="124" t="s">
        <v>696</v>
      </c>
      <c r="C24" s="345"/>
    </row>
    <row r="25" spans="1:3" ht="13.5" thickBot="1">
      <c r="A25" s="209" t="s">
        <v>545</v>
      </c>
      <c r="B25" s="124" t="s">
        <v>169</v>
      </c>
      <c r="C25" s="318">
        <f>+C26+C27</f>
        <v>0</v>
      </c>
    </row>
    <row r="26" spans="1:3" ht="12.75">
      <c r="A26" s="441" t="s">
        <v>802</v>
      </c>
      <c r="B26" s="442" t="s">
        <v>167</v>
      </c>
      <c r="C26" s="78"/>
    </row>
    <row r="27" spans="1:3" ht="12.75">
      <c r="A27" s="441" t="s">
        <v>805</v>
      </c>
      <c r="B27" s="443" t="s">
        <v>170</v>
      </c>
      <c r="C27" s="319"/>
    </row>
    <row r="28" spans="1:3" ht="13.5" thickBot="1">
      <c r="A28" s="440" t="s">
        <v>806</v>
      </c>
      <c r="B28" s="444" t="s">
        <v>171</v>
      </c>
      <c r="C28" s="85"/>
    </row>
    <row r="29" spans="1:3" ht="13.5" thickBot="1">
      <c r="A29" s="209" t="s">
        <v>546</v>
      </c>
      <c r="B29" s="124" t="s">
        <v>172</v>
      </c>
      <c r="C29" s="318">
        <f>+C30+C31+C32</f>
        <v>0</v>
      </c>
    </row>
    <row r="30" spans="1:3" ht="12.75">
      <c r="A30" s="441" t="s">
        <v>618</v>
      </c>
      <c r="B30" s="442" t="s">
        <v>831</v>
      </c>
      <c r="C30" s="78"/>
    </row>
    <row r="31" spans="1:3" ht="12.75">
      <c r="A31" s="441" t="s">
        <v>619</v>
      </c>
      <c r="B31" s="443" t="s">
        <v>832</v>
      </c>
      <c r="C31" s="319"/>
    </row>
    <row r="32" spans="1:3" ht="13.5" thickBot="1">
      <c r="A32" s="440" t="s">
        <v>620</v>
      </c>
      <c r="B32" s="140" t="s">
        <v>833</v>
      </c>
      <c r="C32" s="85"/>
    </row>
    <row r="33" spans="1:3" ht="13.5" thickBot="1">
      <c r="A33" s="209" t="s">
        <v>547</v>
      </c>
      <c r="B33" s="124" t="s">
        <v>117</v>
      </c>
      <c r="C33" s="345"/>
    </row>
    <row r="34" spans="1:3" ht="13.5" thickBot="1">
      <c r="A34" s="209" t="s">
        <v>548</v>
      </c>
      <c r="B34" s="124" t="s">
        <v>173</v>
      </c>
      <c r="C34" s="367"/>
    </row>
    <row r="35" spans="1:3" ht="13.5" thickBot="1">
      <c r="A35" s="201" t="s">
        <v>549</v>
      </c>
      <c r="B35" s="124" t="s">
        <v>174</v>
      </c>
      <c r="C35" s="368">
        <f>+C8+C19+C24+C25+C29+C33+C34</f>
        <v>0</v>
      </c>
    </row>
    <row r="36" spans="1:3" ht="13.5" thickBot="1">
      <c r="A36" s="240" t="s">
        <v>550</v>
      </c>
      <c r="B36" s="124" t="s">
        <v>175</v>
      </c>
      <c r="C36" s="368">
        <f>+C37+C38+C39</f>
        <v>0</v>
      </c>
    </row>
    <row r="37" spans="1:3" ht="12.75">
      <c r="A37" s="441" t="s">
        <v>176</v>
      </c>
      <c r="B37" s="442" t="s">
        <v>764</v>
      </c>
      <c r="C37" s="78"/>
    </row>
    <row r="38" spans="1:3" ht="12.75">
      <c r="A38" s="441" t="s">
        <v>177</v>
      </c>
      <c r="B38" s="443" t="s">
        <v>527</v>
      </c>
      <c r="C38" s="319"/>
    </row>
    <row r="39" spans="1:3" ht="13.5" thickBot="1">
      <c r="A39" s="440" t="s">
        <v>178</v>
      </c>
      <c r="B39" s="140" t="s">
        <v>179</v>
      </c>
      <c r="C39" s="85"/>
    </row>
    <row r="40" spans="1:3" ht="13.5" thickBot="1">
      <c r="A40" s="240" t="s">
        <v>551</v>
      </c>
      <c r="B40" s="241" t="s">
        <v>180</v>
      </c>
      <c r="C40" s="371">
        <f>+C35+C36</f>
        <v>0</v>
      </c>
    </row>
    <row r="41" spans="1:3" ht="13.5" thickBot="1">
      <c r="A41" s="242"/>
      <c r="B41" s="243"/>
      <c r="C41" s="369"/>
    </row>
    <row r="42" spans="1:3" ht="13.5" thickBot="1">
      <c r="A42" s="246"/>
      <c r="B42" s="247" t="s">
        <v>581</v>
      </c>
      <c r="C42" s="371"/>
    </row>
    <row r="43" spans="1:3" ht="13.5" thickBot="1">
      <c r="A43" s="209" t="s">
        <v>542</v>
      </c>
      <c r="B43" s="124" t="s">
        <v>181</v>
      </c>
      <c r="C43" s="318">
        <f>SUM(C44:C48)</f>
        <v>0</v>
      </c>
    </row>
    <row r="44" spans="1:3" ht="12.75">
      <c r="A44" s="440" t="s">
        <v>625</v>
      </c>
      <c r="B44" s="9" t="s">
        <v>572</v>
      </c>
      <c r="C44" s="78"/>
    </row>
    <row r="45" spans="1:3" ht="12.75">
      <c r="A45" s="440" t="s">
        <v>626</v>
      </c>
      <c r="B45" s="8" t="s">
        <v>705</v>
      </c>
      <c r="C45" s="81"/>
    </row>
    <row r="46" spans="1:3" ht="12.75">
      <c r="A46" s="440" t="s">
        <v>627</v>
      </c>
      <c r="B46" s="8" t="s">
        <v>662</v>
      </c>
      <c r="C46" s="81"/>
    </row>
    <row r="47" spans="1:3" ht="12.75">
      <c r="A47" s="440" t="s">
        <v>628</v>
      </c>
      <c r="B47" s="8" t="s">
        <v>706</v>
      </c>
      <c r="C47" s="81"/>
    </row>
    <row r="48" spans="1:3" ht="13.5" thickBot="1">
      <c r="A48" s="440" t="s">
        <v>670</v>
      </c>
      <c r="B48" s="8" t="s">
        <v>707</v>
      </c>
      <c r="C48" s="81"/>
    </row>
    <row r="49" spans="1:3" ht="13.5" thickBot="1">
      <c r="A49" s="209" t="s">
        <v>543</v>
      </c>
      <c r="B49" s="124" t="s">
        <v>182</v>
      </c>
      <c r="C49" s="318">
        <f>SUM(C50:C52)</f>
        <v>0</v>
      </c>
    </row>
    <row r="50" spans="1:3" ht="12.75">
      <c r="A50" s="440" t="s">
        <v>631</v>
      </c>
      <c r="B50" s="9" t="s">
        <v>754</v>
      </c>
      <c r="C50" s="78"/>
    </row>
    <row r="51" spans="1:3" ht="12.75">
      <c r="A51" s="440" t="s">
        <v>632</v>
      </c>
      <c r="B51" s="8" t="s">
        <v>709</v>
      </c>
      <c r="C51" s="81"/>
    </row>
    <row r="52" spans="1:3" ht="12.75">
      <c r="A52" s="440" t="s">
        <v>633</v>
      </c>
      <c r="B52" s="8" t="s">
        <v>582</v>
      </c>
      <c r="C52" s="81"/>
    </row>
    <row r="53" spans="1:3" ht="13.5" thickBot="1">
      <c r="A53" s="440" t="s">
        <v>634</v>
      </c>
      <c r="B53" s="8" t="s">
        <v>528</v>
      </c>
      <c r="C53" s="81"/>
    </row>
    <row r="54" spans="1:3" ht="13.5" thickBot="1">
      <c r="A54" s="209" t="s">
        <v>544</v>
      </c>
      <c r="B54" s="248" t="s">
        <v>183</v>
      </c>
      <c r="C54" s="372">
        <f>+C43+C49</f>
        <v>0</v>
      </c>
    </row>
    <row r="55" spans="1:3" ht="13.5" thickBot="1">
      <c r="A55" s="249"/>
      <c r="B55" s="250"/>
      <c r="C55" s="373"/>
    </row>
    <row r="56" spans="1:3" ht="13.5" thickBot="1">
      <c r="A56" s="251" t="s">
        <v>728</v>
      </c>
      <c r="B56" s="252"/>
      <c r="C56" s="121"/>
    </row>
    <row r="57" spans="1:3" ht="13.5" thickBot="1">
      <c r="A57" s="251" t="s">
        <v>729</v>
      </c>
      <c r="B57" s="252"/>
      <c r="C57" s="121"/>
    </row>
    <row r="58" spans="1:3" ht="12.75">
      <c r="A58" s="249"/>
      <c r="B58" s="250"/>
      <c r="C58" s="250"/>
    </row>
    <row r="59" spans="1:3" ht="12.75">
      <c r="A59" s="249"/>
      <c r="B59" s="250"/>
      <c r="C59" s="250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 topLeftCell="A1">
      <selection activeCell="A1" sqref="A1:G1"/>
    </sheetView>
  </sheetViews>
  <sheetFormatPr defaultColWidth="9.00390625" defaultRowHeight="12.75"/>
  <cols>
    <col min="1" max="1" width="5.50390625" style="47" customWidth="1"/>
    <col min="2" max="2" width="33.125" style="47" customWidth="1"/>
    <col min="3" max="3" width="12.375" style="47" customWidth="1"/>
    <col min="4" max="4" width="11.50390625" style="47" customWidth="1"/>
    <col min="5" max="5" width="11.375" style="47" customWidth="1"/>
    <col min="6" max="6" width="11.00390625" style="47" customWidth="1"/>
    <col min="7" max="7" width="14.375" style="47" customWidth="1"/>
    <col min="8" max="16384" width="9.375" style="47" customWidth="1"/>
  </cols>
  <sheetData>
    <row r="1" spans="1:7" ht="43.5" customHeight="1">
      <c r="A1" s="1083" t="s">
        <v>529</v>
      </c>
      <c r="B1" s="1083"/>
      <c r="C1" s="1083"/>
      <c r="D1" s="1083"/>
      <c r="E1" s="1083"/>
      <c r="F1" s="1083"/>
      <c r="G1" s="1083"/>
    </row>
    <row r="2" ht="12.75">
      <c r="C2" s="47" t="s">
        <v>5</v>
      </c>
    </row>
    <row r="3" spans="1:7" s="164" customFormat="1" ht="27" customHeight="1">
      <c r="A3" s="162" t="s">
        <v>733</v>
      </c>
      <c r="B3" s="163"/>
      <c r="C3" s="1082" t="s">
        <v>734</v>
      </c>
      <c r="D3" s="1082"/>
      <c r="E3" s="1082"/>
      <c r="F3" s="1082"/>
      <c r="G3" s="1082"/>
    </row>
    <row r="4" spans="1:7" s="164" customFormat="1" ht="15.75">
      <c r="A4" s="163"/>
      <c r="B4" s="163"/>
      <c r="C4" s="163"/>
      <c r="D4" s="163"/>
      <c r="E4" s="163"/>
      <c r="F4" s="163"/>
      <c r="G4" s="163"/>
    </row>
    <row r="5" spans="1:7" s="164" customFormat="1" ht="24.75" customHeight="1">
      <c r="A5" s="162" t="s">
        <v>735</v>
      </c>
      <c r="B5" s="163"/>
      <c r="C5" s="1082" t="s">
        <v>734</v>
      </c>
      <c r="D5" s="1082"/>
      <c r="E5" s="1082"/>
      <c r="F5" s="1082"/>
      <c r="G5" s="163"/>
    </row>
    <row r="6" spans="1:7" s="165" customFormat="1" ht="12.75">
      <c r="A6" s="213"/>
      <c r="B6" s="213"/>
      <c r="C6" s="213"/>
      <c r="D6" s="213"/>
      <c r="E6" s="213"/>
      <c r="F6" s="213"/>
      <c r="G6" s="213"/>
    </row>
    <row r="7" spans="1:7" s="166" customFormat="1" ht="15" customHeight="1">
      <c r="A7" s="270" t="s">
        <v>10</v>
      </c>
      <c r="B7" s="269"/>
      <c r="C7" s="269"/>
      <c r="D7" s="255"/>
      <c r="E7" s="255"/>
      <c r="F7" s="255"/>
      <c r="G7" s="255"/>
    </row>
    <row r="8" spans="1:7" s="166" customFormat="1" ht="15" customHeight="1" thickBot="1">
      <c r="A8" s="270" t="s">
        <v>736</v>
      </c>
      <c r="B8" s="255"/>
      <c r="C8" s="255"/>
      <c r="D8" s="255"/>
      <c r="E8" s="255"/>
      <c r="F8" s="255"/>
      <c r="G8" s="255"/>
    </row>
    <row r="9" spans="1:7" s="77" customFormat="1" ht="42" customHeight="1" thickBot="1">
      <c r="A9" s="198" t="s">
        <v>540</v>
      </c>
      <c r="B9" s="199" t="s">
        <v>737</v>
      </c>
      <c r="C9" s="199" t="s">
        <v>738</v>
      </c>
      <c r="D9" s="199" t="s">
        <v>739</v>
      </c>
      <c r="E9" s="199" t="s">
        <v>740</v>
      </c>
      <c r="F9" s="199" t="s">
        <v>741</v>
      </c>
      <c r="G9" s="200" t="s">
        <v>575</v>
      </c>
    </row>
    <row r="10" spans="1:7" ht="24" customHeight="1">
      <c r="A10" s="256" t="s">
        <v>542</v>
      </c>
      <c r="B10" s="207" t="s">
        <v>742</v>
      </c>
      <c r="C10" s="167"/>
      <c r="D10" s="167"/>
      <c r="E10" s="167"/>
      <c r="F10" s="167"/>
      <c r="G10" s="257">
        <f>SUM(C10:F10)</f>
        <v>0</v>
      </c>
    </row>
    <row r="11" spans="1:7" ht="24" customHeight="1">
      <c r="A11" s="258" t="s">
        <v>543</v>
      </c>
      <c r="B11" s="208" t="s">
        <v>743</v>
      </c>
      <c r="C11" s="168"/>
      <c r="D11" s="168"/>
      <c r="E11" s="168"/>
      <c r="F11" s="168"/>
      <c r="G11" s="259">
        <f aca="true" t="shared" si="0" ref="G11:G16">SUM(C11:F11)</f>
        <v>0</v>
      </c>
    </row>
    <row r="12" spans="1:7" ht="24" customHeight="1">
      <c r="A12" s="258" t="s">
        <v>544</v>
      </c>
      <c r="B12" s="208" t="s">
        <v>744</v>
      </c>
      <c r="C12" s="168"/>
      <c r="D12" s="168"/>
      <c r="E12" s="168"/>
      <c r="F12" s="168"/>
      <c r="G12" s="259">
        <f t="shared" si="0"/>
        <v>0</v>
      </c>
    </row>
    <row r="13" spans="1:7" ht="24" customHeight="1">
      <c r="A13" s="258" t="s">
        <v>545</v>
      </c>
      <c r="B13" s="208" t="s">
        <v>745</v>
      </c>
      <c r="C13" s="168"/>
      <c r="D13" s="168"/>
      <c r="E13" s="168"/>
      <c r="F13" s="168"/>
      <c r="G13" s="259">
        <f t="shared" si="0"/>
        <v>0</v>
      </c>
    </row>
    <row r="14" spans="1:7" ht="24" customHeight="1">
      <c r="A14" s="258" t="s">
        <v>546</v>
      </c>
      <c r="B14" s="208" t="s">
        <v>746</v>
      </c>
      <c r="C14" s="168"/>
      <c r="D14" s="168"/>
      <c r="E14" s="168"/>
      <c r="F14" s="168"/>
      <c r="G14" s="259">
        <f t="shared" si="0"/>
        <v>0</v>
      </c>
    </row>
    <row r="15" spans="1:7" ht="24" customHeight="1" thickBot="1">
      <c r="A15" s="260" t="s">
        <v>547</v>
      </c>
      <c r="B15" s="261" t="s">
        <v>747</v>
      </c>
      <c r="C15" s="169"/>
      <c r="D15" s="169"/>
      <c r="E15" s="169"/>
      <c r="F15" s="169"/>
      <c r="G15" s="262">
        <f t="shared" si="0"/>
        <v>0</v>
      </c>
    </row>
    <row r="16" spans="1:7" s="170" customFormat="1" ht="24" customHeight="1" thickBot="1">
      <c r="A16" s="263" t="s">
        <v>548</v>
      </c>
      <c r="B16" s="264" t="s">
        <v>575</v>
      </c>
      <c r="C16" s="265">
        <f>SUM(C10:C15)</f>
        <v>0</v>
      </c>
      <c r="D16" s="265">
        <f>SUM(D10:D15)</f>
        <v>0</v>
      </c>
      <c r="E16" s="265">
        <f>SUM(E10:E15)</f>
        <v>0</v>
      </c>
      <c r="F16" s="265">
        <f>SUM(F10:F15)</f>
        <v>0</v>
      </c>
      <c r="G16" s="266">
        <f t="shared" si="0"/>
        <v>0</v>
      </c>
    </row>
    <row r="17" spans="1:7" s="165" customFormat="1" ht="12.75">
      <c r="A17" s="213"/>
      <c r="B17" s="213"/>
      <c r="C17" s="213"/>
      <c r="D17" s="213"/>
      <c r="E17" s="213"/>
      <c r="F17" s="213"/>
      <c r="G17" s="213"/>
    </row>
    <row r="18" spans="1:7" s="165" customFormat="1" ht="12.75">
      <c r="A18" s="213"/>
      <c r="B18" s="213"/>
      <c r="C18" s="213"/>
      <c r="D18" s="213"/>
      <c r="E18" s="213"/>
      <c r="F18" s="213"/>
      <c r="G18" s="213"/>
    </row>
    <row r="19" spans="1:7" s="165" customFormat="1" ht="12.75">
      <c r="A19" s="213"/>
      <c r="B19" s="213"/>
      <c r="C19" s="213"/>
      <c r="D19" s="213"/>
      <c r="E19" s="213"/>
      <c r="F19" s="213"/>
      <c r="G19" s="213"/>
    </row>
    <row r="20" spans="1:7" s="165" customFormat="1" ht="15.75">
      <c r="A20" s="164" t="s">
        <v>312</v>
      </c>
      <c r="B20" s="213"/>
      <c r="C20" s="213"/>
      <c r="D20" s="213"/>
      <c r="E20" s="213"/>
      <c r="F20" s="213"/>
      <c r="G20" s="213"/>
    </row>
    <row r="21" spans="1:7" s="165" customFormat="1" ht="12.75">
      <c r="A21" s="213"/>
      <c r="B21" s="213"/>
      <c r="C21" s="213"/>
      <c r="D21" s="213"/>
      <c r="E21" s="213"/>
      <c r="F21" s="213"/>
      <c r="G21" s="213"/>
    </row>
    <row r="22" spans="1:7" ht="12.75">
      <c r="A22" s="213"/>
      <c r="B22" s="213"/>
      <c r="C22" s="213"/>
      <c r="D22" s="213"/>
      <c r="E22" s="213"/>
      <c r="F22" s="213"/>
      <c r="G22" s="213"/>
    </row>
    <row r="23" spans="1:7" ht="12.75">
      <c r="A23" s="213"/>
      <c r="B23" s="213"/>
      <c r="C23" s="165"/>
      <c r="D23" s="165"/>
      <c r="E23" s="165"/>
      <c r="F23" s="165"/>
      <c r="G23" s="213"/>
    </row>
    <row r="24" spans="1:7" ht="13.5">
      <c r="A24" s="213"/>
      <c r="B24" s="213"/>
      <c r="C24" s="267"/>
      <c r="D24" s="268" t="s">
        <v>748</v>
      </c>
      <c r="E24" s="268"/>
      <c r="F24" s="267"/>
      <c r="G24" s="213"/>
    </row>
    <row r="25" spans="3:6" ht="13.5">
      <c r="C25" s="171"/>
      <c r="D25" s="172"/>
      <c r="E25" s="172"/>
      <c r="F25" s="171"/>
    </row>
    <row r="26" spans="3:6" ht="13.5">
      <c r="C26" s="171"/>
      <c r="D26" s="172"/>
      <c r="E26" s="172"/>
      <c r="F26" s="171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az 1/2017. (II.07.)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1"/>
  <sheetViews>
    <sheetView view="pageBreakPreview" zoomScale="130" zoomScaleNormal="120" zoomScaleSheetLayoutView="130" workbookViewId="0" topLeftCell="A1">
      <selection activeCell="D104" sqref="D104"/>
    </sheetView>
  </sheetViews>
  <sheetFormatPr defaultColWidth="9.00390625" defaultRowHeight="12.75"/>
  <cols>
    <col min="1" max="1" width="9.00390625" style="383" customWidth="1"/>
    <col min="2" max="2" width="75.875" style="383" customWidth="1"/>
    <col min="3" max="4" width="19.125" style="383" bestFit="1" customWidth="1"/>
    <col min="5" max="5" width="9.00390625" style="38" customWidth="1"/>
    <col min="6" max="16384" width="9.375" style="38" customWidth="1"/>
  </cols>
  <sheetData>
    <row r="1" spans="1:4" ht="15.75" customHeight="1">
      <c r="A1" s="1062" t="s">
        <v>539</v>
      </c>
      <c r="B1" s="1062"/>
      <c r="C1" s="1062"/>
      <c r="D1" s="1062"/>
    </row>
    <row r="2" spans="1:4" ht="15.75" customHeight="1" thickBot="1">
      <c r="A2" s="1085"/>
      <c r="B2" s="1085"/>
      <c r="C2" s="469"/>
      <c r="D2" s="470"/>
    </row>
    <row r="3" spans="1:4" ht="37.5" customHeight="1" thickBot="1">
      <c r="A3" s="471" t="s">
        <v>595</v>
      </c>
      <c r="B3" s="472" t="s">
        <v>541</v>
      </c>
      <c r="C3" s="473" t="s">
        <v>873</v>
      </c>
      <c r="D3" s="474" t="s">
        <v>874</v>
      </c>
    </row>
    <row r="4" spans="1:4" s="40" customFormat="1" ht="15.75" customHeight="1" thickBot="1">
      <c r="A4" s="471">
        <v>1</v>
      </c>
      <c r="B4" s="472">
        <v>2</v>
      </c>
      <c r="C4" s="472">
        <v>3</v>
      </c>
      <c r="D4" s="474">
        <v>4</v>
      </c>
    </row>
    <row r="5" spans="1:4" s="1" customFormat="1" ht="15" customHeight="1" thickBot="1">
      <c r="A5" s="475" t="s">
        <v>542</v>
      </c>
      <c r="B5" s="476" t="s">
        <v>784</v>
      </c>
      <c r="C5" s="477">
        <v>396287778</v>
      </c>
      <c r="D5" s="478">
        <v>393077057</v>
      </c>
    </row>
    <row r="6" spans="1:4" s="1" customFormat="1" ht="15.75" customHeight="1">
      <c r="A6" s="479" t="s">
        <v>625</v>
      </c>
      <c r="B6" s="480" t="s">
        <v>785</v>
      </c>
      <c r="C6" s="481">
        <v>129128455</v>
      </c>
      <c r="D6" s="482">
        <v>126761325</v>
      </c>
    </row>
    <row r="7" spans="1:4" s="1" customFormat="1" ht="15" customHeight="1">
      <c r="A7" s="483" t="s">
        <v>626</v>
      </c>
      <c r="B7" s="484" t="s">
        <v>786</v>
      </c>
      <c r="C7" s="485">
        <v>114811100</v>
      </c>
      <c r="D7" s="486">
        <v>123139166</v>
      </c>
    </row>
    <row r="8" spans="1:4" s="1" customFormat="1" ht="15" customHeight="1">
      <c r="A8" s="483" t="s">
        <v>627</v>
      </c>
      <c r="B8" s="484" t="s">
        <v>787</v>
      </c>
      <c r="C8" s="485">
        <v>137863413</v>
      </c>
      <c r="D8" s="486">
        <v>136398531</v>
      </c>
    </row>
    <row r="9" spans="1:4" s="1" customFormat="1" ht="15" customHeight="1">
      <c r="A9" s="483" t="s">
        <v>628</v>
      </c>
      <c r="B9" s="484" t="s">
        <v>788</v>
      </c>
      <c r="C9" s="485">
        <v>6265440</v>
      </c>
      <c r="D9" s="486">
        <v>6271140</v>
      </c>
    </row>
    <row r="10" spans="1:4" s="1" customFormat="1" ht="13.5" customHeight="1">
      <c r="A10" s="483" t="s">
        <v>670</v>
      </c>
      <c r="B10" s="484" t="s">
        <v>789</v>
      </c>
      <c r="C10" s="487">
        <v>8219370</v>
      </c>
      <c r="D10" s="486">
        <v>506895</v>
      </c>
    </row>
    <row r="11" spans="1:4" s="1" customFormat="1" ht="13.5" customHeight="1">
      <c r="A11" s="488" t="s">
        <v>629</v>
      </c>
      <c r="B11" s="489" t="s">
        <v>790</v>
      </c>
      <c r="C11" s="490"/>
      <c r="D11" s="486"/>
    </row>
    <row r="12" spans="1:4" s="1" customFormat="1" ht="15" customHeight="1">
      <c r="A12" s="483" t="s">
        <v>630</v>
      </c>
      <c r="B12" s="484" t="s">
        <v>425</v>
      </c>
      <c r="C12" s="485"/>
      <c r="D12" s="486"/>
    </row>
    <row r="13" spans="1:4" s="1" customFormat="1" ht="15" customHeight="1">
      <c r="A13" s="483" t="s">
        <v>640</v>
      </c>
      <c r="B13" s="484" t="s">
        <v>426</v>
      </c>
      <c r="C13" s="485"/>
      <c r="D13" s="486"/>
    </row>
    <row r="14" spans="1:4" s="1" customFormat="1" ht="15" customHeight="1">
      <c r="A14" s="483" t="s">
        <v>641</v>
      </c>
      <c r="B14" s="484" t="s">
        <v>427</v>
      </c>
      <c r="C14" s="485"/>
      <c r="D14" s="486"/>
    </row>
    <row r="15" spans="1:4" s="1" customFormat="1" ht="15" customHeight="1" thickBot="1">
      <c r="A15" s="483" t="s">
        <v>642</v>
      </c>
      <c r="B15" s="484" t="s">
        <v>428</v>
      </c>
      <c r="C15" s="485"/>
      <c r="D15" s="486"/>
    </row>
    <row r="16" spans="1:4" s="1" customFormat="1" ht="14.25" customHeight="1" thickBot="1">
      <c r="A16" s="475" t="s">
        <v>543</v>
      </c>
      <c r="B16" s="491" t="s">
        <v>791</v>
      </c>
      <c r="C16" s="477">
        <v>25950209</v>
      </c>
      <c r="D16" s="478">
        <f>D19</f>
        <v>10280000</v>
      </c>
    </row>
    <row r="17" spans="1:4" s="1" customFormat="1" ht="15" customHeight="1">
      <c r="A17" s="479" t="s">
        <v>631</v>
      </c>
      <c r="B17" s="484" t="s">
        <v>363</v>
      </c>
      <c r="C17" s="481"/>
      <c r="D17" s="482"/>
    </row>
    <row r="18" spans="1:4" s="1" customFormat="1" ht="13.5" customHeight="1">
      <c r="A18" s="483" t="s">
        <v>632</v>
      </c>
      <c r="B18" s="484" t="s">
        <v>364</v>
      </c>
      <c r="C18" s="485"/>
      <c r="D18" s="486"/>
    </row>
    <row r="19" spans="1:4" s="1" customFormat="1" ht="15" customHeight="1">
      <c r="A19" s="483" t="s">
        <v>633</v>
      </c>
      <c r="B19" s="484" t="s">
        <v>360</v>
      </c>
      <c r="C19" s="485">
        <v>10140600</v>
      </c>
      <c r="D19" s="486">
        <v>10280000</v>
      </c>
    </row>
    <row r="20" spans="1:4" s="1" customFormat="1" ht="15" customHeight="1">
      <c r="A20" s="483" t="s">
        <v>634</v>
      </c>
      <c r="B20" s="484" t="s">
        <v>361</v>
      </c>
      <c r="C20" s="485">
        <v>15809609</v>
      </c>
      <c r="D20" s="486"/>
    </row>
    <row r="21" spans="1:4" s="1" customFormat="1" ht="13.5" customHeight="1">
      <c r="A21" s="483" t="s">
        <v>635</v>
      </c>
      <c r="B21" s="484" t="s">
        <v>362</v>
      </c>
      <c r="C21" s="485"/>
      <c r="D21" s="486"/>
    </row>
    <row r="22" spans="1:4" s="1" customFormat="1" ht="13.5" customHeight="1">
      <c r="A22" s="483" t="s">
        <v>429</v>
      </c>
      <c r="B22" s="484" t="s">
        <v>430</v>
      </c>
      <c r="C22" s="492"/>
      <c r="D22" s="493"/>
    </row>
    <row r="23" spans="1:4" s="1" customFormat="1" ht="13.5" customHeight="1">
      <c r="A23" s="483" t="s">
        <v>644</v>
      </c>
      <c r="B23" s="484" t="s">
        <v>365</v>
      </c>
      <c r="C23" s="492"/>
      <c r="D23" s="493"/>
    </row>
    <row r="24" spans="1:4" s="1" customFormat="1" ht="13.5" customHeight="1">
      <c r="A24" s="483" t="s">
        <v>646</v>
      </c>
      <c r="B24" s="484" t="s">
        <v>366</v>
      </c>
      <c r="C24" s="492"/>
      <c r="D24" s="493"/>
    </row>
    <row r="25" spans="1:4" s="1" customFormat="1" ht="15" customHeight="1">
      <c r="A25" s="483" t="s">
        <v>710</v>
      </c>
      <c r="B25" s="484" t="s">
        <v>431</v>
      </c>
      <c r="C25" s="492"/>
      <c r="D25" s="493"/>
    </row>
    <row r="26" spans="1:4" s="1" customFormat="1" ht="15" customHeight="1">
      <c r="A26" s="483" t="s">
        <v>711</v>
      </c>
      <c r="B26" s="484" t="s">
        <v>367</v>
      </c>
      <c r="C26" s="492"/>
      <c r="D26" s="493"/>
    </row>
    <row r="27" spans="1:4" s="1" customFormat="1" ht="15" customHeight="1" thickBot="1">
      <c r="A27" s="483" t="s">
        <v>712</v>
      </c>
      <c r="B27" s="484" t="s">
        <v>368</v>
      </c>
      <c r="C27" s="492"/>
      <c r="D27" s="493"/>
    </row>
    <row r="28" spans="1:4" s="1" customFormat="1" ht="13.5" customHeight="1" thickBot="1">
      <c r="A28" s="475" t="s">
        <v>544</v>
      </c>
      <c r="B28" s="476" t="s">
        <v>796</v>
      </c>
      <c r="C28" s="477">
        <v>214407000</v>
      </c>
      <c r="D28" s="478">
        <f>D33+D35</f>
        <v>157449027</v>
      </c>
    </row>
    <row r="29" spans="1:4" s="1" customFormat="1" ht="13.5" customHeight="1">
      <c r="A29" s="479" t="s">
        <v>614</v>
      </c>
      <c r="B29" s="480" t="s">
        <v>522</v>
      </c>
      <c r="C29" s="481"/>
      <c r="D29" s="482"/>
    </row>
    <row r="30" spans="1:4" s="1" customFormat="1" ht="13.5" customHeight="1">
      <c r="A30" s="483" t="s">
        <v>615</v>
      </c>
      <c r="B30" s="480" t="s">
        <v>369</v>
      </c>
      <c r="C30" s="485">
        <v>181000000</v>
      </c>
      <c r="D30" s="486"/>
    </row>
    <row r="31" spans="1:4" s="1" customFormat="1" ht="15.75" customHeight="1">
      <c r="A31" s="483" t="s">
        <v>616</v>
      </c>
      <c r="B31" s="480" t="s">
        <v>370</v>
      </c>
      <c r="C31" s="485"/>
      <c r="D31" s="486"/>
    </row>
    <row r="32" spans="1:4" s="1" customFormat="1" ht="15" customHeight="1">
      <c r="A32" s="483" t="s">
        <v>617</v>
      </c>
      <c r="B32" s="484" t="s">
        <v>351</v>
      </c>
      <c r="C32" s="485"/>
      <c r="D32" s="486"/>
    </row>
    <row r="33" spans="1:4" s="1" customFormat="1" ht="15" customHeight="1">
      <c r="A33" s="483" t="s">
        <v>433</v>
      </c>
      <c r="B33" s="484" t="s">
        <v>432</v>
      </c>
      <c r="C33" s="485">
        <v>33407000</v>
      </c>
      <c r="D33" s="486">
        <v>24058306</v>
      </c>
    </row>
    <row r="34" spans="1:4" s="1" customFormat="1" ht="15" customHeight="1">
      <c r="A34" s="483" t="s">
        <v>434</v>
      </c>
      <c r="B34" s="484" t="s">
        <v>800</v>
      </c>
      <c r="C34" s="485"/>
      <c r="D34" s="486"/>
    </row>
    <row r="35" spans="1:4" s="1" customFormat="1" ht="13.5" customHeight="1">
      <c r="A35" s="483" t="s">
        <v>435</v>
      </c>
      <c r="B35" s="484" t="s">
        <v>350</v>
      </c>
      <c r="C35" s="485"/>
      <c r="D35" s="486">
        <v>133390721</v>
      </c>
    </row>
    <row r="36" spans="1:4" s="1" customFormat="1" ht="13.5" customHeight="1" thickBot="1">
      <c r="A36" s="488" t="s">
        <v>437</v>
      </c>
      <c r="B36" s="489" t="s">
        <v>436</v>
      </c>
      <c r="C36" s="492"/>
      <c r="D36" s="493"/>
    </row>
    <row r="37" spans="1:4" s="1" customFormat="1" ht="15" customHeight="1" thickBot="1">
      <c r="A37" s="475" t="s">
        <v>695</v>
      </c>
      <c r="B37" s="476" t="s">
        <v>801</v>
      </c>
      <c r="C37" s="494">
        <v>149350000</v>
      </c>
      <c r="D37" s="495">
        <v>145800000</v>
      </c>
    </row>
    <row r="38" spans="1:4" s="1" customFormat="1" ht="14.25" customHeight="1">
      <c r="A38" s="479" t="s">
        <v>802</v>
      </c>
      <c r="B38" s="480" t="s">
        <v>808</v>
      </c>
      <c r="C38" s="496">
        <v>127800000</v>
      </c>
      <c r="D38" s="497">
        <v>125800000</v>
      </c>
    </row>
    <row r="39" spans="1:4" s="1" customFormat="1" ht="13.5" customHeight="1">
      <c r="A39" s="483" t="s">
        <v>803</v>
      </c>
      <c r="B39" s="484" t="s">
        <v>809</v>
      </c>
      <c r="C39" s="485">
        <v>5800000</v>
      </c>
      <c r="D39" s="486">
        <v>5800000</v>
      </c>
    </row>
    <row r="40" spans="1:4" s="1" customFormat="1" ht="13.5" customHeight="1">
      <c r="A40" s="483" t="s">
        <v>804</v>
      </c>
      <c r="B40" s="484" t="s">
        <v>810</v>
      </c>
      <c r="C40" s="485">
        <v>122000000</v>
      </c>
      <c r="D40" s="486">
        <v>120000000</v>
      </c>
    </row>
    <row r="41" spans="1:4" s="1" customFormat="1" ht="13.5" customHeight="1">
      <c r="A41" s="483" t="s">
        <v>805</v>
      </c>
      <c r="B41" s="484" t="s">
        <v>811</v>
      </c>
      <c r="C41" s="485">
        <v>18500000</v>
      </c>
      <c r="D41" s="486">
        <v>18000000</v>
      </c>
    </row>
    <row r="42" spans="1:4" s="1" customFormat="1" ht="15" customHeight="1">
      <c r="A42" s="483" t="s">
        <v>806</v>
      </c>
      <c r="B42" s="484" t="s">
        <v>812</v>
      </c>
      <c r="C42" s="485">
        <v>250000</v>
      </c>
      <c r="D42" s="486">
        <v>300000</v>
      </c>
    </row>
    <row r="43" spans="1:4" s="1" customFormat="1" ht="15" customHeight="1">
      <c r="A43" s="488" t="s">
        <v>807</v>
      </c>
      <c r="B43" s="730" t="s">
        <v>322</v>
      </c>
      <c r="C43" s="492">
        <v>1300000</v>
      </c>
      <c r="D43" s="493">
        <v>900000</v>
      </c>
    </row>
    <row r="44" spans="1:4" s="1" customFormat="1" ht="15.75" customHeight="1" thickBot="1">
      <c r="A44" s="488" t="s">
        <v>320</v>
      </c>
      <c r="B44" s="489" t="s">
        <v>813</v>
      </c>
      <c r="C44" s="492">
        <v>1500000</v>
      </c>
      <c r="D44" s="493">
        <v>800000</v>
      </c>
    </row>
    <row r="45" spans="1:4" s="1" customFormat="1" ht="14.25" customHeight="1" thickBot="1">
      <c r="A45" s="475" t="s">
        <v>546</v>
      </c>
      <c r="B45" s="476" t="s">
        <v>814</v>
      </c>
      <c r="C45" s="477">
        <v>151851894</v>
      </c>
      <c r="D45" s="478">
        <v>116111900</v>
      </c>
    </row>
    <row r="46" spans="1:4" s="1" customFormat="1" ht="15" customHeight="1">
      <c r="A46" s="479" t="s">
        <v>618</v>
      </c>
      <c r="B46" s="480" t="s">
        <v>817</v>
      </c>
      <c r="C46" s="481"/>
      <c r="D46" s="482"/>
    </row>
    <row r="47" spans="1:4" s="1" customFormat="1" ht="13.5" customHeight="1">
      <c r="A47" s="483" t="s">
        <v>619</v>
      </c>
      <c r="B47" s="484" t="s">
        <v>818</v>
      </c>
      <c r="C47" s="485">
        <v>13622000</v>
      </c>
      <c r="D47" s="486">
        <v>10800000</v>
      </c>
    </row>
    <row r="48" spans="1:4" s="1" customFormat="1" ht="13.5" customHeight="1">
      <c r="A48" s="483" t="s">
        <v>620</v>
      </c>
      <c r="B48" s="484" t="s">
        <v>819</v>
      </c>
      <c r="C48" s="485">
        <v>300000</v>
      </c>
      <c r="D48" s="486">
        <v>300000</v>
      </c>
    </row>
    <row r="49" spans="1:4" s="1" customFormat="1" ht="13.5" customHeight="1">
      <c r="A49" s="483" t="s">
        <v>697</v>
      </c>
      <c r="B49" s="484" t="s">
        <v>820</v>
      </c>
      <c r="C49" s="485"/>
      <c r="D49" s="486">
        <v>3200000</v>
      </c>
    </row>
    <row r="50" spans="1:4" s="1" customFormat="1" ht="13.5" customHeight="1">
      <c r="A50" s="483" t="s">
        <v>698</v>
      </c>
      <c r="B50" s="484" t="s">
        <v>821</v>
      </c>
      <c r="C50" s="485">
        <v>83277000</v>
      </c>
      <c r="D50" s="486">
        <v>81231900</v>
      </c>
    </row>
    <row r="51" spans="1:4" s="1" customFormat="1" ht="13.5" customHeight="1">
      <c r="A51" s="483" t="s">
        <v>699</v>
      </c>
      <c r="B51" s="484" t="s">
        <v>822</v>
      </c>
      <c r="C51" s="485">
        <v>33245000</v>
      </c>
      <c r="D51" s="486">
        <v>3280000</v>
      </c>
    </row>
    <row r="52" spans="1:4" s="1" customFormat="1" ht="13.5" customHeight="1">
      <c r="A52" s="483" t="s">
        <v>700</v>
      </c>
      <c r="B52" s="484" t="s">
        <v>823</v>
      </c>
      <c r="C52" s="485">
        <v>9241000</v>
      </c>
      <c r="D52" s="486">
        <v>9300000</v>
      </c>
    </row>
    <row r="53" spans="1:4" s="1" customFormat="1" ht="15" customHeight="1">
      <c r="A53" s="483" t="s">
        <v>701</v>
      </c>
      <c r="B53" s="484" t="s">
        <v>824</v>
      </c>
      <c r="C53" s="485">
        <v>1500000</v>
      </c>
      <c r="D53" s="486">
        <v>1000000</v>
      </c>
    </row>
    <row r="54" spans="1:4" s="1" customFormat="1" ht="13.5" customHeight="1">
      <c r="A54" s="483" t="s">
        <v>815</v>
      </c>
      <c r="B54" s="484" t="s">
        <v>825</v>
      </c>
      <c r="C54" s="498"/>
      <c r="D54" s="499"/>
    </row>
    <row r="55" spans="1:4" s="1" customFormat="1" ht="14.25" customHeight="1" thickBot="1">
      <c r="A55" s="488" t="s">
        <v>816</v>
      </c>
      <c r="B55" s="489" t="s">
        <v>826</v>
      </c>
      <c r="C55" s="500">
        <v>10666894</v>
      </c>
      <c r="D55" s="501">
        <v>7000000</v>
      </c>
    </row>
    <row r="56" spans="1:4" s="1" customFormat="1" ht="18" customHeight="1" thickBot="1">
      <c r="A56" s="475" t="s">
        <v>547</v>
      </c>
      <c r="B56" s="476" t="s">
        <v>827</v>
      </c>
      <c r="C56" s="477">
        <v>105000000</v>
      </c>
      <c r="D56" s="478"/>
    </row>
    <row r="57" spans="1:4" s="1" customFormat="1" ht="18" customHeight="1">
      <c r="A57" s="479" t="s">
        <v>621</v>
      </c>
      <c r="B57" s="480" t="s">
        <v>831</v>
      </c>
      <c r="C57" s="502"/>
      <c r="D57" s="503"/>
    </row>
    <row r="58" spans="1:4" s="1" customFormat="1" ht="15.75" customHeight="1">
      <c r="A58" s="483" t="s">
        <v>622</v>
      </c>
      <c r="B58" s="484" t="s">
        <v>832</v>
      </c>
      <c r="C58" s="498">
        <v>105000000</v>
      </c>
      <c r="D58" s="499"/>
    </row>
    <row r="59" spans="1:4" s="1" customFormat="1" ht="17.25" customHeight="1">
      <c r="A59" s="483" t="s">
        <v>828</v>
      </c>
      <c r="B59" s="484" t="s">
        <v>833</v>
      </c>
      <c r="C59" s="498"/>
      <c r="D59" s="499"/>
    </row>
    <row r="60" spans="1:4" s="1" customFormat="1" ht="15" customHeight="1">
      <c r="A60" s="483" t="s">
        <v>829</v>
      </c>
      <c r="B60" s="484" t="s">
        <v>209</v>
      </c>
      <c r="C60" s="498"/>
      <c r="D60" s="499"/>
    </row>
    <row r="61" spans="1:4" s="1" customFormat="1" ht="16.5" customHeight="1" thickBot="1">
      <c r="A61" s="488" t="s">
        <v>830</v>
      </c>
      <c r="B61" s="489" t="s">
        <v>835</v>
      </c>
      <c r="C61" s="500"/>
      <c r="D61" s="501"/>
    </row>
    <row r="62" spans="1:4" s="1" customFormat="1" ht="15" customHeight="1" thickBot="1">
      <c r="A62" s="475" t="s">
        <v>702</v>
      </c>
      <c r="B62" s="476" t="s">
        <v>836</v>
      </c>
      <c r="C62" s="477"/>
      <c r="D62" s="478"/>
    </row>
    <row r="63" spans="1:4" s="1" customFormat="1" ht="15.75" customHeight="1">
      <c r="A63" s="479" t="s">
        <v>623</v>
      </c>
      <c r="B63" s="484" t="s">
        <v>195</v>
      </c>
      <c r="C63" s="481"/>
      <c r="D63" s="482"/>
    </row>
    <row r="64" spans="1:4" s="1" customFormat="1" ht="15" customHeight="1">
      <c r="A64" s="483" t="s">
        <v>624</v>
      </c>
      <c r="B64" s="484" t="s">
        <v>416</v>
      </c>
      <c r="C64" s="485"/>
      <c r="D64" s="486"/>
    </row>
    <row r="65" spans="1:4" s="1" customFormat="1" ht="15.75" customHeight="1">
      <c r="A65" s="483" t="s">
        <v>840</v>
      </c>
      <c r="B65" s="484" t="s">
        <v>838</v>
      </c>
      <c r="C65" s="485"/>
      <c r="D65" s="486"/>
    </row>
    <row r="66" spans="1:4" s="1" customFormat="1" ht="15" customHeight="1" thickBot="1">
      <c r="A66" s="488" t="s">
        <v>841</v>
      </c>
      <c r="B66" s="489" t="s">
        <v>839</v>
      </c>
      <c r="C66" s="492"/>
      <c r="D66" s="493"/>
    </row>
    <row r="67" spans="1:4" s="1" customFormat="1" ht="13.5" customHeight="1" thickBot="1">
      <c r="A67" s="475" t="s">
        <v>549</v>
      </c>
      <c r="B67" s="491" t="s">
        <v>842</v>
      </c>
      <c r="C67" s="477"/>
      <c r="D67" s="478"/>
    </row>
    <row r="68" spans="1:4" s="1" customFormat="1" ht="12" customHeight="1">
      <c r="A68" s="483" t="s">
        <v>703</v>
      </c>
      <c r="B68" s="484" t="s">
        <v>845</v>
      </c>
      <c r="C68" s="498"/>
      <c r="D68" s="499"/>
    </row>
    <row r="69" spans="1:4" s="1" customFormat="1" ht="12" customHeight="1">
      <c r="A69" s="483" t="s">
        <v>704</v>
      </c>
      <c r="B69" s="484" t="s">
        <v>196</v>
      </c>
      <c r="C69" s="498"/>
      <c r="D69" s="499"/>
    </row>
    <row r="70" spans="1:4" s="1" customFormat="1" ht="12" customHeight="1">
      <c r="A70" s="483" t="s">
        <v>756</v>
      </c>
      <c r="B70" s="484" t="s">
        <v>845</v>
      </c>
      <c r="C70" s="498"/>
      <c r="D70" s="499"/>
    </row>
    <row r="71" spans="1:4" s="1" customFormat="1" ht="12" customHeight="1" thickBot="1">
      <c r="A71" s="483" t="s">
        <v>843</v>
      </c>
      <c r="B71" s="489" t="s">
        <v>417</v>
      </c>
      <c r="C71" s="498"/>
      <c r="D71" s="499"/>
    </row>
    <row r="72" spans="1:4" s="1" customFormat="1" ht="12" customHeight="1" thickBot="1">
      <c r="A72" s="475" t="s">
        <v>550</v>
      </c>
      <c r="B72" s="476" t="s">
        <v>847</v>
      </c>
      <c r="C72" s="494"/>
      <c r="D72" s="495"/>
    </row>
    <row r="73" spans="1:4" s="1" customFormat="1" ht="15.75" customHeight="1" thickBot="1">
      <c r="A73" s="504" t="s">
        <v>848</v>
      </c>
      <c r="B73" s="491" t="s">
        <v>849</v>
      </c>
      <c r="C73" s="477"/>
      <c r="D73" s="478"/>
    </row>
    <row r="74" spans="1:4" s="1" customFormat="1" ht="12.75" customHeight="1">
      <c r="A74" s="483" t="s">
        <v>54</v>
      </c>
      <c r="B74" s="480" t="s">
        <v>850</v>
      </c>
      <c r="C74" s="498"/>
      <c r="D74" s="499"/>
    </row>
    <row r="75" spans="1:4" s="1" customFormat="1" ht="13.5" customHeight="1">
      <c r="A75" s="483" t="s">
        <v>63</v>
      </c>
      <c r="B75" s="484" t="s">
        <v>851</v>
      </c>
      <c r="C75" s="498"/>
      <c r="D75" s="499"/>
    </row>
    <row r="76" spans="1:4" s="1" customFormat="1" ht="12" customHeight="1" thickBot="1">
      <c r="A76" s="483" t="s">
        <v>64</v>
      </c>
      <c r="B76" s="505" t="s">
        <v>203</v>
      </c>
      <c r="C76" s="498"/>
      <c r="D76" s="499"/>
    </row>
    <row r="77" spans="1:4" s="1" customFormat="1" ht="17.25" customHeight="1" thickBot="1">
      <c r="A77" s="504" t="s">
        <v>853</v>
      </c>
      <c r="B77" s="491" t="s">
        <v>854</v>
      </c>
      <c r="C77" s="477"/>
      <c r="D77" s="478">
        <f>D78</f>
        <v>295000000</v>
      </c>
    </row>
    <row r="78" spans="1:4" s="1" customFormat="1" ht="15.75" customHeight="1">
      <c r="A78" s="483" t="s">
        <v>671</v>
      </c>
      <c r="B78" s="480" t="s">
        <v>855</v>
      </c>
      <c r="C78" s="498"/>
      <c r="D78" s="499">
        <v>295000000</v>
      </c>
    </row>
    <row r="79" spans="1:4" s="1" customFormat="1" ht="12" customHeight="1">
      <c r="A79" s="483" t="s">
        <v>672</v>
      </c>
      <c r="B79" s="484" t="s">
        <v>856</v>
      </c>
      <c r="C79" s="498"/>
      <c r="D79" s="499"/>
    </row>
    <row r="80" spans="1:4" s="1" customFormat="1" ht="12" customHeight="1">
      <c r="A80" s="483" t="s">
        <v>55</v>
      </c>
      <c r="B80" s="484" t="s">
        <v>857</v>
      </c>
      <c r="C80" s="498"/>
      <c r="D80" s="499"/>
    </row>
    <row r="81" spans="1:6" s="1" customFormat="1" ht="17.25" customHeight="1" thickBot="1">
      <c r="A81" s="483" t="s">
        <v>56</v>
      </c>
      <c r="B81" s="489" t="s">
        <v>858</v>
      </c>
      <c r="C81" s="498"/>
      <c r="D81" s="499"/>
      <c r="F81" s="41"/>
    </row>
    <row r="82" spans="1:4" s="1" customFormat="1" ht="16.5" thickBot="1">
      <c r="A82" s="504" t="s">
        <v>859</v>
      </c>
      <c r="B82" s="491" t="s">
        <v>860</v>
      </c>
      <c r="C82" s="477">
        <v>194012000</v>
      </c>
      <c r="D82" s="478">
        <f>D83</f>
        <v>199880000</v>
      </c>
    </row>
    <row r="83" spans="1:4" s="1" customFormat="1" ht="15.75" customHeight="1">
      <c r="A83" s="483" t="s">
        <v>57</v>
      </c>
      <c r="B83" s="480" t="s">
        <v>861</v>
      </c>
      <c r="C83" s="498">
        <v>194012000</v>
      </c>
      <c r="D83" s="499">
        <v>199880000</v>
      </c>
    </row>
    <row r="84" spans="1:4" s="1" customFormat="1" ht="12" customHeight="1" thickBot="1">
      <c r="A84" s="483" t="s">
        <v>58</v>
      </c>
      <c r="B84" s="489" t="s">
        <v>862</v>
      </c>
      <c r="C84" s="498"/>
      <c r="D84" s="499"/>
    </row>
    <row r="85" spans="1:4" s="1" customFormat="1" ht="12" customHeight="1" thickBot="1">
      <c r="A85" s="504" t="s">
        <v>863</v>
      </c>
      <c r="B85" s="491" t="s">
        <v>864</v>
      </c>
      <c r="C85" s="477"/>
      <c r="D85" s="478"/>
    </row>
    <row r="86" spans="1:4" s="1" customFormat="1" ht="12" customHeight="1">
      <c r="A86" s="483" t="s">
        <v>59</v>
      </c>
      <c r="B86" s="480" t="s">
        <v>865</v>
      </c>
      <c r="C86" s="498"/>
      <c r="D86" s="499"/>
    </row>
    <row r="87" spans="1:4" s="1" customFormat="1" ht="12" customHeight="1">
      <c r="A87" s="483" t="s">
        <v>60</v>
      </c>
      <c r="B87" s="484" t="s">
        <v>866</v>
      </c>
      <c r="C87" s="498"/>
      <c r="D87" s="499"/>
    </row>
    <row r="88" spans="1:4" s="1" customFormat="1" ht="12" customHeight="1" thickBot="1">
      <c r="A88" s="483" t="s">
        <v>61</v>
      </c>
      <c r="B88" s="489" t="s">
        <v>867</v>
      </c>
      <c r="C88" s="498"/>
      <c r="D88" s="499"/>
    </row>
    <row r="89" spans="1:4" s="1" customFormat="1" ht="12" customHeight="1" thickBot="1">
      <c r="A89" s="504" t="s">
        <v>868</v>
      </c>
      <c r="B89" s="491" t="s">
        <v>62</v>
      </c>
      <c r="C89" s="477">
        <f>SUM(C90:C93)</f>
        <v>0</v>
      </c>
      <c r="D89" s="478"/>
    </row>
    <row r="90" spans="1:4" s="1" customFormat="1" ht="12" customHeight="1">
      <c r="A90" s="506" t="s">
        <v>869</v>
      </c>
      <c r="B90" s="480" t="s">
        <v>42</v>
      </c>
      <c r="C90" s="498"/>
      <c r="D90" s="499"/>
    </row>
    <row r="91" spans="1:4" s="1" customFormat="1" ht="12" customHeight="1">
      <c r="A91" s="507" t="s">
        <v>43</v>
      </c>
      <c r="B91" s="484" t="s">
        <v>44</v>
      </c>
      <c r="C91" s="498"/>
      <c r="D91" s="499"/>
    </row>
    <row r="92" spans="1:4" s="1" customFormat="1" ht="12" customHeight="1">
      <c r="A92" s="507" t="s">
        <v>45</v>
      </c>
      <c r="B92" s="484" t="s">
        <v>46</v>
      </c>
      <c r="C92" s="498"/>
      <c r="D92" s="499"/>
    </row>
    <row r="93" spans="1:4" s="1" customFormat="1" ht="12" customHeight="1" thickBot="1">
      <c r="A93" s="508" t="s">
        <v>47</v>
      </c>
      <c r="B93" s="489" t="s">
        <v>48</v>
      </c>
      <c r="C93" s="498"/>
      <c r="D93" s="499"/>
    </row>
    <row r="94" spans="1:4" s="1" customFormat="1" ht="12" customHeight="1" thickBot="1">
      <c r="A94" s="504" t="s">
        <v>49</v>
      </c>
      <c r="B94" s="491" t="s">
        <v>50</v>
      </c>
      <c r="C94" s="509"/>
      <c r="D94" s="510"/>
    </row>
    <row r="95" spans="1:4" s="1" customFormat="1" ht="12" customHeight="1" thickBot="1">
      <c r="A95" s="504" t="s">
        <v>51</v>
      </c>
      <c r="B95" s="511" t="s">
        <v>52</v>
      </c>
      <c r="C95" s="494"/>
      <c r="D95" s="495"/>
    </row>
    <row r="96" spans="1:4" s="1" customFormat="1" ht="12" customHeight="1" thickBot="1">
      <c r="A96" s="918" t="s">
        <v>558</v>
      </c>
      <c r="B96" s="512" t="s">
        <v>11</v>
      </c>
      <c r="C96" s="494"/>
      <c r="D96" s="495"/>
    </row>
    <row r="97" spans="1:4" s="1" customFormat="1" ht="12" customHeight="1" thickBot="1">
      <c r="A97" s="918" t="s">
        <v>559</v>
      </c>
      <c r="B97" s="512" t="s">
        <v>12</v>
      </c>
      <c r="C97" s="494"/>
      <c r="D97" s="495"/>
    </row>
    <row r="98" spans="1:4" s="1" customFormat="1" ht="15" customHeight="1" thickBot="1">
      <c r="A98" s="918" t="s">
        <v>560</v>
      </c>
      <c r="B98" s="512" t="s">
        <v>53</v>
      </c>
      <c r="C98" s="494">
        <f>C82+C56++C45+C37+C28+C16+C5</f>
        <v>1236858881</v>
      </c>
      <c r="D98" s="495">
        <f>D82+D77+D45+D37+D28+D16+D5</f>
        <v>1317597984</v>
      </c>
    </row>
    <row r="99" spans="1:4" s="1" customFormat="1" ht="12" customHeight="1">
      <c r="A99" s="377"/>
      <c r="B99" s="378"/>
      <c r="C99" s="1043"/>
      <c r="D99" s="513"/>
    </row>
    <row r="100" spans="1:4" s="1" customFormat="1" ht="12" customHeight="1">
      <c r="A100" s="1062"/>
      <c r="B100" s="1062"/>
      <c r="C100" s="1062"/>
      <c r="D100" s="1062"/>
    </row>
    <row r="101" spans="1:4" s="1" customFormat="1" ht="12" customHeight="1" thickBot="1">
      <c r="A101" s="1084"/>
      <c r="B101" s="1084"/>
      <c r="C101" s="469"/>
      <c r="D101" s="470"/>
    </row>
    <row r="102" spans="1:5" s="1" customFormat="1" ht="34.5" customHeight="1" thickBot="1">
      <c r="A102" s="471" t="s">
        <v>540</v>
      </c>
      <c r="B102" s="472" t="s">
        <v>571</v>
      </c>
      <c r="C102" s="473" t="s">
        <v>873</v>
      </c>
      <c r="D102" s="474" t="s">
        <v>874</v>
      </c>
      <c r="E102" s="147"/>
    </row>
    <row r="103" spans="1:5" s="1" customFormat="1" ht="12" customHeight="1" thickBot="1">
      <c r="A103" s="471">
        <v>1</v>
      </c>
      <c r="B103" s="472">
        <v>2</v>
      </c>
      <c r="C103" s="472">
        <v>4</v>
      </c>
      <c r="D103" s="514">
        <v>5</v>
      </c>
      <c r="E103" s="147"/>
    </row>
    <row r="104" spans="1:5" s="1" customFormat="1" ht="15" customHeight="1" thickBot="1">
      <c r="A104" s="515" t="s">
        <v>542</v>
      </c>
      <c r="B104" s="516" t="s">
        <v>210</v>
      </c>
      <c r="C104" s="517">
        <v>668516901</v>
      </c>
      <c r="D104" s="518">
        <v>626926195</v>
      </c>
      <c r="E104" s="147"/>
    </row>
    <row r="105" spans="1:4" s="1" customFormat="1" ht="12.75" customHeight="1">
      <c r="A105" s="519" t="s">
        <v>625</v>
      </c>
      <c r="B105" s="520" t="s">
        <v>572</v>
      </c>
      <c r="C105" s="521">
        <v>198687051</v>
      </c>
      <c r="D105" s="522">
        <v>207127000</v>
      </c>
    </row>
    <row r="106" spans="1:4" ht="16.5" customHeight="1">
      <c r="A106" s="483" t="s">
        <v>626</v>
      </c>
      <c r="B106" s="523" t="s">
        <v>705</v>
      </c>
      <c r="C106" s="485">
        <v>56646815</v>
      </c>
      <c r="D106" s="486">
        <v>49032554</v>
      </c>
    </row>
    <row r="107" spans="1:4" ht="15.75">
      <c r="A107" s="483" t="s">
        <v>627</v>
      </c>
      <c r="B107" s="523" t="s">
        <v>662</v>
      </c>
      <c r="C107" s="492">
        <v>265847537</v>
      </c>
      <c r="D107" s="493">
        <v>217013000</v>
      </c>
    </row>
    <row r="108" spans="1:4" s="40" customFormat="1" ht="12" customHeight="1">
      <c r="A108" s="483" t="s">
        <v>628</v>
      </c>
      <c r="B108" s="524" t="s">
        <v>706</v>
      </c>
      <c r="C108" s="492">
        <v>9611000</v>
      </c>
      <c r="D108" s="493">
        <v>9611000</v>
      </c>
    </row>
    <row r="109" spans="1:4" ht="12" customHeight="1">
      <c r="A109" s="483" t="s">
        <v>639</v>
      </c>
      <c r="B109" s="525" t="s">
        <v>707</v>
      </c>
      <c r="C109" s="492">
        <v>137724498</v>
      </c>
      <c r="D109" s="493">
        <v>144142641</v>
      </c>
    </row>
    <row r="110" spans="1:4" ht="12" customHeight="1">
      <c r="A110" s="483" t="s">
        <v>629</v>
      </c>
      <c r="B110" s="523" t="s">
        <v>69</v>
      </c>
      <c r="C110" s="492"/>
      <c r="D110" s="493"/>
    </row>
    <row r="111" spans="1:4" ht="12" customHeight="1">
      <c r="A111" s="483" t="s">
        <v>630</v>
      </c>
      <c r="B111" s="526" t="s">
        <v>70</v>
      </c>
      <c r="C111" s="492"/>
      <c r="D111" s="493"/>
    </row>
    <row r="112" spans="1:4" ht="12" customHeight="1">
      <c r="A112" s="483" t="s">
        <v>640</v>
      </c>
      <c r="B112" s="527" t="s">
        <v>71</v>
      </c>
      <c r="C112" s="492"/>
      <c r="D112" s="493"/>
    </row>
    <row r="113" spans="1:4" ht="12" customHeight="1">
      <c r="A113" s="483" t="s">
        <v>641</v>
      </c>
      <c r="B113" s="527" t="s">
        <v>72</v>
      </c>
      <c r="C113" s="492">
        <v>1194000</v>
      </c>
      <c r="D113" s="493"/>
    </row>
    <row r="114" spans="1:4" ht="12" customHeight="1">
      <c r="A114" s="483" t="s">
        <v>642</v>
      </c>
      <c r="B114" s="526" t="s">
        <v>413</v>
      </c>
      <c r="C114" s="492">
        <v>131330498</v>
      </c>
      <c r="D114" s="493">
        <v>138942641</v>
      </c>
    </row>
    <row r="115" spans="1:4" ht="12" customHeight="1">
      <c r="A115" s="483" t="s">
        <v>643</v>
      </c>
      <c r="B115" s="526" t="s">
        <v>73</v>
      </c>
      <c r="C115" s="492">
        <v>2000000</v>
      </c>
      <c r="D115" s="493">
        <v>2000000</v>
      </c>
    </row>
    <row r="116" spans="1:4" ht="12" customHeight="1">
      <c r="A116" s="483" t="s">
        <v>645</v>
      </c>
      <c r="B116" s="527" t="s">
        <v>75</v>
      </c>
      <c r="C116" s="492"/>
      <c r="D116" s="493"/>
    </row>
    <row r="117" spans="1:4" ht="12" customHeight="1">
      <c r="A117" s="528" t="s">
        <v>708</v>
      </c>
      <c r="B117" s="526" t="s">
        <v>438</v>
      </c>
      <c r="C117" s="492"/>
      <c r="D117" s="493"/>
    </row>
    <row r="118" spans="1:4" ht="12" customHeight="1">
      <c r="A118" s="483" t="s">
        <v>66</v>
      </c>
      <c r="B118" s="526" t="s">
        <v>414</v>
      </c>
      <c r="C118" s="492"/>
      <c r="D118" s="493"/>
    </row>
    <row r="119" spans="1:4" ht="12" customHeight="1" thickBot="1">
      <c r="A119" s="529" t="s">
        <v>67</v>
      </c>
      <c r="B119" s="526" t="s">
        <v>415</v>
      </c>
      <c r="C119" s="530">
        <v>3200000</v>
      </c>
      <c r="D119" s="531">
        <v>3200000</v>
      </c>
    </row>
    <row r="120" spans="1:4" ht="21" customHeight="1" thickBot="1">
      <c r="A120" s="475" t="s">
        <v>543</v>
      </c>
      <c r="B120" s="532" t="s">
        <v>211</v>
      </c>
      <c r="C120" s="477">
        <v>134524000</v>
      </c>
      <c r="D120" s="478">
        <f>D121+D123</f>
        <v>321411285</v>
      </c>
    </row>
    <row r="121" spans="1:4" ht="18.75" customHeight="1">
      <c r="A121" s="479" t="s">
        <v>631</v>
      </c>
      <c r="B121" s="523" t="s">
        <v>754</v>
      </c>
      <c r="C121" s="481">
        <v>39412000</v>
      </c>
      <c r="D121" s="482">
        <v>140411285</v>
      </c>
    </row>
    <row r="122" spans="1:4" ht="12" customHeight="1">
      <c r="A122" s="479" t="s">
        <v>632</v>
      </c>
      <c r="B122" s="533" t="s">
        <v>83</v>
      </c>
      <c r="C122" s="481"/>
      <c r="D122" s="482"/>
    </row>
    <row r="123" spans="1:4" ht="12" customHeight="1">
      <c r="A123" s="479" t="s">
        <v>633</v>
      </c>
      <c r="B123" s="533" t="s">
        <v>709</v>
      </c>
      <c r="C123" s="485">
        <v>45147000</v>
      </c>
      <c r="D123" s="486">
        <v>181000000</v>
      </c>
    </row>
    <row r="124" spans="1:4" ht="12" customHeight="1">
      <c r="A124" s="479" t="s">
        <v>634</v>
      </c>
      <c r="B124" s="533" t="s">
        <v>84</v>
      </c>
      <c r="C124" s="485"/>
      <c r="D124" s="486"/>
    </row>
    <row r="125" spans="1:4" ht="12" customHeight="1">
      <c r="A125" s="479" t="s">
        <v>635</v>
      </c>
      <c r="B125" s="489" t="s">
        <v>757</v>
      </c>
      <c r="C125" s="485">
        <v>49965000</v>
      </c>
      <c r="D125" s="486"/>
    </row>
    <row r="126" spans="1:4" ht="12" customHeight="1">
      <c r="A126" s="479" t="s">
        <v>644</v>
      </c>
      <c r="B126" s="534" t="s">
        <v>197</v>
      </c>
      <c r="C126" s="485"/>
      <c r="D126" s="486"/>
    </row>
    <row r="127" spans="1:4" ht="31.5">
      <c r="A127" s="479" t="s">
        <v>646</v>
      </c>
      <c r="B127" s="535" t="s">
        <v>89</v>
      </c>
      <c r="C127" s="485"/>
      <c r="D127" s="486"/>
    </row>
    <row r="128" spans="1:4" ht="12" customHeight="1">
      <c r="A128" s="479" t="s">
        <v>710</v>
      </c>
      <c r="B128" s="527" t="s">
        <v>88</v>
      </c>
      <c r="C128" s="485">
        <v>31646000</v>
      </c>
      <c r="D128" s="486"/>
    </row>
    <row r="129" spans="1:4" ht="12" customHeight="1">
      <c r="A129" s="479" t="s">
        <v>711</v>
      </c>
      <c r="B129" s="527" t="s">
        <v>388</v>
      </c>
      <c r="C129" s="485">
        <v>17119000</v>
      </c>
      <c r="D129" s="486"/>
    </row>
    <row r="130" spans="1:4" ht="12" customHeight="1">
      <c r="A130" s="479" t="s">
        <v>712</v>
      </c>
      <c r="B130" s="527" t="s">
        <v>418</v>
      </c>
      <c r="C130" s="485"/>
      <c r="D130" s="486"/>
    </row>
    <row r="131" spans="1:4" ht="12" customHeight="1">
      <c r="A131" s="479" t="s">
        <v>80</v>
      </c>
      <c r="B131" s="527" t="s">
        <v>87</v>
      </c>
      <c r="C131" s="485"/>
      <c r="D131" s="486"/>
    </row>
    <row r="132" spans="1:4" ht="12" customHeight="1">
      <c r="A132" s="479" t="s">
        <v>81</v>
      </c>
      <c r="B132" s="527" t="s">
        <v>75</v>
      </c>
      <c r="C132" s="485"/>
      <c r="D132" s="486"/>
    </row>
    <row r="133" spans="1:4" ht="12" customHeight="1">
      <c r="A133" s="479" t="s">
        <v>82</v>
      </c>
      <c r="B133" s="527" t="s">
        <v>86</v>
      </c>
      <c r="C133" s="485"/>
      <c r="D133" s="486"/>
    </row>
    <row r="134" spans="1:4" ht="12" customHeight="1" thickBot="1">
      <c r="A134" s="528" t="s">
        <v>393</v>
      </c>
      <c r="B134" s="527" t="s">
        <v>85</v>
      </c>
      <c r="C134" s="492">
        <v>1200000</v>
      </c>
      <c r="D134" s="493"/>
    </row>
    <row r="135" spans="1:4" ht="15.75" customHeight="1" thickBot="1">
      <c r="A135" s="475" t="s">
        <v>544</v>
      </c>
      <c r="B135" s="536" t="s">
        <v>90</v>
      </c>
      <c r="C135" s="477">
        <v>124805980</v>
      </c>
      <c r="D135" s="478">
        <f>D136+D137</f>
        <v>369260504</v>
      </c>
    </row>
    <row r="136" spans="1:4" ht="12" customHeight="1">
      <c r="A136" s="479" t="s">
        <v>614</v>
      </c>
      <c r="B136" s="537" t="s">
        <v>583</v>
      </c>
      <c r="C136" s="481">
        <v>65985980</v>
      </c>
      <c r="D136" s="482">
        <v>38342762</v>
      </c>
    </row>
    <row r="137" spans="1:4" ht="12" customHeight="1" thickBot="1">
      <c r="A137" s="488" t="s">
        <v>615</v>
      </c>
      <c r="B137" s="533" t="s">
        <v>584</v>
      </c>
      <c r="C137" s="492">
        <v>58820000</v>
      </c>
      <c r="D137" s="493">
        <v>330917742</v>
      </c>
    </row>
    <row r="138" spans="1:4" ht="12" customHeight="1" thickBot="1">
      <c r="A138" s="475" t="s">
        <v>545</v>
      </c>
      <c r="B138" s="536" t="s">
        <v>91</v>
      </c>
      <c r="C138" s="477"/>
      <c r="D138" s="478"/>
    </row>
    <row r="139" spans="1:4" ht="13.5" customHeight="1" thickBot="1">
      <c r="A139" s="475" t="s">
        <v>546</v>
      </c>
      <c r="B139" s="536" t="s">
        <v>92</v>
      </c>
      <c r="C139" s="477"/>
      <c r="D139" s="478"/>
    </row>
    <row r="140" spans="1:4" ht="12" customHeight="1">
      <c r="A140" s="479" t="s">
        <v>618</v>
      </c>
      <c r="B140" s="537" t="s">
        <v>93</v>
      </c>
      <c r="C140" s="485"/>
      <c r="D140" s="486"/>
    </row>
    <row r="141" spans="1:4" ht="12" customHeight="1">
      <c r="A141" s="479" t="s">
        <v>619</v>
      </c>
      <c r="B141" s="537" t="s">
        <v>94</v>
      </c>
      <c r="C141" s="485"/>
      <c r="D141" s="486"/>
    </row>
    <row r="142" spans="1:4" ht="12" customHeight="1" thickBot="1">
      <c r="A142" s="528" t="s">
        <v>620</v>
      </c>
      <c r="B142" s="538" t="s">
        <v>95</v>
      </c>
      <c r="C142" s="485"/>
      <c r="D142" s="486"/>
    </row>
    <row r="143" spans="1:4" ht="12" customHeight="1" thickBot="1">
      <c r="A143" s="475" t="s">
        <v>547</v>
      </c>
      <c r="B143" s="536" t="s">
        <v>156</v>
      </c>
      <c r="C143" s="477">
        <v>295000000</v>
      </c>
      <c r="D143" s="478"/>
    </row>
    <row r="144" spans="1:4" ht="12" customHeight="1">
      <c r="A144" s="479" t="s">
        <v>621</v>
      </c>
      <c r="B144" s="537" t="s">
        <v>96</v>
      </c>
      <c r="C144" s="485">
        <v>295000000</v>
      </c>
      <c r="D144" s="486"/>
    </row>
    <row r="145" spans="1:4" ht="12" customHeight="1">
      <c r="A145" s="479" t="s">
        <v>622</v>
      </c>
      <c r="B145" s="537" t="s">
        <v>97</v>
      </c>
      <c r="C145" s="485"/>
      <c r="D145" s="486"/>
    </row>
    <row r="146" spans="1:4" ht="12" customHeight="1">
      <c r="A146" s="479" t="s">
        <v>828</v>
      </c>
      <c r="B146" s="537" t="s">
        <v>98</v>
      </c>
      <c r="C146" s="485"/>
      <c r="D146" s="486"/>
    </row>
    <row r="147" spans="1:4" ht="12" customHeight="1" thickBot="1">
      <c r="A147" s="528" t="s">
        <v>829</v>
      </c>
      <c r="B147" s="538" t="s">
        <v>99</v>
      </c>
      <c r="C147" s="485"/>
      <c r="D147" s="486"/>
    </row>
    <row r="148" spans="1:4" ht="12" customHeight="1" thickBot="1">
      <c r="A148" s="475" t="s">
        <v>548</v>
      </c>
      <c r="B148" s="536" t="s">
        <v>100</v>
      </c>
      <c r="C148" s="494">
        <v>14012000</v>
      </c>
      <c r="D148" s="495"/>
    </row>
    <row r="149" spans="1:4" ht="12" customHeight="1">
      <c r="A149" s="479" t="s">
        <v>623</v>
      </c>
      <c r="B149" s="537" t="s">
        <v>101</v>
      </c>
      <c r="C149" s="485"/>
      <c r="D149" s="486"/>
    </row>
    <row r="150" spans="1:4" ht="12" customHeight="1">
      <c r="A150" s="479" t="s">
        <v>624</v>
      </c>
      <c r="B150" s="537" t="s">
        <v>111</v>
      </c>
      <c r="C150" s="485">
        <v>14012000</v>
      </c>
      <c r="D150" s="486"/>
    </row>
    <row r="151" spans="1:4" ht="12" customHeight="1">
      <c r="A151" s="479" t="s">
        <v>840</v>
      </c>
      <c r="B151" s="537" t="s">
        <v>102</v>
      </c>
      <c r="C151" s="485"/>
      <c r="D151" s="486"/>
    </row>
    <row r="152" spans="1:4" ht="12" customHeight="1" thickBot="1">
      <c r="A152" s="528" t="s">
        <v>841</v>
      </c>
      <c r="B152" s="538" t="s">
        <v>103</v>
      </c>
      <c r="C152" s="485"/>
      <c r="D152" s="486"/>
    </row>
    <row r="153" spans="1:4" ht="12" customHeight="1" thickBot="1">
      <c r="A153" s="475" t="s">
        <v>549</v>
      </c>
      <c r="B153" s="536" t="s">
        <v>104</v>
      </c>
      <c r="C153" s="539"/>
      <c r="D153" s="540"/>
    </row>
    <row r="154" spans="1:4" ht="12" customHeight="1">
      <c r="A154" s="479" t="s">
        <v>703</v>
      </c>
      <c r="B154" s="537" t="s">
        <v>105</v>
      </c>
      <c r="C154" s="485"/>
      <c r="D154" s="486"/>
    </row>
    <row r="155" spans="1:4" ht="12" customHeight="1">
      <c r="A155" s="479" t="s">
        <v>704</v>
      </c>
      <c r="B155" s="537" t="s">
        <v>106</v>
      </c>
      <c r="C155" s="485"/>
      <c r="D155" s="486"/>
    </row>
    <row r="156" spans="1:4" ht="12" customHeight="1">
      <c r="A156" s="479" t="s">
        <v>756</v>
      </c>
      <c r="B156" s="537" t="s">
        <v>107</v>
      </c>
      <c r="C156" s="485"/>
      <c r="D156" s="486"/>
    </row>
    <row r="157" spans="1:4" ht="12" customHeight="1" thickBot="1">
      <c r="A157" s="479" t="s">
        <v>843</v>
      </c>
      <c r="B157" s="537" t="s">
        <v>108</v>
      </c>
      <c r="C157" s="485"/>
      <c r="D157" s="486"/>
    </row>
    <row r="158" spans="1:4" ht="12" customHeight="1" thickBot="1">
      <c r="A158" s="475" t="s">
        <v>550</v>
      </c>
      <c r="B158" s="536" t="s">
        <v>109</v>
      </c>
      <c r="C158" s="541"/>
      <c r="D158" s="542"/>
    </row>
    <row r="159" spans="1:4" ht="12" customHeight="1" thickBot="1">
      <c r="A159" s="917" t="s">
        <v>551</v>
      </c>
      <c r="B159" s="919" t="s">
        <v>419</v>
      </c>
      <c r="C159" s="541"/>
      <c r="D159" s="542"/>
    </row>
    <row r="160" spans="1:4" ht="12" customHeight="1" thickBot="1">
      <c r="A160" s="917" t="s">
        <v>552</v>
      </c>
      <c r="B160" s="919" t="s">
        <v>420</v>
      </c>
      <c r="C160" s="541"/>
      <c r="D160" s="542"/>
    </row>
    <row r="161" spans="1:4" ht="12" customHeight="1" thickBot="1">
      <c r="A161" s="917" t="s">
        <v>553</v>
      </c>
      <c r="B161" s="919" t="s">
        <v>421</v>
      </c>
      <c r="C161" s="541"/>
      <c r="D161" s="542"/>
    </row>
    <row r="162" spans="1:4" ht="12" customHeight="1" thickBot="1">
      <c r="A162" s="917" t="s">
        <v>554</v>
      </c>
      <c r="B162" s="919" t="s">
        <v>422</v>
      </c>
      <c r="C162" s="541"/>
      <c r="D162" s="542"/>
    </row>
    <row r="163" spans="1:4" ht="12" customHeight="1" thickBot="1">
      <c r="A163" s="917" t="s">
        <v>555</v>
      </c>
      <c r="B163" s="919" t="s">
        <v>423</v>
      </c>
      <c r="C163" s="541"/>
      <c r="D163" s="542"/>
    </row>
    <row r="164" spans="1:4" ht="12" customHeight="1" thickBot="1">
      <c r="A164" s="917" t="s">
        <v>556</v>
      </c>
      <c r="B164" s="919" t="s">
        <v>424</v>
      </c>
      <c r="C164" s="541"/>
      <c r="D164" s="542"/>
    </row>
    <row r="165" spans="1:4" ht="12" customHeight="1" thickBot="1">
      <c r="A165" s="543" t="s">
        <v>557</v>
      </c>
      <c r="B165" s="544" t="s">
        <v>110</v>
      </c>
      <c r="C165" s="541">
        <f>C148+C143+C135+C120+C104</f>
        <v>1236858881</v>
      </c>
      <c r="D165" s="542">
        <f>D135+D120+D104</f>
        <v>1317597984</v>
      </c>
    </row>
    <row r="166" ht="12" customHeight="1"/>
    <row r="167" ht="12" customHeight="1"/>
    <row r="168" ht="12" customHeight="1"/>
    <row r="169" ht="12" customHeight="1"/>
    <row r="170" ht="12" customHeight="1"/>
    <row r="171" spans="3:5" ht="15" customHeight="1">
      <c r="C171" s="125"/>
      <c r="D171" s="125"/>
      <c r="E171" s="125"/>
    </row>
    <row r="172" s="1" customFormat="1" ht="12.75" customHeight="1"/>
    <row r="176" ht="16.5" customHeight="1"/>
  </sheetData>
  <sheetProtection selectLockedCells="1"/>
  <mergeCells count="4">
    <mergeCell ref="A1:D1"/>
    <mergeCell ref="A100:D100"/>
    <mergeCell ref="A101:B101"/>
    <mergeCell ref="A2:B2"/>
  </mergeCells>
  <printOptions horizontalCentered="1"/>
  <pageMargins left="0.3937007874015748" right="0.3937007874015748" top="1.2598425196850394" bottom="0.2755905511811024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Tát Város Önkormányzat
2017. ÉVI KÖLTSÉGVETÉSÉNEK MÉRLEGE&amp;R&amp;"Times New Roman CE,Félkövér dőlt"&amp;11 1.  tájékoztató tábla</oddHeader>
  </headerFooter>
  <rowBreaks count="1" manualBreakCount="1">
    <brk id="99" max="4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view="pageBreakPreview" zoomScale="60" workbookViewId="0" topLeftCell="A1">
      <selection activeCell="I2" sqref="I2"/>
    </sheetView>
  </sheetViews>
  <sheetFormatPr defaultColWidth="9.00390625" defaultRowHeight="12.75"/>
  <cols>
    <col min="1" max="1" width="6.875" style="195" customWidth="1"/>
    <col min="2" max="2" width="49.625" style="56" customWidth="1"/>
    <col min="3" max="8" width="12.875" style="56" customWidth="1"/>
    <col min="9" max="9" width="13.875" style="56" customWidth="1"/>
    <col min="10" max="16384" width="9.375" style="56" customWidth="1"/>
  </cols>
  <sheetData>
    <row r="1" spans="1:9" ht="27.75" customHeight="1">
      <c r="A1" s="1086" t="s">
        <v>530</v>
      </c>
      <c r="B1" s="1086"/>
      <c r="C1" s="1086"/>
      <c r="D1" s="1086"/>
      <c r="E1" s="1086"/>
      <c r="F1" s="1086"/>
      <c r="G1" s="1086"/>
      <c r="H1" s="1086"/>
      <c r="I1" s="1086"/>
    </row>
    <row r="2" ht="20.25" customHeight="1" thickBot="1">
      <c r="I2" s="463"/>
    </row>
    <row r="3" spans="1:9" s="464" customFormat="1" ht="26.25" customHeight="1">
      <c r="A3" s="1094" t="s">
        <v>595</v>
      </c>
      <c r="B3" s="1089" t="s">
        <v>611</v>
      </c>
      <c r="C3" s="1094" t="s">
        <v>612</v>
      </c>
      <c r="D3" s="1094" t="s">
        <v>316</v>
      </c>
      <c r="E3" s="1091" t="s">
        <v>594</v>
      </c>
      <c r="F3" s="1092"/>
      <c r="G3" s="1092"/>
      <c r="H3" s="1093"/>
      <c r="I3" s="1089" t="s">
        <v>574</v>
      </c>
    </row>
    <row r="4" spans="1:9" s="465" customFormat="1" ht="32.25" customHeight="1" thickBot="1">
      <c r="A4" s="1095"/>
      <c r="B4" s="1090"/>
      <c r="C4" s="1090"/>
      <c r="D4" s="1095"/>
      <c r="E4" s="273">
        <v>2017</v>
      </c>
      <c r="F4" s="273">
        <v>2018</v>
      </c>
      <c r="G4" s="273">
        <v>2019</v>
      </c>
      <c r="H4" s="274" t="s">
        <v>872</v>
      </c>
      <c r="I4" s="1090"/>
    </row>
    <row r="5" spans="1:9" s="466" customFormat="1" ht="12.75" customHeight="1" thickBot="1">
      <c r="A5" s="275">
        <v>1</v>
      </c>
      <c r="B5" s="276">
        <v>2</v>
      </c>
      <c r="C5" s="277">
        <v>3</v>
      </c>
      <c r="D5" s="276">
        <v>4</v>
      </c>
      <c r="E5" s="275">
        <v>5</v>
      </c>
      <c r="F5" s="277">
        <v>6</v>
      </c>
      <c r="G5" s="277">
        <v>7</v>
      </c>
      <c r="H5" s="278">
        <v>8</v>
      </c>
      <c r="I5" s="279" t="s">
        <v>613</v>
      </c>
    </row>
    <row r="6" spans="1:9" ht="24.75" customHeight="1" thickBot="1">
      <c r="A6" s="280" t="s">
        <v>542</v>
      </c>
      <c r="B6" s="281" t="s">
        <v>531</v>
      </c>
      <c r="C6" s="458"/>
      <c r="D6" s="60">
        <f>+D7+D8</f>
        <v>0</v>
      </c>
      <c r="E6" s="61">
        <f>+E7+E8</f>
        <v>0</v>
      </c>
      <c r="F6" s="62">
        <f>+F7+F8</f>
        <v>0</v>
      </c>
      <c r="G6" s="62">
        <f>+G7+G8</f>
        <v>0</v>
      </c>
      <c r="H6" s="63">
        <f>+H7+H8</f>
        <v>0</v>
      </c>
      <c r="I6" s="60">
        <f aca="true" t="shared" si="0" ref="I6:I17">SUM(D6:H6)</f>
        <v>0</v>
      </c>
    </row>
    <row r="7" spans="1:9" ht="19.5" customHeight="1">
      <c r="A7" s="282" t="s">
        <v>543</v>
      </c>
      <c r="B7" s="64" t="s">
        <v>596</v>
      </c>
      <c r="C7" s="459"/>
      <c r="D7" s="65"/>
      <c r="E7" s="66"/>
      <c r="F7" s="28"/>
      <c r="G7" s="28"/>
      <c r="H7" s="25"/>
      <c r="I7" s="283">
        <f t="shared" si="0"/>
        <v>0</v>
      </c>
    </row>
    <row r="8" spans="1:9" ht="19.5" customHeight="1" thickBot="1">
      <c r="A8" s="282" t="s">
        <v>544</v>
      </c>
      <c r="B8" s="64" t="s">
        <v>596</v>
      </c>
      <c r="C8" s="459"/>
      <c r="D8" s="65"/>
      <c r="E8" s="66"/>
      <c r="F8" s="28"/>
      <c r="G8" s="28"/>
      <c r="H8" s="25"/>
      <c r="I8" s="283">
        <f t="shared" si="0"/>
        <v>0</v>
      </c>
    </row>
    <row r="9" spans="1:9" ht="25.5" customHeight="1" thickBot="1">
      <c r="A9" s="280" t="s">
        <v>545</v>
      </c>
      <c r="B9" s="281" t="s">
        <v>532</v>
      </c>
      <c r="C9" s="460"/>
      <c r="D9" s="60">
        <f>+D10+D11</f>
        <v>0</v>
      </c>
      <c r="E9" s="61">
        <f>+E10+E11</f>
        <v>0</v>
      </c>
      <c r="F9" s="62">
        <f>+F10+F11</f>
        <v>0</v>
      </c>
      <c r="G9" s="62">
        <f>+G10+G11</f>
        <v>0</v>
      </c>
      <c r="H9" s="63">
        <f>+H10+H11</f>
        <v>0</v>
      </c>
      <c r="I9" s="60">
        <f t="shared" si="0"/>
        <v>0</v>
      </c>
    </row>
    <row r="10" spans="1:9" ht="19.5" customHeight="1">
      <c r="A10" s="282" t="s">
        <v>546</v>
      </c>
      <c r="B10" s="64" t="s">
        <v>596</v>
      </c>
      <c r="C10" s="459"/>
      <c r="D10" s="65"/>
      <c r="E10" s="66"/>
      <c r="F10" s="28"/>
      <c r="G10" s="28"/>
      <c r="H10" s="25"/>
      <c r="I10" s="283">
        <f t="shared" si="0"/>
        <v>0</v>
      </c>
    </row>
    <row r="11" spans="1:9" ht="19.5" customHeight="1" thickBot="1">
      <c r="A11" s="282" t="s">
        <v>547</v>
      </c>
      <c r="B11" s="64" t="s">
        <v>596</v>
      </c>
      <c r="C11" s="459"/>
      <c r="D11" s="65"/>
      <c r="E11" s="66"/>
      <c r="F11" s="28"/>
      <c r="G11" s="28"/>
      <c r="H11" s="25"/>
      <c r="I11" s="283">
        <f t="shared" si="0"/>
        <v>0</v>
      </c>
    </row>
    <row r="12" spans="1:9" ht="19.5" customHeight="1" thickBot="1">
      <c r="A12" s="280" t="s">
        <v>548</v>
      </c>
      <c r="B12" s="281" t="s">
        <v>730</v>
      </c>
      <c r="C12" s="460"/>
      <c r="D12" s="60">
        <f>+D13</f>
        <v>0</v>
      </c>
      <c r="E12" s="61">
        <f>+E13</f>
        <v>0</v>
      </c>
      <c r="F12" s="62">
        <f>+F13</f>
        <v>0</v>
      </c>
      <c r="G12" s="62">
        <f>+G13</f>
        <v>0</v>
      </c>
      <c r="H12" s="63">
        <f>+H13</f>
        <v>0</v>
      </c>
      <c r="I12" s="60">
        <f t="shared" si="0"/>
        <v>0</v>
      </c>
    </row>
    <row r="13" spans="1:9" ht="19.5" customHeight="1" thickBot="1">
      <c r="A13" s="282" t="s">
        <v>549</v>
      </c>
      <c r="B13" s="64" t="s">
        <v>596</v>
      </c>
      <c r="C13" s="459"/>
      <c r="D13" s="65"/>
      <c r="E13" s="66"/>
      <c r="F13" s="28"/>
      <c r="G13" s="28"/>
      <c r="H13" s="25"/>
      <c r="I13" s="283">
        <f t="shared" si="0"/>
        <v>0</v>
      </c>
    </row>
    <row r="14" spans="1:9" ht="19.5" customHeight="1" thickBot="1">
      <c r="A14" s="280" t="s">
        <v>550</v>
      </c>
      <c r="B14" s="281" t="s">
        <v>731</v>
      </c>
      <c r="C14" s="460"/>
      <c r="D14" s="60">
        <f>+D15</f>
        <v>0</v>
      </c>
      <c r="E14" s="61">
        <f>+E15</f>
        <v>0</v>
      </c>
      <c r="F14" s="62">
        <f>+F15</f>
        <v>0</v>
      </c>
      <c r="G14" s="62">
        <f>+G15</f>
        <v>0</v>
      </c>
      <c r="H14" s="63">
        <f>+H15</f>
        <v>0</v>
      </c>
      <c r="I14" s="60">
        <f t="shared" si="0"/>
        <v>0</v>
      </c>
    </row>
    <row r="15" spans="1:9" ht="19.5" customHeight="1" thickBot="1">
      <c r="A15" s="284" t="s">
        <v>551</v>
      </c>
      <c r="B15" s="67" t="s">
        <v>596</v>
      </c>
      <c r="C15" s="461"/>
      <c r="D15" s="68"/>
      <c r="E15" s="69"/>
      <c r="F15" s="29"/>
      <c r="G15" s="29"/>
      <c r="H15" s="27"/>
      <c r="I15" s="285">
        <f t="shared" si="0"/>
        <v>0</v>
      </c>
    </row>
    <row r="16" spans="1:9" ht="19.5" customHeight="1" thickBot="1">
      <c r="A16" s="280" t="s">
        <v>552</v>
      </c>
      <c r="B16" s="286" t="s">
        <v>732</v>
      </c>
      <c r="C16" s="460"/>
      <c r="D16" s="60">
        <f>+D17</f>
        <v>0</v>
      </c>
      <c r="E16" s="61">
        <v>5200000</v>
      </c>
      <c r="F16" s="62">
        <v>5200000</v>
      </c>
      <c r="G16" s="62">
        <v>5200000</v>
      </c>
      <c r="H16" s="63">
        <v>5200000</v>
      </c>
      <c r="I16" s="60">
        <f t="shared" si="0"/>
        <v>20800000</v>
      </c>
    </row>
    <row r="17" spans="1:9" ht="19.5" customHeight="1" thickBot="1">
      <c r="A17" s="287" t="s">
        <v>553</v>
      </c>
      <c r="B17" s="70" t="s">
        <v>270</v>
      </c>
      <c r="C17" s="462"/>
      <c r="D17" s="71"/>
      <c r="E17" s="72">
        <v>5200000</v>
      </c>
      <c r="F17" s="73">
        <v>5200000</v>
      </c>
      <c r="G17" s="73">
        <v>5200000</v>
      </c>
      <c r="H17" s="26">
        <v>5200000</v>
      </c>
      <c r="I17" s="288">
        <f t="shared" si="0"/>
        <v>20800000</v>
      </c>
    </row>
    <row r="18" spans="1:9" ht="19.5" customHeight="1" thickBot="1">
      <c r="A18" s="1087" t="s">
        <v>668</v>
      </c>
      <c r="B18" s="1088"/>
      <c r="C18" s="922"/>
      <c r="D18" s="60">
        <f aca="true" t="shared" si="1" ref="D18:I18">+D6+D9+D12+D14+D16</f>
        <v>0</v>
      </c>
      <c r="E18" s="61">
        <f t="shared" si="1"/>
        <v>5200000</v>
      </c>
      <c r="F18" s="62">
        <f t="shared" si="1"/>
        <v>5200000</v>
      </c>
      <c r="G18" s="62">
        <f t="shared" si="1"/>
        <v>5200000</v>
      </c>
      <c r="H18" s="63">
        <f t="shared" si="1"/>
        <v>5200000</v>
      </c>
      <c r="I18" s="60">
        <f t="shared" si="1"/>
        <v>20800000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E31"/>
  <sheetViews>
    <sheetView view="pageBreakPreview" zoomScale="60" workbookViewId="0" topLeftCell="A1">
      <selection activeCell="D2" sqref="D2"/>
    </sheetView>
  </sheetViews>
  <sheetFormatPr defaultColWidth="9.00390625" defaultRowHeight="12.75"/>
  <cols>
    <col min="1" max="1" width="5.875" style="87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1097" t="s">
        <v>533</v>
      </c>
      <c r="C1" s="1097"/>
      <c r="D1" s="1097"/>
    </row>
    <row r="2" spans="1:4" s="75" customFormat="1" ht="16.5" thickBot="1">
      <c r="A2" s="74"/>
      <c r="B2" s="379"/>
      <c r="D2" s="44"/>
    </row>
    <row r="3" spans="1:4" s="77" customFormat="1" ht="48" customHeight="1" thickBot="1">
      <c r="A3" s="76" t="s">
        <v>540</v>
      </c>
      <c r="B3" s="199" t="s">
        <v>541</v>
      </c>
      <c r="C3" s="199" t="s">
        <v>597</v>
      </c>
      <c r="D3" s="200" t="s">
        <v>598</v>
      </c>
    </row>
    <row r="4" spans="1:4" s="77" customFormat="1" ht="13.5" customHeight="1" thickBot="1">
      <c r="A4" s="35">
        <v>1</v>
      </c>
      <c r="B4" s="202">
        <v>2</v>
      </c>
      <c r="C4" s="202">
        <v>3</v>
      </c>
      <c r="D4" s="203">
        <v>4</v>
      </c>
    </row>
    <row r="5" spans="1:5" ht="18" customHeight="1">
      <c r="A5" s="133" t="s">
        <v>542</v>
      </c>
      <c r="B5" s="204" t="s">
        <v>689</v>
      </c>
      <c r="C5" s="300">
        <v>81231900</v>
      </c>
      <c r="D5" s="78">
        <v>14380000</v>
      </c>
      <c r="E5" s="3" t="s">
        <v>17</v>
      </c>
    </row>
    <row r="6" spans="1:4" ht="18" customHeight="1">
      <c r="A6" s="79" t="s">
        <v>543</v>
      </c>
      <c r="B6" s="205" t="s">
        <v>690</v>
      </c>
      <c r="C6" s="132"/>
      <c r="D6" s="81"/>
    </row>
    <row r="7" spans="1:4" ht="18" customHeight="1">
      <c r="A7" s="79" t="s">
        <v>544</v>
      </c>
      <c r="B7" s="205" t="s">
        <v>647</v>
      </c>
      <c r="C7" s="132"/>
      <c r="D7" s="81"/>
    </row>
    <row r="8" spans="1:4" ht="18" customHeight="1">
      <c r="A8" s="79" t="s">
        <v>545</v>
      </c>
      <c r="B8" s="205" t="s">
        <v>648</v>
      </c>
      <c r="C8" s="132"/>
      <c r="D8" s="81"/>
    </row>
    <row r="9" spans="1:4" ht="18" customHeight="1">
      <c r="A9" s="79" t="s">
        <v>546</v>
      </c>
      <c r="B9" s="205" t="s">
        <v>682</v>
      </c>
      <c r="C9" s="132"/>
      <c r="D9" s="81"/>
    </row>
    <row r="10" spans="1:4" ht="18" customHeight="1">
      <c r="A10" s="79" t="s">
        <v>547</v>
      </c>
      <c r="B10" s="205" t="s">
        <v>683</v>
      </c>
      <c r="C10" s="132"/>
      <c r="D10" s="81"/>
    </row>
    <row r="11" spans="1:4" ht="18" customHeight="1">
      <c r="A11" s="79" t="s">
        <v>548</v>
      </c>
      <c r="B11" s="206" t="s">
        <v>684</v>
      </c>
      <c r="C11" s="132"/>
      <c r="D11" s="81"/>
    </row>
    <row r="12" spans="1:4" ht="18" customHeight="1">
      <c r="A12" s="79" t="s">
        <v>550</v>
      </c>
      <c r="B12" s="206" t="s">
        <v>685</v>
      </c>
      <c r="C12" s="132">
        <v>5800000</v>
      </c>
      <c r="D12" s="81"/>
    </row>
    <row r="13" spans="1:4" ht="18" customHeight="1">
      <c r="A13" s="79" t="s">
        <v>551</v>
      </c>
      <c r="B13" s="206" t="s">
        <v>686</v>
      </c>
      <c r="C13" s="132">
        <v>300000</v>
      </c>
      <c r="D13" s="81"/>
    </row>
    <row r="14" spans="1:4" ht="18" customHeight="1">
      <c r="A14" s="79" t="s">
        <v>552</v>
      </c>
      <c r="B14" s="206" t="s">
        <v>687</v>
      </c>
      <c r="C14" s="132"/>
      <c r="D14" s="81"/>
    </row>
    <row r="15" spans="1:4" ht="22.5" customHeight="1">
      <c r="A15" s="79" t="s">
        <v>553</v>
      </c>
      <c r="B15" s="206" t="s">
        <v>688</v>
      </c>
      <c r="C15" s="132">
        <v>120000000</v>
      </c>
      <c r="D15" s="81"/>
    </row>
    <row r="16" spans="1:4" ht="18" customHeight="1">
      <c r="A16" s="79" t="s">
        <v>554</v>
      </c>
      <c r="B16" s="205" t="s">
        <v>649</v>
      </c>
      <c r="C16" s="132">
        <v>18000000</v>
      </c>
      <c r="D16" s="81"/>
    </row>
    <row r="17" spans="1:4" ht="18" customHeight="1">
      <c r="A17" s="79" t="s">
        <v>555</v>
      </c>
      <c r="B17" s="205" t="s">
        <v>535</v>
      </c>
      <c r="C17" s="132">
        <v>6200000</v>
      </c>
      <c r="D17" s="81"/>
    </row>
    <row r="18" spans="1:4" ht="18" customHeight="1">
      <c r="A18" s="79" t="s">
        <v>556</v>
      </c>
      <c r="B18" s="205" t="s">
        <v>534</v>
      </c>
      <c r="C18" s="132"/>
      <c r="D18" s="81"/>
    </row>
    <row r="19" spans="1:4" ht="18" customHeight="1">
      <c r="A19" s="79" t="s">
        <v>557</v>
      </c>
      <c r="B19" s="205" t="s">
        <v>650</v>
      </c>
      <c r="C19" s="132"/>
      <c r="D19" s="81"/>
    </row>
    <row r="20" spans="1:4" ht="18" customHeight="1">
      <c r="A20" s="79" t="s">
        <v>558</v>
      </c>
      <c r="B20" s="205" t="s">
        <v>651</v>
      </c>
      <c r="C20" s="132"/>
      <c r="D20" s="81"/>
    </row>
    <row r="21" spans="1:4" ht="18" customHeight="1">
      <c r="A21" s="79" t="s">
        <v>559</v>
      </c>
      <c r="B21" s="123"/>
      <c r="C21" s="80"/>
      <c r="D21" s="81"/>
    </row>
    <row r="22" spans="1:4" ht="18" customHeight="1">
      <c r="A22" s="79" t="s">
        <v>560</v>
      </c>
      <c r="B22" s="82"/>
      <c r="C22" s="80"/>
      <c r="D22" s="81"/>
    </row>
    <row r="23" spans="1:4" ht="18" customHeight="1">
      <c r="A23" s="79" t="s">
        <v>561</v>
      </c>
      <c r="B23" s="82"/>
      <c r="C23" s="80"/>
      <c r="D23" s="81"/>
    </row>
    <row r="24" spans="1:4" ht="18" customHeight="1">
      <c r="A24" s="79" t="s">
        <v>562</v>
      </c>
      <c r="B24" s="82"/>
      <c r="C24" s="80"/>
      <c r="D24" s="81"/>
    </row>
    <row r="25" spans="1:4" ht="18" customHeight="1">
      <c r="A25" s="79" t="s">
        <v>563</v>
      </c>
      <c r="B25" s="82"/>
      <c r="C25" s="80"/>
      <c r="D25" s="81"/>
    </row>
    <row r="26" spans="1:4" ht="18" customHeight="1">
      <c r="A26" s="79" t="s">
        <v>564</v>
      </c>
      <c r="B26" s="82"/>
      <c r="C26" s="80"/>
      <c r="D26" s="81"/>
    </row>
    <row r="27" spans="1:4" ht="18" customHeight="1">
      <c r="A27" s="79" t="s">
        <v>565</v>
      </c>
      <c r="B27" s="82"/>
      <c r="C27" s="80"/>
      <c r="D27" s="81"/>
    </row>
    <row r="28" spans="1:4" ht="18" customHeight="1">
      <c r="A28" s="79" t="s">
        <v>566</v>
      </c>
      <c r="B28" s="82"/>
      <c r="C28" s="80"/>
      <c r="D28" s="81"/>
    </row>
    <row r="29" spans="1:4" ht="18" customHeight="1" thickBot="1">
      <c r="A29" s="134" t="s">
        <v>567</v>
      </c>
      <c r="B29" s="83"/>
      <c r="C29" s="84"/>
      <c r="D29" s="85"/>
    </row>
    <row r="30" spans="1:4" ht="18" customHeight="1" thickBot="1">
      <c r="A30" s="36" t="s">
        <v>568</v>
      </c>
      <c r="B30" s="210" t="s">
        <v>575</v>
      </c>
      <c r="C30" s="211">
        <f>+C5+C6+C7+C8+C9+C16+C18+C12+C13+C15+C17+C19+C20+C21+C22+C23+C24+C25+C26+C27+C28+C29</f>
        <v>231531900</v>
      </c>
      <c r="D30" s="212">
        <f>+D5+D6+D7+D8+D9+D16+D17+D18+D19+D20+D21+D22+D23+D24+D25+D26+D27+D28+D29</f>
        <v>14380000</v>
      </c>
    </row>
    <row r="31" spans="1:4" ht="27" customHeight="1">
      <c r="A31" s="86"/>
      <c r="B31" s="1096"/>
      <c r="C31" s="1096"/>
      <c r="D31" s="1096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workbookViewId="0" topLeftCell="B1">
      <selection activeCell="C27" sqref="C27:N27"/>
    </sheetView>
  </sheetViews>
  <sheetFormatPr defaultColWidth="9.00390625" defaultRowHeight="12.75"/>
  <cols>
    <col min="1" max="1" width="4.875" style="102" customWidth="1"/>
    <col min="2" max="2" width="31.125" style="117" customWidth="1"/>
    <col min="3" max="3" width="11.125" style="117" bestFit="1" customWidth="1"/>
    <col min="4" max="4" width="10.125" style="117" bestFit="1" customWidth="1"/>
    <col min="5" max="5" width="11.125" style="117" bestFit="1" customWidth="1"/>
    <col min="6" max="7" width="10.125" style="117" bestFit="1" customWidth="1"/>
    <col min="8" max="10" width="11.125" style="117" bestFit="1" customWidth="1"/>
    <col min="11" max="14" width="10.125" style="117" bestFit="1" customWidth="1"/>
    <col min="15" max="15" width="12.625" style="102" customWidth="1"/>
    <col min="16" max="16384" width="9.375" style="117" customWidth="1"/>
  </cols>
  <sheetData>
    <row r="1" spans="1:15" ht="31.5" customHeight="1">
      <c r="A1" s="1101" t="s">
        <v>6</v>
      </c>
      <c r="B1" s="1102"/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  <c r="O1" s="1102"/>
    </row>
    <row r="2" ht="16.5" thickBot="1">
      <c r="O2" s="4"/>
    </row>
    <row r="3" spans="1:15" s="102" customFormat="1" ht="25.5" customHeight="1" thickBot="1">
      <c r="A3" s="99" t="s">
        <v>540</v>
      </c>
      <c r="B3" s="100" t="s">
        <v>587</v>
      </c>
      <c r="C3" s="100" t="s">
        <v>599</v>
      </c>
      <c r="D3" s="100" t="s">
        <v>600</v>
      </c>
      <c r="E3" s="100" t="s">
        <v>601</v>
      </c>
      <c r="F3" s="100" t="s">
        <v>602</v>
      </c>
      <c r="G3" s="100" t="s">
        <v>603</v>
      </c>
      <c r="H3" s="100" t="s">
        <v>604</v>
      </c>
      <c r="I3" s="100" t="s">
        <v>605</v>
      </c>
      <c r="J3" s="100" t="s">
        <v>606</v>
      </c>
      <c r="K3" s="100" t="s">
        <v>607</v>
      </c>
      <c r="L3" s="100" t="s">
        <v>608</v>
      </c>
      <c r="M3" s="100" t="s">
        <v>609</v>
      </c>
      <c r="N3" s="100" t="s">
        <v>610</v>
      </c>
      <c r="O3" s="101" t="s">
        <v>575</v>
      </c>
    </row>
    <row r="4" spans="1:15" s="104" customFormat="1" ht="15" customHeight="1" thickBot="1">
      <c r="A4" s="103" t="s">
        <v>542</v>
      </c>
      <c r="B4" s="1098" t="s">
        <v>579</v>
      </c>
      <c r="C4" s="1099"/>
      <c r="D4" s="1099"/>
      <c r="E4" s="1099"/>
      <c r="F4" s="1099"/>
      <c r="G4" s="1099"/>
      <c r="H4" s="1099"/>
      <c r="I4" s="1099"/>
      <c r="J4" s="1099"/>
      <c r="K4" s="1099"/>
      <c r="L4" s="1099"/>
      <c r="M4" s="1099"/>
      <c r="N4" s="1099"/>
      <c r="O4" s="1100"/>
    </row>
    <row r="5" spans="1:15" s="104" customFormat="1" ht="22.5">
      <c r="A5" s="105" t="s">
        <v>543</v>
      </c>
      <c r="B5" s="467" t="s">
        <v>115</v>
      </c>
      <c r="C5" s="106">
        <f>32714181+506895</f>
        <v>33221076</v>
      </c>
      <c r="D5" s="106">
        <v>32714181</v>
      </c>
      <c r="E5" s="106">
        <v>32714181</v>
      </c>
      <c r="F5" s="106">
        <v>32714181</v>
      </c>
      <c r="G5" s="106">
        <v>32714181</v>
      </c>
      <c r="H5" s="106">
        <v>32714181</v>
      </c>
      <c r="I5" s="106">
        <v>32714181</v>
      </c>
      <c r="J5" s="106">
        <v>32714181</v>
      </c>
      <c r="K5" s="106">
        <v>32714181</v>
      </c>
      <c r="L5" s="106">
        <v>32714181</v>
      </c>
      <c r="M5" s="106">
        <v>32714181</v>
      </c>
      <c r="N5" s="106">
        <v>32714171</v>
      </c>
      <c r="O5" s="731">
        <v>393077057</v>
      </c>
    </row>
    <row r="6" spans="1:15" s="111" customFormat="1" ht="22.5">
      <c r="A6" s="108" t="s">
        <v>544</v>
      </c>
      <c r="B6" s="291" t="s">
        <v>188</v>
      </c>
      <c r="C6" s="109">
        <v>856000</v>
      </c>
      <c r="D6" s="109">
        <v>856000</v>
      </c>
      <c r="E6" s="109">
        <v>856000</v>
      </c>
      <c r="F6" s="109">
        <v>856000</v>
      </c>
      <c r="G6" s="109">
        <v>856000</v>
      </c>
      <c r="H6" s="109">
        <v>856000</v>
      </c>
      <c r="I6" s="109">
        <v>856000</v>
      </c>
      <c r="J6" s="109">
        <v>856000</v>
      </c>
      <c r="K6" s="109">
        <v>856000</v>
      </c>
      <c r="L6" s="109">
        <v>856000</v>
      </c>
      <c r="M6" s="109">
        <v>856000</v>
      </c>
      <c r="N6" s="109">
        <v>864000</v>
      </c>
      <c r="O6" s="110">
        <v>10280000</v>
      </c>
    </row>
    <row r="7" spans="1:15" s="111" customFormat="1" ht="22.5">
      <c r="A7" s="108" t="s">
        <v>545</v>
      </c>
      <c r="B7" s="290" t="s">
        <v>189</v>
      </c>
      <c r="C7" s="112">
        <v>13120752</v>
      </c>
      <c r="D7" s="112">
        <v>13120752</v>
      </c>
      <c r="E7" s="112">
        <v>13120752</v>
      </c>
      <c r="F7" s="112">
        <v>13120752</v>
      </c>
      <c r="G7" s="112">
        <v>13120752</v>
      </c>
      <c r="H7" s="112">
        <v>13120752</v>
      </c>
      <c r="I7" s="112">
        <v>13120752</v>
      </c>
      <c r="J7" s="112">
        <v>13120752</v>
      </c>
      <c r="K7" s="112">
        <v>13120752</v>
      </c>
      <c r="L7" s="112">
        <v>13120752</v>
      </c>
      <c r="M7" s="112">
        <v>13120752</v>
      </c>
      <c r="N7" s="112">
        <v>13120755</v>
      </c>
      <c r="O7" s="110">
        <v>157449027</v>
      </c>
    </row>
    <row r="8" spans="1:15" s="111" customFormat="1" ht="13.5" customHeight="1">
      <c r="A8" s="108" t="s">
        <v>546</v>
      </c>
      <c r="B8" s="289" t="s">
        <v>696</v>
      </c>
      <c r="C8" s="109">
        <v>12150000</v>
      </c>
      <c r="D8" s="109">
        <v>12150000</v>
      </c>
      <c r="E8" s="109">
        <v>12150000</v>
      </c>
      <c r="F8" s="109">
        <v>12150000</v>
      </c>
      <c r="G8" s="109">
        <v>12150000</v>
      </c>
      <c r="H8" s="109">
        <v>12150000</v>
      </c>
      <c r="I8" s="109">
        <v>12150000</v>
      </c>
      <c r="J8" s="109">
        <v>12150000</v>
      </c>
      <c r="K8" s="109">
        <v>12150000</v>
      </c>
      <c r="L8" s="109">
        <v>12150000</v>
      </c>
      <c r="M8" s="109">
        <v>12150000</v>
      </c>
      <c r="N8" s="109">
        <v>12150000</v>
      </c>
      <c r="O8" s="110">
        <v>145800000</v>
      </c>
    </row>
    <row r="9" spans="1:15" s="111" customFormat="1" ht="13.5" customHeight="1">
      <c r="A9" s="108" t="s">
        <v>547</v>
      </c>
      <c r="B9" s="289" t="s">
        <v>190</v>
      </c>
      <c r="C9" s="109">
        <v>9675992</v>
      </c>
      <c r="D9" s="109">
        <v>9675992</v>
      </c>
      <c r="E9" s="109">
        <v>9675992</v>
      </c>
      <c r="F9" s="109">
        <v>9675992</v>
      </c>
      <c r="G9" s="109">
        <v>9675992</v>
      </c>
      <c r="H9" s="109">
        <v>9675992</v>
      </c>
      <c r="I9" s="109">
        <v>9675992</v>
      </c>
      <c r="J9" s="109">
        <v>9675992</v>
      </c>
      <c r="K9" s="109">
        <v>9675992</v>
      </c>
      <c r="L9" s="109">
        <v>9675992</v>
      </c>
      <c r="M9" s="109">
        <v>9675992</v>
      </c>
      <c r="N9" s="109">
        <v>9675988</v>
      </c>
      <c r="O9" s="110">
        <v>116111900</v>
      </c>
    </row>
    <row r="10" spans="1:15" s="111" customFormat="1" ht="13.5" customHeight="1">
      <c r="A10" s="108" t="s">
        <v>548</v>
      </c>
      <c r="B10" s="289" t="s">
        <v>536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10"/>
    </row>
    <row r="11" spans="1:15" s="111" customFormat="1" ht="13.5" customHeight="1">
      <c r="A11" s="108" t="s">
        <v>549</v>
      </c>
      <c r="B11" s="289" t="s">
        <v>117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>
        <v>0</v>
      </c>
    </row>
    <row r="12" spans="1:15" s="111" customFormat="1" ht="22.5">
      <c r="A12" s="108" t="s">
        <v>550</v>
      </c>
      <c r="B12" s="291" t="s">
        <v>173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10">
        <f>SUM(C12:N12)</f>
        <v>0</v>
      </c>
    </row>
    <row r="13" spans="1:15" s="111" customFormat="1" ht="15.75">
      <c r="A13" s="108" t="s">
        <v>551</v>
      </c>
      <c r="B13" s="291" t="s">
        <v>14</v>
      </c>
      <c r="C13" s="109">
        <v>95000000</v>
      </c>
      <c r="D13" s="109"/>
      <c r="E13" s="109"/>
      <c r="F13" s="109"/>
      <c r="G13" s="109"/>
      <c r="H13" s="109">
        <v>200000000</v>
      </c>
      <c r="I13" s="109"/>
      <c r="J13" s="109"/>
      <c r="K13" s="109"/>
      <c r="L13" s="109"/>
      <c r="M13" s="109"/>
      <c r="N13" s="109"/>
      <c r="O13" s="110">
        <v>295000000</v>
      </c>
    </row>
    <row r="14" spans="1:15" s="111" customFormat="1" ht="18" customHeight="1" thickBot="1">
      <c r="A14" s="108" t="s">
        <v>552</v>
      </c>
      <c r="B14" s="289" t="s">
        <v>13</v>
      </c>
      <c r="C14" s="109">
        <v>16656666</v>
      </c>
      <c r="D14" s="109">
        <v>16656666</v>
      </c>
      <c r="E14" s="109">
        <v>16656666</v>
      </c>
      <c r="F14" s="109">
        <v>16656666</v>
      </c>
      <c r="G14" s="109">
        <v>16656666</v>
      </c>
      <c r="H14" s="109">
        <v>16656666</v>
      </c>
      <c r="I14" s="109">
        <v>16656666</v>
      </c>
      <c r="J14" s="109">
        <v>16656666</v>
      </c>
      <c r="K14" s="109">
        <v>16656666</v>
      </c>
      <c r="L14" s="109">
        <v>16656666</v>
      </c>
      <c r="M14" s="109">
        <v>16656674</v>
      </c>
      <c r="N14" s="109">
        <v>16656666</v>
      </c>
      <c r="O14" s="107">
        <v>199880000</v>
      </c>
    </row>
    <row r="15" spans="1:15" s="104" customFormat="1" ht="15.75" customHeight="1" thickBot="1">
      <c r="A15" s="103" t="s">
        <v>553</v>
      </c>
      <c r="B15" s="37" t="s">
        <v>636</v>
      </c>
      <c r="C15" s="114">
        <f>SUM(C5:C14)</f>
        <v>180680486</v>
      </c>
      <c r="D15" s="114">
        <f aca="true" t="shared" si="0" ref="D15:N15">SUM(D5:D14)</f>
        <v>85173591</v>
      </c>
      <c r="E15" s="114">
        <f t="shared" si="0"/>
        <v>85173591</v>
      </c>
      <c r="F15" s="114">
        <f t="shared" si="0"/>
        <v>85173591</v>
      </c>
      <c r="G15" s="114">
        <f t="shared" si="0"/>
        <v>85173591</v>
      </c>
      <c r="H15" s="114">
        <f t="shared" si="0"/>
        <v>285173591</v>
      </c>
      <c r="I15" s="114">
        <f t="shared" si="0"/>
        <v>85173591</v>
      </c>
      <c r="J15" s="114">
        <f t="shared" si="0"/>
        <v>85173591</v>
      </c>
      <c r="K15" s="114">
        <f t="shared" si="0"/>
        <v>85173591</v>
      </c>
      <c r="L15" s="114">
        <f t="shared" si="0"/>
        <v>85173591</v>
      </c>
      <c r="M15" s="114">
        <f t="shared" si="0"/>
        <v>85173599</v>
      </c>
      <c r="N15" s="114">
        <f t="shared" si="0"/>
        <v>85181580</v>
      </c>
      <c r="O15" s="115">
        <f>O5+O6+O7+O8+O9+O10+O14+O13</f>
        <v>1317597984</v>
      </c>
    </row>
    <row r="16" spans="1:15" s="104" customFormat="1" ht="15" customHeight="1" thickBot="1">
      <c r="A16" s="103"/>
      <c r="B16" s="1098" t="s">
        <v>581</v>
      </c>
      <c r="C16" s="1099"/>
      <c r="D16" s="1099"/>
      <c r="E16" s="1099"/>
      <c r="F16" s="1099"/>
      <c r="G16" s="1099"/>
      <c r="H16" s="1099"/>
      <c r="I16" s="1099"/>
      <c r="J16" s="1099"/>
      <c r="K16" s="1099"/>
      <c r="L16" s="1099"/>
      <c r="M16" s="1099"/>
      <c r="N16" s="1099"/>
      <c r="O16" s="1100"/>
    </row>
    <row r="17" spans="1:15" s="111" customFormat="1" ht="13.5" customHeight="1">
      <c r="A17" s="116" t="s">
        <v>554</v>
      </c>
      <c r="B17" s="292" t="s">
        <v>588</v>
      </c>
      <c r="C17" s="112">
        <f>17028131+343700</f>
        <v>17371831</v>
      </c>
      <c r="D17" s="112">
        <v>17028132</v>
      </c>
      <c r="E17" s="112">
        <v>17028133</v>
      </c>
      <c r="F17" s="112">
        <v>17028134</v>
      </c>
      <c r="G17" s="112">
        <v>17028135</v>
      </c>
      <c r="H17" s="112">
        <v>17028136</v>
      </c>
      <c r="I17" s="112">
        <v>17028137</v>
      </c>
      <c r="J17" s="112">
        <v>17028138</v>
      </c>
      <c r="K17" s="112">
        <v>17028139</v>
      </c>
      <c r="L17" s="112">
        <v>17028139</v>
      </c>
      <c r="M17" s="112">
        <v>17028139</v>
      </c>
      <c r="N17" s="112">
        <v>19473807</v>
      </c>
      <c r="O17" s="113">
        <v>207127000</v>
      </c>
    </row>
    <row r="18" spans="1:15" s="111" customFormat="1" ht="27" customHeight="1">
      <c r="A18" s="108" t="s">
        <v>555</v>
      </c>
      <c r="B18" s="291" t="s">
        <v>705</v>
      </c>
      <c r="C18" s="109">
        <f>3807500+89154</f>
        <v>3896654</v>
      </c>
      <c r="D18" s="109">
        <v>3807500</v>
      </c>
      <c r="E18" s="109">
        <v>3807500</v>
      </c>
      <c r="F18" s="109">
        <v>3807500</v>
      </c>
      <c r="G18" s="109">
        <v>3807500</v>
      </c>
      <c r="H18" s="109">
        <v>3807500</v>
      </c>
      <c r="I18" s="109">
        <v>3807500</v>
      </c>
      <c r="J18" s="109">
        <v>3807500</v>
      </c>
      <c r="K18" s="109">
        <v>3807500</v>
      </c>
      <c r="L18" s="109">
        <v>3807500</v>
      </c>
      <c r="M18" s="109">
        <v>3807500</v>
      </c>
      <c r="N18" s="109">
        <v>7060900</v>
      </c>
      <c r="O18" s="113">
        <v>49032554</v>
      </c>
    </row>
    <row r="19" spans="1:15" s="111" customFormat="1" ht="13.5" customHeight="1">
      <c r="A19" s="108" t="s">
        <v>556</v>
      </c>
      <c r="B19" s="289" t="s">
        <v>662</v>
      </c>
      <c r="C19" s="109">
        <v>18334406</v>
      </c>
      <c r="D19" s="109">
        <v>18334407</v>
      </c>
      <c r="E19" s="109">
        <v>18334408</v>
      </c>
      <c r="F19" s="109">
        <v>18334409</v>
      </c>
      <c r="G19" s="109">
        <v>18334410</v>
      </c>
      <c r="H19" s="109">
        <v>18334411</v>
      </c>
      <c r="I19" s="109">
        <v>18334412</v>
      </c>
      <c r="J19" s="109">
        <v>18334413</v>
      </c>
      <c r="K19" s="109">
        <v>18334414</v>
      </c>
      <c r="L19" s="109">
        <v>17334415</v>
      </c>
      <c r="M19" s="109">
        <v>17334416</v>
      </c>
      <c r="N19" s="109">
        <v>17334479</v>
      </c>
      <c r="O19" s="113">
        <v>217013000</v>
      </c>
    </row>
    <row r="20" spans="1:15" s="111" customFormat="1" ht="13.5" customHeight="1">
      <c r="A20" s="108" t="s">
        <v>557</v>
      </c>
      <c r="B20" s="289" t="s">
        <v>706</v>
      </c>
      <c r="C20" s="109">
        <v>800911</v>
      </c>
      <c r="D20" s="109">
        <v>800911</v>
      </c>
      <c r="E20" s="109">
        <v>800911</v>
      </c>
      <c r="F20" s="109">
        <v>800911</v>
      </c>
      <c r="G20" s="109">
        <v>800911</v>
      </c>
      <c r="H20" s="109">
        <v>800911</v>
      </c>
      <c r="I20" s="109">
        <v>800911</v>
      </c>
      <c r="J20" s="109">
        <v>800911</v>
      </c>
      <c r="K20" s="109">
        <v>800911</v>
      </c>
      <c r="L20" s="109">
        <v>800911</v>
      </c>
      <c r="M20" s="109">
        <v>800911</v>
      </c>
      <c r="N20" s="109">
        <v>800979</v>
      </c>
      <c r="O20" s="113">
        <v>9611000</v>
      </c>
    </row>
    <row r="21" spans="1:15" s="111" customFormat="1" ht="13.5" customHeight="1">
      <c r="A21" s="108" t="s">
        <v>558</v>
      </c>
      <c r="B21" s="289" t="s">
        <v>537</v>
      </c>
      <c r="C21" s="109">
        <f>12000000+74041</f>
        <v>12074041</v>
      </c>
      <c r="D21" s="109">
        <v>12000000</v>
      </c>
      <c r="E21" s="109">
        <v>12000000</v>
      </c>
      <c r="F21" s="109">
        <v>10000000</v>
      </c>
      <c r="G21" s="109">
        <v>11952635</v>
      </c>
      <c r="H21" s="109">
        <v>12142105</v>
      </c>
      <c r="I21" s="109">
        <v>11952631</v>
      </c>
      <c r="J21" s="109">
        <v>11952629</v>
      </c>
      <c r="K21" s="109">
        <v>13068000</v>
      </c>
      <c r="L21" s="109">
        <v>12000000</v>
      </c>
      <c r="M21" s="109">
        <v>12000000</v>
      </c>
      <c r="N21" s="109">
        <v>13000600</v>
      </c>
      <c r="O21" s="113">
        <v>144142641</v>
      </c>
    </row>
    <row r="22" spans="1:15" s="111" customFormat="1" ht="13.5" customHeight="1">
      <c r="A22" s="108" t="s">
        <v>559</v>
      </c>
      <c r="B22" s="289" t="s">
        <v>754</v>
      </c>
      <c r="C22" s="109"/>
      <c r="D22" s="109"/>
      <c r="E22" s="109"/>
      <c r="F22" s="109">
        <v>20000000</v>
      </c>
      <c r="G22" s="109"/>
      <c r="H22" s="109">
        <v>100000000</v>
      </c>
      <c r="I22" s="109"/>
      <c r="J22" s="109"/>
      <c r="K22" s="109">
        <v>20411285</v>
      </c>
      <c r="L22" s="109"/>
      <c r="M22" s="109"/>
      <c r="N22" s="109"/>
      <c r="O22" s="113">
        <v>140411285</v>
      </c>
    </row>
    <row r="23" spans="1:15" s="111" customFormat="1" ht="15.75">
      <c r="A23" s="108" t="s">
        <v>560</v>
      </c>
      <c r="B23" s="291" t="s">
        <v>709</v>
      </c>
      <c r="C23" s="109"/>
      <c r="D23" s="109"/>
      <c r="E23" s="109"/>
      <c r="F23" s="109"/>
      <c r="G23" s="109">
        <v>33250000</v>
      </c>
      <c r="H23" s="109">
        <v>81250000</v>
      </c>
      <c r="I23" s="109">
        <v>33250000</v>
      </c>
      <c r="J23" s="109">
        <v>33250000</v>
      </c>
      <c r="K23" s="109"/>
      <c r="L23" s="109"/>
      <c r="M23" s="109"/>
      <c r="N23" s="109"/>
      <c r="O23" s="113">
        <v>181000000</v>
      </c>
    </row>
    <row r="24" spans="1:15" s="111" customFormat="1" ht="13.5" customHeight="1">
      <c r="A24" s="108" t="s">
        <v>561</v>
      </c>
      <c r="B24" s="289" t="s">
        <v>757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13">
        <f>D24+E24+H24</f>
        <v>0</v>
      </c>
    </row>
    <row r="25" spans="1:15" s="111" customFormat="1" ht="13.5" customHeight="1">
      <c r="A25" s="108" t="s">
        <v>562</v>
      </c>
      <c r="B25" s="582" t="s">
        <v>538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13"/>
    </row>
    <row r="26" spans="1:15" s="104" customFormat="1" ht="15.75" customHeight="1" thickBot="1">
      <c r="A26" s="581" t="s">
        <v>563</v>
      </c>
      <c r="B26" s="582" t="s">
        <v>18</v>
      </c>
      <c r="C26" s="109">
        <v>128202643</v>
      </c>
      <c r="D26" s="109">
        <v>33202641</v>
      </c>
      <c r="E26" s="109">
        <v>33202639</v>
      </c>
      <c r="F26" s="109">
        <v>15202637</v>
      </c>
      <c r="G26" s="109"/>
      <c r="H26" s="109">
        <v>51810528</v>
      </c>
      <c r="I26" s="109"/>
      <c r="J26" s="109"/>
      <c r="K26" s="109">
        <v>11723342</v>
      </c>
      <c r="L26" s="109">
        <v>33202625</v>
      </c>
      <c r="M26" s="109">
        <v>33202631</v>
      </c>
      <c r="N26" s="109">
        <v>29510818</v>
      </c>
      <c r="O26" s="113">
        <v>369260504</v>
      </c>
    </row>
    <row r="27" spans="1:15" ht="16.5" thickBot="1">
      <c r="A27" s="583" t="s">
        <v>564</v>
      </c>
      <c r="B27" s="584" t="s">
        <v>637</v>
      </c>
      <c r="C27" s="585">
        <f>SUM(C17:C26)</f>
        <v>180680486</v>
      </c>
      <c r="D27" s="585">
        <f aca="true" t="shared" si="1" ref="D27:N27">SUM(D17:D26)</f>
        <v>85173591</v>
      </c>
      <c r="E27" s="585">
        <f t="shared" si="1"/>
        <v>85173591</v>
      </c>
      <c r="F27" s="585">
        <f t="shared" si="1"/>
        <v>85173591</v>
      </c>
      <c r="G27" s="585">
        <f t="shared" si="1"/>
        <v>85173591</v>
      </c>
      <c r="H27" s="585">
        <f t="shared" si="1"/>
        <v>285173591</v>
      </c>
      <c r="I27" s="585">
        <f t="shared" si="1"/>
        <v>85173591</v>
      </c>
      <c r="J27" s="585">
        <f t="shared" si="1"/>
        <v>85173591</v>
      </c>
      <c r="K27" s="585">
        <f t="shared" si="1"/>
        <v>85173591</v>
      </c>
      <c r="L27" s="585">
        <f t="shared" si="1"/>
        <v>84173590</v>
      </c>
      <c r="M27" s="585">
        <f t="shared" si="1"/>
        <v>84173597</v>
      </c>
      <c r="N27" s="585">
        <f t="shared" si="1"/>
        <v>87181583</v>
      </c>
      <c r="O27" s="115">
        <f>O17+O18+O19+O20+O21+O22+O23+O25+O26</f>
        <v>1317597984</v>
      </c>
    </row>
    <row r="28" spans="1:15" ht="16.5" thickBot="1">
      <c r="A28" s="583" t="s">
        <v>565</v>
      </c>
      <c r="B28" s="586" t="s">
        <v>638</v>
      </c>
      <c r="C28" s="587">
        <f>(C15-C27)</f>
        <v>0</v>
      </c>
      <c r="D28" s="587">
        <f aca="true" t="shared" si="2" ref="D28:N28">(D15-D27)</f>
        <v>0</v>
      </c>
      <c r="E28" s="587">
        <f t="shared" si="2"/>
        <v>0</v>
      </c>
      <c r="F28" s="587">
        <f t="shared" si="2"/>
        <v>0</v>
      </c>
      <c r="G28" s="587">
        <f t="shared" si="2"/>
        <v>0</v>
      </c>
      <c r="H28" s="587">
        <f t="shared" si="2"/>
        <v>0</v>
      </c>
      <c r="I28" s="587">
        <f t="shared" si="2"/>
        <v>0</v>
      </c>
      <c r="J28" s="587">
        <f t="shared" si="2"/>
        <v>0</v>
      </c>
      <c r="K28" s="587">
        <f t="shared" si="2"/>
        <v>0</v>
      </c>
      <c r="L28" s="587">
        <f t="shared" si="2"/>
        <v>1000001</v>
      </c>
      <c r="M28" s="587">
        <f t="shared" si="2"/>
        <v>1000002</v>
      </c>
      <c r="N28" s="587">
        <f t="shared" si="2"/>
        <v>-2000003</v>
      </c>
      <c r="O28" s="115">
        <f>SUM(C28:N28)</f>
        <v>0</v>
      </c>
    </row>
    <row r="29" ht="15.75">
      <c r="A29" s="118"/>
    </row>
    <row r="30" spans="2:15" ht="15.75">
      <c r="B30" s="119"/>
      <c r="C30" s="120"/>
      <c r="D30" s="120"/>
      <c r="O30" s="117"/>
    </row>
    <row r="31" ht="15.75">
      <c r="O31" s="117"/>
    </row>
    <row r="32" ht="15.75">
      <c r="O32" s="117"/>
    </row>
    <row r="33" ht="15.75">
      <c r="O33" s="117"/>
    </row>
    <row r="34" ht="15.75">
      <c r="O34" s="117"/>
    </row>
    <row r="35" ht="15.75">
      <c r="O35" s="117"/>
    </row>
    <row r="36" ht="15.75">
      <c r="O36" s="117"/>
    </row>
    <row r="37" ht="15.75">
      <c r="O37" s="117"/>
    </row>
    <row r="38" ht="15.75">
      <c r="O38" s="117"/>
    </row>
    <row r="39" ht="15.75">
      <c r="O39" s="117"/>
    </row>
    <row r="40" ht="15.75">
      <c r="O40" s="117"/>
    </row>
    <row r="41" ht="15.75">
      <c r="O41" s="117"/>
    </row>
    <row r="42" ht="15.75">
      <c r="O42" s="117"/>
    </row>
    <row r="43" ht="15.75">
      <c r="O43" s="117"/>
    </row>
    <row r="44" ht="15.75">
      <c r="O44" s="117"/>
    </row>
    <row r="45" ht="15.75">
      <c r="O45" s="117"/>
    </row>
    <row r="46" ht="15.75">
      <c r="O46" s="117"/>
    </row>
    <row r="47" ht="15.75">
      <c r="O47" s="117"/>
    </row>
    <row r="48" ht="15.75">
      <c r="O48" s="117"/>
    </row>
    <row r="49" ht="15.75">
      <c r="O49" s="117"/>
    </row>
    <row r="50" ht="15.75">
      <c r="O50" s="117"/>
    </row>
    <row r="51" ht="15.75">
      <c r="O51" s="117"/>
    </row>
    <row r="52" ht="15.75">
      <c r="O52" s="117"/>
    </row>
    <row r="53" ht="15.75">
      <c r="O53" s="117"/>
    </row>
    <row r="54" ht="15.75">
      <c r="O54" s="117"/>
    </row>
    <row r="55" ht="15.75">
      <c r="O55" s="117"/>
    </row>
    <row r="56" ht="15.75">
      <c r="O56" s="117"/>
    </row>
    <row r="57" ht="15.75">
      <c r="O57" s="117"/>
    </row>
    <row r="58" ht="15.75">
      <c r="O58" s="117"/>
    </row>
    <row r="59" ht="15.75">
      <c r="O59" s="117"/>
    </row>
    <row r="60" ht="15.75">
      <c r="O60" s="117"/>
    </row>
    <row r="61" ht="15.75">
      <c r="O61" s="117"/>
    </row>
    <row r="62" ht="15.75">
      <c r="O62" s="117"/>
    </row>
    <row r="63" ht="15.75">
      <c r="O63" s="117"/>
    </row>
    <row r="64" ht="15.75">
      <c r="O64" s="117"/>
    </row>
    <row r="65" ht="15.75">
      <c r="O65" s="117"/>
    </row>
    <row r="66" ht="15.75">
      <c r="O66" s="117"/>
    </row>
    <row r="67" ht="15.75">
      <c r="O67" s="117"/>
    </row>
    <row r="68" ht="15.75">
      <c r="O68" s="117"/>
    </row>
    <row r="69" ht="15.75">
      <c r="O69" s="117"/>
    </row>
    <row r="70" ht="15.75">
      <c r="O70" s="117"/>
    </row>
    <row r="71" ht="15.75">
      <c r="O71" s="117"/>
    </row>
    <row r="72" ht="15.75">
      <c r="O72" s="117"/>
    </row>
    <row r="73" ht="15.75">
      <c r="O73" s="117"/>
    </row>
    <row r="74" ht="15.75">
      <c r="O74" s="117"/>
    </row>
    <row r="75" ht="15.75">
      <c r="O75" s="117"/>
    </row>
    <row r="76" ht="15.75">
      <c r="O76" s="117"/>
    </row>
    <row r="77" ht="15.75">
      <c r="O77" s="117"/>
    </row>
    <row r="78" ht="15.75">
      <c r="O78" s="117"/>
    </row>
    <row r="79" ht="15.75">
      <c r="O79" s="117"/>
    </row>
    <row r="80" ht="15.75">
      <c r="O80" s="117"/>
    </row>
    <row r="81" ht="15.75">
      <c r="O81" s="117"/>
    </row>
    <row r="82" ht="15.75">
      <c r="O82" s="117"/>
    </row>
  </sheetData>
  <sheetProtection/>
  <mergeCells count="3">
    <mergeCell ref="B4:O4"/>
    <mergeCell ref="B16:O16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82" r:id="rId1"/>
  <headerFooter alignWithMargins="0">
    <oddHeader>&amp;R&amp;"Times New Roman CE,Félkövér dőlt"&amp;11 4. tájékoztató tábla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48"/>
  <sheetViews>
    <sheetView view="pageBreakPreview" zoomScale="60" workbookViewId="0" topLeftCell="A1">
      <selection activeCell="G28" sqref="G28"/>
    </sheetView>
  </sheetViews>
  <sheetFormatPr defaultColWidth="9.00390625" defaultRowHeight="12.75"/>
  <cols>
    <col min="1" max="1" width="8.50390625" style="47" customWidth="1"/>
    <col min="2" max="2" width="9.375" style="47" customWidth="1"/>
    <col min="3" max="3" width="42.625" style="47" customWidth="1"/>
    <col min="4" max="4" width="9.375" style="47" customWidth="1"/>
    <col min="5" max="5" width="11.00390625" style="47" customWidth="1"/>
    <col min="6" max="6" width="12.375" style="47" customWidth="1"/>
    <col min="7" max="7" width="9.375" style="47" customWidth="1"/>
    <col min="8" max="8" width="13.375" style="47" bestFit="1" customWidth="1"/>
    <col min="9" max="9" width="13.375" style="47" customWidth="1"/>
    <col min="10" max="10" width="15.125" style="47" customWidth="1"/>
    <col min="11" max="16384" width="9.375" style="47" customWidth="1"/>
  </cols>
  <sheetData>
    <row r="1" spans="1:9" ht="15.75">
      <c r="A1" s="1109" t="s">
        <v>870</v>
      </c>
      <c r="B1" s="1109"/>
      <c r="C1" s="1109"/>
      <c r="D1" s="1109"/>
      <c r="E1" s="1109"/>
      <c r="F1" s="1109"/>
      <c r="G1" s="1109"/>
      <c r="H1" s="1109"/>
      <c r="I1" s="1109"/>
    </row>
    <row r="2" spans="1:9" ht="16.5" thickBot="1">
      <c r="A2" s="563"/>
      <c r="B2" s="563"/>
      <c r="C2" s="563"/>
      <c r="D2" s="563"/>
      <c r="E2" s="563"/>
      <c r="F2" s="563"/>
      <c r="G2" s="563"/>
      <c r="H2" s="1105" t="s">
        <v>150</v>
      </c>
      <c r="I2" s="1106"/>
    </row>
    <row r="3" spans="1:9" ht="18.75" customHeight="1">
      <c r="A3" s="923" t="s">
        <v>494</v>
      </c>
      <c r="B3" s="924"/>
      <c r="C3" s="924"/>
      <c r="D3" s="925" t="s">
        <v>495</v>
      </c>
      <c r="E3" s="962"/>
      <c r="F3" s="926"/>
      <c r="G3" s="925" t="s">
        <v>495</v>
      </c>
      <c r="H3" s="962"/>
      <c r="I3" s="926"/>
    </row>
    <row r="4" spans="1:9" s="48" customFormat="1" ht="24" customHeight="1">
      <c r="A4" s="927"/>
      <c r="B4" s="561"/>
      <c r="C4" s="561"/>
      <c r="D4" s="625" t="s">
        <v>777</v>
      </c>
      <c r="E4" s="963" t="s">
        <v>777</v>
      </c>
      <c r="F4" s="928" t="s">
        <v>777</v>
      </c>
      <c r="G4" s="625" t="s">
        <v>155</v>
      </c>
      <c r="H4" s="963" t="s">
        <v>155</v>
      </c>
      <c r="I4" s="928" t="s">
        <v>155</v>
      </c>
    </row>
    <row r="5" spans="1:9" s="48" customFormat="1" ht="16.5" customHeight="1">
      <c r="A5" s="927"/>
      <c r="B5" s="561"/>
      <c r="C5" s="561"/>
      <c r="D5" s="625"/>
      <c r="E5" s="963"/>
      <c r="F5" s="928" t="s">
        <v>496</v>
      </c>
      <c r="G5" s="625"/>
      <c r="H5" s="963"/>
      <c r="I5" s="928" t="s">
        <v>496</v>
      </c>
    </row>
    <row r="6" spans="1:9" s="49" customFormat="1" ht="12.75">
      <c r="A6" s="929"/>
      <c r="B6" s="626"/>
      <c r="C6" s="626"/>
      <c r="D6" s="562" t="s">
        <v>497</v>
      </c>
      <c r="E6" s="964" t="s">
        <v>498</v>
      </c>
      <c r="F6" s="930" t="s">
        <v>499</v>
      </c>
      <c r="G6" s="562" t="s">
        <v>497</v>
      </c>
      <c r="H6" s="964" t="s">
        <v>498</v>
      </c>
      <c r="I6" s="930" t="s">
        <v>499</v>
      </c>
    </row>
    <row r="7" spans="1:9" ht="12.75">
      <c r="A7" s="931" t="s">
        <v>500</v>
      </c>
      <c r="B7" s="627"/>
      <c r="C7" s="627"/>
      <c r="D7" s="628">
        <v>21.76</v>
      </c>
      <c r="E7" s="953">
        <v>4580000</v>
      </c>
      <c r="F7" s="932">
        <v>99661</v>
      </c>
      <c r="G7" s="628">
        <v>21.8</v>
      </c>
      <c r="H7" s="953">
        <v>4580000</v>
      </c>
      <c r="I7" s="932">
        <v>99844000</v>
      </c>
    </row>
    <row r="8" spans="1:9" ht="12.75" customHeight="1">
      <c r="A8" s="931" t="s">
        <v>501</v>
      </c>
      <c r="B8" s="627"/>
      <c r="C8" s="627"/>
      <c r="D8" s="629"/>
      <c r="E8" s="952"/>
      <c r="F8" s="932">
        <v>5954</v>
      </c>
      <c r="G8" s="629"/>
      <c r="H8" s="952"/>
      <c r="I8" s="932">
        <v>5956330</v>
      </c>
    </row>
    <row r="9" spans="1:9" ht="12.75">
      <c r="A9" s="931" t="s">
        <v>502</v>
      </c>
      <c r="B9" s="627"/>
      <c r="C9" s="627"/>
      <c r="D9" s="629"/>
      <c r="E9" s="952" t="s">
        <v>503</v>
      </c>
      <c r="F9" s="932">
        <v>10272</v>
      </c>
      <c r="G9" s="629"/>
      <c r="H9" s="952" t="s">
        <v>503</v>
      </c>
      <c r="I9" s="932">
        <v>10624000</v>
      </c>
    </row>
    <row r="10" spans="1:9" ht="12.75">
      <c r="A10" s="931" t="s">
        <v>504</v>
      </c>
      <c r="B10" s="627"/>
      <c r="C10" s="627"/>
      <c r="D10" s="629"/>
      <c r="E10" s="952" t="s">
        <v>505</v>
      </c>
      <c r="F10" s="932">
        <v>1370</v>
      </c>
      <c r="G10" s="629"/>
      <c r="H10" s="952" t="s">
        <v>505</v>
      </c>
      <c r="I10" s="932">
        <v>100000</v>
      </c>
    </row>
    <row r="11" spans="1:9" ht="12.75">
      <c r="A11" s="931" t="s">
        <v>506</v>
      </c>
      <c r="B11" s="627"/>
      <c r="C11" s="627"/>
      <c r="D11" s="629"/>
      <c r="E11" s="952" t="s">
        <v>507</v>
      </c>
      <c r="F11" s="932">
        <v>5398</v>
      </c>
      <c r="G11" s="629"/>
      <c r="H11" s="952" t="s">
        <v>507</v>
      </c>
      <c r="I11" s="932">
        <v>5395790</v>
      </c>
    </row>
    <row r="12" spans="1:9" ht="12.75">
      <c r="A12" s="931" t="s">
        <v>508</v>
      </c>
      <c r="B12" s="627"/>
      <c r="C12" s="627"/>
      <c r="D12" s="629"/>
      <c r="E12" s="952"/>
      <c r="F12" s="933"/>
      <c r="G12" s="629"/>
      <c r="H12" s="952"/>
      <c r="I12" s="933"/>
    </row>
    <row r="13" spans="1:9" ht="12.75">
      <c r="A13" s="931" t="s">
        <v>509</v>
      </c>
      <c r="B13" s="627"/>
      <c r="C13" s="627"/>
      <c r="D13" s="629">
        <v>5525</v>
      </c>
      <c r="E13" s="953">
        <v>2700</v>
      </c>
      <c r="F13" s="934">
        <v>14839</v>
      </c>
      <c r="G13" s="629">
        <v>5525</v>
      </c>
      <c r="H13" s="953">
        <v>2700</v>
      </c>
      <c r="I13" s="934">
        <v>14852700</v>
      </c>
    </row>
    <row r="14" spans="1:9" ht="12.75">
      <c r="A14" s="935" t="s">
        <v>508</v>
      </c>
      <c r="B14" s="627"/>
      <c r="C14" s="627"/>
      <c r="D14" s="629"/>
      <c r="E14" s="953"/>
      <c r="F14" s="936">
        <v>-9025</v>
      </c>
      <c r="G14" s="629"/>
      <c r="H14" s="953"/>
      <c r="I14" s="936">
        <v>-10589395</v>
      </c>
    </row>
    <row r="15" spans="1:9" ht="12.75">
      <c r="A15" s="931" t="s">
        <v>510</v>
      </c>
      <c r="B15" s="627"/>
      <c r="C15" s="627"/>
      <c r="D15" s="629"/>
      <c r="E15" s="954"/>
      <c r="F15" s="937">
        <v>414</v>
      </c>
      <c r="G15" s="629"/>
      <c r="H15" s="954"/>
      <c r="I15" s="937">
        <v>328000</v>
      </c>
    </row>
    <row r="16" spans="1:9" ht="12.75">
      <c r="A16" s="931" t="s">
        <v>511</v>
      </c>
      <c r="B16" s="627"/>
      <c r="C16" s="627"/>
      <c r="D16" s="629"/>
      <c r="E16" s="955"/>
      <c r="F16" s="938">
        <v>245</v>
      </c>
      <c r="G16" s="629"/>
      <c r="H16" s="955"/>
      <c r="I16" s="938">
        <v>249900</v>
      </c>
    </row>
    <row r="17" spans="1:9" ht="12.75">
      <c r="A17" s="939" t="s">
        <v>397</v>
      </c>
      <c r="B17" s="733"/>
      <c r="C17" s="733"/>
      <c r="D17" s="734"/>
      <c r="E17" s="956"/>
      <c r="F17" s="940">
        <f>F7+F8+F9+F10+F11+F12++F13+F14+F15+F16</f>
        <v>129128</v>
      </c>
      <c r="G17" s="734"/>
      <c r="H17" s="956"/>
      <c r="I17" s="940">
        <f>I7+I8+I9+I10+I11+I12++I13+I14+I15+I16</f>
        <v>126761325</v>
      </c>
    </row>
    <row r="18" spans="1:9" ht="12.75">
      <c r="A18" s="941" t="s">
        <v>517</v>
      </c>
      <c r="B18" s="630"/>
      <c r="C18" s="630"/>
      <c r="D18" s="632">
        <v>16.2</v>
      </c>
      <c r="E18" s="953">
        <v>4308000</v>
      </c>
      <c r="F18" s="932">
        <v>46526</v>
      </c>
      <c r="G18" s="632">
        <v>17.5</v>
      </c>
      <c r="H18" s="953">
        <v>4469900</v>
      </c>
      <c r="I18" s="932">
        <v>52148833</v>
      </c>
    </row>
    <row r="19" spans="1:9" ht="12.75">
      <c r="A19" s="931" t="s">
        <v>518</v>
      </c>
      <c r="B19" s="627"/>
      <c r="C19" s="627"/>
      <c r="D19" s="632">
        <v>16.2</v>
      </c>
      <c r="E19" s="953">
        <v>4308000</v>
      </c>
      <c r="F19" s="932">
        <v>23263</v>
      </c>
      <c r="G19" s="632">
        <v>18</v>
      </c>
      <c r="H19" s="953">
        <v>4308000</v>
      </c>
      <c r="I19" s="932">
        <v>26819400</v>
      </c>
    </row>
    <row r="20" spans="1:9" ht="12.75">
      <c r="A20" s="931" t="s">
        <v>519</v>
      </c>
      <c r="B20" s="627"/>
      <c r="C20" s="627"/>
      <c r="D20" s="632">
        <v>16.2</v>
      </c>
      <c r="E20" s="953">
        <v>35000</v>
      </c>
      <c r="F20" s="932">
        <v>567</v>
      </c>
      <c r="G20" s="632"/>
      <c r="H20" s="953">
        <v>35000</v>
      </c>
      <c r="I20" s="932">
        <v>687600</v>
      </c>
    </row>
    <row r="21" spans="1:9" ht="12.75">
      <c r="A21" s="931" t="s">
        <v>373</v>
      </c>
      <c r="B21" s="627"/>
      <c r="C21" s="627"/>
      <c r="D21" s="632">
        <v>1</v>
      </c>
      <c r="E21" s="953">
        <v>35000</v>
      </c>
      <c r="F21" s="932">
        <v>35</v>
      </c>
      <c r="G21" s="632">
        <v>1</v>
      </c>
      <c r="H21" s="953">
        <v>35000</v>
      </c>
      <c r="I21" s="932">
        <v>0</v>
      </c>
    </row>
    <row r="22" spans="1:9" ht="12.75">
      <c r="A22" s="931" t="s">
        <v>302</v>
      </c>
      <c r="B22" s="627"/>
      <c r="C22" s="627"/>
      <c r="D22" s="629">
        <v>12</v>
      </c>
      <c r="E22" s="953">
        <v>1800000</v>
      </c>
      <c r="F22" s="932">
        <v>14400</v>
      </c>
      <c r="G22" s="629">
        <v>14</v>
      </c>
      <c r="H22" s="953">
        <v>1800000</v>
      </c>
      <c r="I22" s="932">
        <v>15600000</v>
      </c>
    </row>
    <row r="23" spans="1:9" ht="12.75">
      <c r="A23" s="931" t="s">
        <v>374</v>
      </c>
      <c r="B23" s="627"/>
      <c r="C23" s="627"/>
      <c r="D23" s="629">
        <v>1</v>
      </c>
      <c r="E23" s="953">
        <v>4308000</v>
      </c>
      <c r="F23" s="932">
        <v>2872</v>
      </c>
      <c r="G23" s="629">
        <v>1</v>
      </c>
      <c r="H23" s="953">
        <v>4469900</v>
      </c>
      <c r="I23" s="932">
        <v>2979933</v>
      </c>
    </row>
    <row r="24" spans="1:9" ht="12.75">
      <c r="A24" s="931" t="s">
        <v>303</v>
      </c>
      <c r="B24" s="627"/>
      <c r="C24" s="627"/>
      <c r="D24" s="629">
        <v>12</v>
      </c>
      <c r="E24" s="953">
        <v>1800000</v>
      </c>
      <c r="F24" s="932">
        <v>7200</v>
      </c>
      <c r="G24" s="629">
        <v>12</v>
      </c>
      <c r="H24" s="953">
        <v>1800000</v>
      </c>
      <c r="I24" s="932">
        <v>8400000</v>
      </c>
    </row>
    <row r="25" spans="1:9" ht="12.75">
      <c r="A25" s="931" t="s">
        <v>375</v>
      </c>
      <c r="B25" s="627"/>
      <c r="C25" s="627"/>
      <c r="D25" s="629">
        <v>1</v>
      </c>
      <c r="E25" s="953">
        <v>4308000</v>
      </c>
      <c r="F25" s="932">
        <v>1436</v>
      </c>
      <c r="G25" s="629">
        <v>1</v>
      </c>
      <c r="H25" s="953">
        <v>4308000</v>
      </c>
      <c r="I25" s="932">
        <v>0</v>
      </c>
    </row>
    <row r="26" spans="1:11" ht="12.75">
      <c r="A26" s="931" t="s">
        <v>376</v>
      </c>
      <c r="B26" s="627"/>
      <c r="C26" s="627"/>
      <c r="D26" s="629">
        <v>198</v>
      </c>
      <c r="E26" s="953">
        <v>80000</v>
      </c>
      <c r="F26" s="932">
        <v>10560</v>
      </c>
      <c r="G26" s="629">
        <v>200</v>
      </c>
      <c r="H26" s="953">
        <v>80000</v>
      </c>
      <c r="I26" s="932">
        <v>10893333</v>
      </c>
      <c r="K26" s="965"/>
    </row>
    <row r="27" spans="1:9" ht="12.75">
      <c r="A27" s="931" t="s">
        <v>377</v>
      </c>
      <c r="B27" s="627"/>
      <c r="C27" s="627"/>
      <c r="D27" s="629">
        <v>198</v>
      </c>
      <c r="E27" s="953">
        <v>80000</v>
      </c>
      <c r="F27" s="932">
        <v>5280</v>
      </c>
      <c r="G27" s="629">
        <v>206</v>
      </c>
      <c r="H27" s="953">
        <v>80000</v>
      </c>
      <c r="I27" s="932">
        <v>5610067</v>
      </c>
    </row>
    <row r="28" spans="1:10" ht="12.75">
      <c r="A28" s="931" t="s">
        <v>394</v>
      </c>
      <c r="B28" s="627"/>
      <c r="C28" s="627"/>
      <c r="D28" s="629"/>
      <c r="E28" s="953"/>
      <c r="F28" s="932">
        <v>2672</v>
      </c>
      <c r="G28" s="629"/>
      <c r="H28" s="953"/>
      <c r="I28" s="932">
        <v>0</v>
      </c>
      <c r="J28" s="732"/>
    </row>
    <row r="29" spans="1:9" ht="12.75">
      <c r="A29" s="942" t="s">
        <v>398</v>
      </c>
      <c r="B29" s="733"/>
      <c r="C29" s="733"/>
      <c r="D29" s="734"/>
      <c r="E29" s="956"/>
      <c r="F29" s="940">
        <f>F18+F19+F20+F21+F22+F23+F24+F25+F26+F27+F28</f>
        <v>114811</v>
      </c>
      <c r="G29" s="734"/>
      <c r="H29" s="956"/>
      <c r="I29" s="940">
        <f>I18+I19+I20+I21+I22+I23+I24+I25+I26+I27+I28</f>
        <v>123139166</v>
      </c>
    </row>
    <row r="30" spans="1:9" ht="12.75">
      <c r="A30" s="931" t="s">
        <v>310</v>
      </c>
      <c r="B30" s="627"/>
      <c r="C30" s="627"/>
      <c r="D30" s="629">
        <v>5496</v>
      </c>
      <c r="E30" s="957">
        <v>1.56</v>
      </c>
      <c r="F30" s="932">
        <v>30008</v>
      </c>
      <c r="G30" s="629">
        <v>5496</v>
      </c>
      <c r="H30" s="957">
        <v>1.56</v>
      </c>
      <c r="I30" s="932">
        <v>33707000</v>
      </c>
    </row>
    <row r="31" spans="1:9" ht="12.75">
      <c r="A31" s="931" t="s">
        <v>372</v>
      </c>
      <c r="B31" s="627"/>
      <c r="C31" s="627"/>
      <c r="D31" s="629">
        <v>6375</v>
      </c>
      <c r="E31" s="953">
        <v>395</v>
      </c>
      <c r="F31" s="932">
        <v>3900</v>
      </c>
      <c r="G31" s="629">
        <v>6375</v>
      </c>
      <c r="H31" s="953">
        <v>395</v>
      </c>
      <c r="I31" s="932">
        <v>3900000</v>
      </c>
    </row>
    <row r="32" spans="1:9" ht="12.75">
      <c r="A32" s="931" t="s">
        <v>512</v>
      </c>
      <c r="B32" s="627"/>
      <c r="C32" s="627"/>
      <c r="D32" s="629"/>
      <c r="E32" s="953"/>
      <c r="F32" s="932"/>
      <c r="G32" s="629"/>
      <c r="H32" s="953"/>
      <c r="I32" s="932"/>
    </row>
    <row r="33" spans="1:9" ht="12.75">
      <c r="A33" s="931" t="s">
        <v>235</v>
      </c>
      <c r="B33" s="627"/>
      <c r="C33" s="627"/>
      <c r="D33" s="629"/>
      <c r="E33" s="953"/>
      <c r="F33" s="932"/>
      <c r="G33" s="629"/>
      <c r="H33" s="953"/>
      <c r="I33" s="932"/>
    </row>
    <row r="34" spans="1:9" ht="12.75">
      <c r="A34" s="931" t="s">
        <v>513</v>
      </c>
      <c r="B34" s="627"/>
      <c r="C34" s="627"/>
      <c r="D34" s="629"/>
      <c r="E34" s="953"/>
      <c r="F34" s="932"/>
      <c r="G34" s="629"/>
      <c r="H34" s="953"/>
      <c r="I34" s="932"/>
    </row>
    <row r="35" spans="1:9" ht="12.75">
      <c r="A35" s="1107" t="s">
        <v>514</v>
      </c>
      <c r="B35" s="1108"/>
      <c r="C35" s="1108"/>
      <c r="D35" s="631">
        <v>18</v>
      </c>
      <c r="E35" s="958">
        <v>55360</v>
      </c>
      <c r="F35" s="943">
        <v>996</v>
      </c>
      <c r="G35" s="631">
        <v>18</v>
      </c>
      <c r="H35" s="958">
        <v>55360</v>
      </c>
      <c r="I35" s="944">
        <v>996480</v>
      </c>
    </row>
    <row r="36" spans="1:9" ht="12.75">
      <c r="A36" s="941" t="s">
        <v>212</v>
      </c>
      <c r="B36" s="630"/>
      <c r="C36" s="630"/>
      <c r="D36" s="631">
        <v>0</v>
      </c>
      <c r="E36" s="958">
        <v>145000</v>
      </c>
      <c r="F36" s="943">
        <v>0</v>
      </c>
      <c r="G36" s="631">
        <v>0</v>
      </c>
      <c r="H36" s="958">
        <v>145000</v>
      </c>
      <c r="I36" s="944">
        <v>0</v>
      </c>
    </row>
    <row r="37" spans="1:9" ht="12.75">
      <c r="A37" s="931" t="s">
        <v>515</v>
      </c>
      <c r="B37" s="627"/>
      <c r="C37" s="627"/>
      <c r="D37" s="629">
        <v>25</v>
      </c>
      <c r="E37" s="953">
        <v>109000</v>
      </c>
      <c r="F37" s="932">
        <v>2725</v>
      </c>
      <c r="G37" s="629">
        <v>25</v>
      </c>
      <c r="H37" s="953">
        <v>109000</v>
      </c>
      <c r="I37" s="932">
        <v>2725000</v>
      </c>
    </row>
    <row r="38" spans="1:9" ht="12.75">
      <c r="A38" s="931" t="s">
        <v>395</v>
      </c>
      <c r="B38" s="627"/>
      <c r="C38" s="627"/>
      <c r="D38" s="629">
        <v>19</v>
      </c>
      <c r="E38" s="953">
        <v>2606040</v>
      </c>
      <c r="F38" s="932">
        <v>49515</v>
      </c>
      <c r="G38" s="629">
        <v>19</v>
      </c>
      <c r="H38" s="953">
        <v>2606040</v>
      </c>
      <c r="I38" s="932">
        <v>49514760</v>
      </c>
    </row>
    <row r="39" spans="1:9" ht="12.75">
      <c r="A39" s="931" t="s">
        <v>516</v>
      </c>
      <c r="B39" s="627"/>
      <c r="C39" s="627"/>
      <c r="D39" s="629"/>
      <c r="E39" s="953"/>
      <c r="F39" s="932">
        <v>7304</v>
      </c>
      <c r="G39" s="629"/>
      <c r="H39" s="953"/>
      <c r="I39" s="932">
        <v>6483000</v>
      </c>
    </row>
    <row r="40" spans="1:9" s="50" customFormat="1" ht="12" customHeight="1">
      <c r="A40" s="931" t="s">
        <v>234</v>
      </c>
      <c r="B40" s="627"/>
      <c r="C40" s="627"/>
      <c r="D40" s="629">
        <v>10</v>
      </c>
      <c r="E40" s="953">
        <v>494100</v>
      </c>
      <c r="F40" s="932">
        <v>4941</v>
      </c>
      <c r="G40" s="629">
        <v>10</v>
      </c>
      <c r="H40" s="953">
        <v>494100</v>
      </c>
      <c r="I40" s="932">
        <v>4941000</v>
      </c>
    </row>
    <row r="41" spans="1:9" ht="12.75">
      <c r="A41" s="1107" t="s">
        <v>304</v>
      </c>
      <c r="B41" s="1108"/>
      <c r="C41" s="1108"/>
      <c r="D41" s="635">
        <v>9.76</v>
      </c>
      <c r="E41" s="953">
        <v>1632000</v>
      </c>
      <c r="F41" s="944">
        <v>15929</v>
      </c>
      <c r="G41" s="635">
        <v>9.76</v>
      </c>
      <c r="H41" s="953">
        <v>1632000</v>
      </c>
      <c r="I41" s="944">
        <v>15569280</v>
      </c>
    </row>
    <row r="42" spans="1:9" ht="12.75">
      <c r="A42" s="945" t="s">
        <v>520</v>
      </c>
      <c r="B42" s="630"/>
      <c r="C42" s="630"/>
      <c r="D42" s="633"/>
      <c r="E42" s="953"/>
      <c r="F42" s="946">
        <v>22545</v>
      </c>
      <c r="G42" s="633"/>
      <c r="H42" s="953"/>
      <c r="I42" s="1022">
        <v>18417231</v>
      </c>
    </row>
    <row r="43" spans="1:9" ht="12.75">
      <c r="A43" s="945" t="s">
        <v>396</v>
      </c>
      <c r="B43" s="630"/>
      <c r="C43" s="630"/>
      <c r="D43" s="633">
        <v>700</v>
      </c>
      <c r="E43" s="953">
        <v>570</v>
      </c>
      <c r="F43" s="946">
        <v>399</v>
      </c>
      <c r="G43" s="633">
        <v>700</v>
      </c>
      <c r="H43" s="953">
        <v>570</v>
      </c>
      <c r="I43" s="1022">
        <v>144780</v>
      </c>
    </row>
    <row r="44" spans="1:9" ht="26.25" customHeight="1">
      <c r="A44" s="1112" t="s">
        <v>399</v>
      </c>
      <c r="B44" s="1113"/>
      <c r="C44" s="1114"/>
      <c r="D44" s="735"/>
      <c r="E44" s="959"/>
      <c r="F44" s="947">
        <f>F30+F31+F35+F36+F37+F38+F39+F40+F41+F42+F43</f>
        <v>138262</v>
      </c>
      <c r="G44" s="735"/>
      <c r="H44" s="959"/>
      <c r="I44" s="947">
        <f>I30+I31+I35+I36+I37+I38+I39+I40+I41+I42+I43</f>
        <v>136398531</v>
      </c>
    </row>
    <row r="45" spans="1:11" ht="12.75">
      <c r="A45" s="1110" t="s">
        <v>521</v>
      </c>
      <c r="B45" s="1111"/>
      <c r="C45" s="1111"/>
      <c r="D45" s="634">
        <v>5496</v>
      </c>
      <c r="E45" s="957">
        <v>1140</v>
      </c>
      <c r="F45" s="948">
        <v>6266</v>
      </c>
      <c r="G45" s="634">
        <v>5496</v>
      </c>
      <c r="H45" s="957">
        <v>1140</v>
      </c>
      <c r="I45" s="948">
        <v>6271140</v>
      </c>
      <c r="J45" s="732"/>
      <c r="K45" s="966"/>
    </row>
    <row r="46" spans="1:10" ht="12.75">
      <c r="A46" s="949" t="s">
        <v>400</v>
      </c>
      <c r="B46" s="736"/>
      <c r="C46" s="736"/>
      <c r="D46" s="737"/>
      <c r="E46" s="960"/>
      <c r="F46" s="950">
        <f>F45</f>
        <v>6266</v>
      </c>
      <c r="G46" s="737"/>
      <c r="H46" s="960"/>
      <c r="I46" s="950">
        <v>6271140</v>
      </c>
      <c r="J46" s="732"/>
    </row>
    <row r="47" spans="1:9" ht="21.75" customHeight="1" thickBot="1">
      <c r="A47" s="1103" t="s">
        <v>264</v>
      </c>
      <c r="B47" s="1104"/>
      <c r="C47" s="738"/>
      <c r="D47" s="739"/>
      <c r="E47" s="961"/>
      <c r="F47" s="951">
        <f>F46+F44+F29+F17</f>
        <v>388467</v>
      </c>
      <c r="G47" s="739"/>
      <c r="H47" s="961"/>
      <c r="I47" s="951">
        <f>I46+I44+I29+I17</f>
        <v>392570162</v>
      </c>
    </row>
    <row r="48" spans="1:9" ht="12.75">
      <c r="A48"/>
      <c r="B48"/>
      <c r="C48"/>
      <c r="D48"/>
      <c r="E48"/>
      <c r="F48"/>
      <c r="G48"/>
      <c r="H48"/>
      <c r="I48"/>
    </row>
  </sheetData>
  <sheetProtection/>
  <mergeCells count="7">
    <mergeCell ref="A47:B47"/>
    <mergeCell ref="H2:I2"/>
    <mergeCell ref="A41:C41"/>
    <mergeCell ref="A1:I1"/>
    <mergeCell ref="A35:C35"/>
    <mergeCell ref="A45:C45"/>
    <mergeCell ref="A44:C4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view="pageBreakPreview" zoomScale="60" workbookViewId="0" topLeftCell="A1">
      <selection activeCell="D10" sqref="D5:D10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9.875" style="0" customWidth="1"/>
    <col min="4" max="4" width="12.625" style="0" customWidth="1"/>
    <col min="5" max="5" width="27.875" style="0" customWidth="1"/>
    <col min="6" max="6" width="10.50390625" style="0" customWidth="1"/>
  </cols>
  <sheetData>
    <row r="1" spans="1:6" ht="32.25" customHeight="1">
      <c r="A1" s="1117" t="s">
        <v>871</v>
      </c>
      <c r="B1" s="1117"/>
      <c r="C1" s="1117"/>
      <c r="D1" s="1117"/>
      <c r="E1" s="1117"/>
      <c r="F1" s="1117"/>
    </row>
    <row r="2" spans="1:6" ht="15.75" customHeight="1">
      <c r="A2" s="643"/>
      <c r="B2" s="643"/>
      <c r="C2" s="643"/>
      <c r="D2" s="643"/>
      <c r="E2" s="1119" t="s">
        <v>334</v>
      </c>
      <c r="F2" s="1119"/>
    </row>
    <row r="3" spans="1:6" ht="13.5" thickBot="1">
      <c r="A3" s="651"/>
      <c r="B3" s="651"/>
      <c r="C3" s="1118"/>
      <c r="D3" s="1118"/>
      <c r="E3" s="1118"/>
      <c r="F3" s="1118"/>
    </row>
    <row r="4" spans="1:6" ht="42.75" customHeight="1" thickBot="1">
      <c r="A4" s="668" t="s">
        <v>595</v>
      </c>
      <c r="B4" s="669" t="s">
        <v>652</v>
      </c>
      <c r="C4" s="669" t="s">
        <v>653</v>
      </c>
      <c r="D4" s="670" t="s">
        <v>326</v>
      </c>
      <c r="E4" s="671" t="s">
        <v>327</v>
      </c>
      <c r="F4" s="673"/>
    </row>
    <row r="5" spans="1:6" ht="15.75" customHeight="1">
      <c r="A5" s="652" t="s">
        <v>542</v>
      </c>
      <c r="B5" s="653" t="s">
        <v>486</v>
      </c>
      <c r="C5" s="653" t="s">
        <v>488</v>
      </c>
      <c r="D5" s="672">
        <v>125000</v>
      </c>
      <c r="E5" s="662" t="s">
        <v>328</v>
      </c>
      <c r="F5" s="1120">
        <v>3450000</v>
      </c>
    </row>
    <row r="6" spans="1:6" ht="15.75" customHeight="1">
      <c r="A6" s="654" t="s">
        <v>543</v>
      </c>
      <c r="B6" s="655" t="s">
        <v>487</v>
      </c>
      <c r="C6" s="655" t="s">
        <v>488</v>
      </c>
      <c r="D6" s="661">
        <v>125000</v>
      </c>
      <c r="E6" s="663" t="s">
        <v>328</v>
      </c>
      <c r="F6" s="1121"/>
    </row>
    <row r="7" spans="1:6" ht="15.75" customHeight="1">
      <c r="A7" s="654" t="s">
        <v>544</v>
      </c>
      <c r="B7" s="655" t="s">
        <v>489</v>
      </c>
      <c r="C7" s="655" t="s">
        <v>488</v>
      </c>
      <c r="D7" s="661">
        <v>125000</v>
      </c>
      <c r="E7" s="663" t="s">
        <v>328</v>
      </c>
      <c r="F7" s="1121"/>
    </row>
    <row r="8" spans="1:6" ht="15.75" customHeight="1">
      <c r="A8" s="658" t="s">
        <v>545</v>
      </c>
      <c r="B8" s="656" t="s">
        <v>491</v>
      </c>
      <c r="C8" s="656" t="s">
        <v>488</v>
      </c>
      <c r="D8" s="667">
        <v>300000</v>
      </c>
      <c r="E8" s="664" t="s">
        <v>328</v>
      </c>
      <c r="F8" s="1121"/>
    </row>
    <row r="9" spans="1:6" ht="15.75" customHeight="1">
      <c r="A9" s="654" t="s">
        <v>546</v>
      </c>
      <c r="B9" s="655" t="s">
        <v>492</v>
      </c>
      <c r="C9" s="656" t="s">
        <v>488</v>
      </c>
      <c r="D9" s="661">
        <v>100000</v>
      </c>
      <c r="E9" s="663" t="s">
        <v>328</v>
      </c>
      <c r="F9" s="1121"/>
    </row>
    <row r="10" spans="1:6" ht="15.75" customHeight="1">
      <c r="A10" s="654" t="s">
        <v>547</v>
      </c>
      <c r="B10" s="655" t="s">
        <v>493</v>
      </c>
      <c r="C10" s="655" t="s">
        <v>488</v>
      </c>
      <c r="D10" s="661">
        <v>675000</v>
      </c>
      <c r="E10" s="663" t="s">
        <v>328</v>
      </c>
      <c r="F10" s="1121"/>
    </row>
    <row r="11" spans="1:6" ht="15.75" customHeight="1" thickBot="1">
      <c r="A11" s="650" t="s">
        <v>548</v>
      </c>
      <c r="B11" s="660" t="s">
        <v>335</v>
      </c>
      <c r="C11" s="659" t="s">
        <v>488</v>
      </c>
      <c r="D11" s="649">
        <v>2000000</v>
      </c>
      <c r="E11" s="666" t="s">
        <v>328</v>
      </c>
      <c r="F11" s="1122"/>
    </row>
    <row r="12" spans="1:6" ht="15.75" customHeight="1" thickBot="1">
      <c r="A12" s="650" t="s">
        <v>549</v>
      </c>
      <c r="B12" s="660" t="s">
        <v>330</v>
      </c>
      <c r="C12" s="660" t="s">
        <v>331</v>
      </c>
      <c r="D12" s="649">
        <v>1200000</v>
      </c>
      <c r="E12" s="665" t="s">
        <v>329</v>
      </c>
      <c r="F12" s="1031">
        <v>1200000</v>
      </c>
    </row>
    <row r="13" spans="1:6" ht="15.75" customHeight="1" thickBot="1">
      <c r="A13" s="674" t="s">
        <v>550</v>
      </c>
      <c r="B13" s="675" t="s">
        <v>490</v>
      </c>
      <c r="C13" s="675" t="s">
        <v>488</v>
      </c>
      <c r="D13" s="676">
        <v>1750000</v>
      </c>
      <c r="E13" s="677" t="s">
        <v>332</v>
      </c>
      <c r="F13" s="1026">
        <v>1750000</v>
      </c>
    </row>
    <row r="14" spans="1:6" ht="15.75" customHeight="1">
      <c r="A14" s="658" t="s">
        <v>551</v>
      </c>
      <c r="B14" s="656"/>
      <c r="C14" s="653"/>
      <c r="D14" s="667"/>
      <c r="E14" s="1023"/>
      <c r="F14" s="1027"/>
    </row>
    <row r="15" spans="1:6" ht="15.75" customHeight="1">
      <c r="A15" s="654" t="s">
        <v>552</v>
      </c>
      <c r="B15" s="655"/>
      <c r="C15" s="655"/>
      <c r="D15" s="661"/>
      <c r="E15" s="1024"/>
      <c r="F15" s="1028"/>
    </row>
    <row r="16" spans="1:6" ht="15.75" customHeight="1">
      <c r="A16" s="654" t="s">
        <v>553</v>
      </c>
      <c r="B16" s="655"/>
      <c r="C16" s="655"/>
      <c r="D16" s="661"/>
      <c r="E16" s="1024"/>
      <c r="F16" s="1028"/>
    </row>
    <row r="17" spans="1:6" ht="15.75" customHeight="1">
      <c r="A17" s="654" t="s">
        <v>554</v>
      </c>
      <c r="B17" s="655"/>
      <c r="C17" s="655"/>
      <c r="D17" s="661"/>
      <c r="E17" s="1024"/>
      <c r="F17" s="1028"/>
    </row>
    <row r="18" spans="1:6" ht="15.75" customHeight="1">
      <c r="A18" s="654" t="s">
        <v>555</v>
      </c>
      <c r="B18" s="655"/>
      <c r="C18" s="655"/>
      <c r="D18" s="661"/>
      <c r="E18" s="1024"/>
      <c r="F18" s="1028"/>
    </row>
    <row r="19" spans="1:6" ht="15.75" customHeight="1" thickBot="1">
      <c r="A19" s="654" t="s">
        <v>556</v>
      </c>
      <c r="B19" s="655"/>
      <c r="C19" s="968"/>
      <c r="D19" s="661"/>
      <c r="E19" s="1024"/>
      <c r="F19" s="1029"/>
    </row>
    <row r="20" spans="1:6" ht="15.75" customHeight="1" thickBot="1">
      <c r="A20" s="1115" t="s">
        <v>575</v>
      </c>
      <c r="B20" s="1116"/>
      <c r="C20" s="969"/>
      <c r="D20" s="967">
        <v>6400000</v>
      </c>
      <c r="E20" s="1025"/>
      <c r="F20" s="1030"/>
    </row>
    <row r="21" spans="1:4" ht="15.75" customHeight="1">
      <c r="A21" s="645"/>
      <c r="B21" s="646"/>
      <c r="C21" s="646"/>
      <c r="D21" s="647"/>
    </row>
    <row r="22" spans="1:5" ht="15.75" customHeight="1">
      <c r="A22" s="657"/>
      <c r="B22" s="657"/>
      <c r="E22" s="561"/>
    </row>
    <row r="23" spans="1:4" ht="15.75" customHeight="1">
      <c r="A23" s="645"/>
      <c r="B23" s="646"/>
      <c r="C23" s="646"/>
      <c r="D23" s="647"/>
    </row>
    <row r="24" spans="1:4" ht="15.75" customHeight="1">
      <c r="A24" s="645"/>
      <c r="B24" s="646"/>
      <c r="C24" s="646"/>
      <c r="D24" s="647"/>
    </row>
    <row r="25" spans="1:4" ht="15.75" customHeight="1">
      <c r="A25" s="645"/>
      <c r="B25" s="646"/>
      <c r="C25" s="646"/>
      <c r="D25" s="647"/>
    </row>
    <row r="26" spans="1:4" ht="15.75" customHeight="1">
      <c r="A26" s="645"/>
      <c r="B26" s="646"/>
      <c r="C26" s="646"/>
      <c r="D26" s="647"/>
    </row>
    <row r="27" spans="1:4" ht="15.75" customHeight="1">
      <c r="A27" s="645"/>
      <c r="B27" s="646"/>
      <c r="C27" s="646"/>
      <c r="D27" s="648"/>
    </row>
    <row r="28" spans="1:4" ht="15.75" customHeight="1">
      <c r="A28" s="645"/>
      <c r="B28" s="646"/>
      <c r="C28" s="646"/>
      <c r="D28" s="648"/>
    </row>
    <row r="29" spans="1:4" ht="15.75" customHeight="1">
      <c r="A29" s="645"/>
      <c r="B29" s="646"/>
      <c r="C29" s="646"/>
      <c r="D29" s="648"/>
    </row>
    <row r="30" spans="1:4" ht="15.75" customHeight="1">
      <c r="A30" s="645"/>
      <c r="B30" s="646"/>
      <c r="C30" s="646"/>
      <c r="D30" s="648"/>
    </row>
    <row r="31" spans="1:4" ht="12.75">
      <c r="A31" s="561"/>
      <c r="B31" s="561"/>
      <c r="C31" s="561"/>
      <c r="D31" s="561"/>
    </row>
    <row r="32" spans="1:4" ht="12.75">
      <c r="A32" s="561"/>
      <c r="B32" s="561"/>
      <c r="C32" s="561"/>
      <c r="D32" s="561"/>
    </row>
  </sheetData>
  <sheetProtection/>
  <mergeCells count="6">
    <mergeCell ref="A20:B20"/>
    <mergeCell ref="A1:F1"/>
    <mergeCell ref="E3:F3"/>
    <mergeCell ref="E2:F2"/>
    <mergeCell ref="F5:F11"/>
    <mergeCell ref="C3:D3"/>
  </mergeCells>
  <printOptions horizontalCentered="1"/>
  <pageMargins left="0.3937007874015748" right="0.3937007874015748" top="1.062992125984252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6. számú tájékoztató tábla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49">
      <selection activeCell="F74" sqref="F74"/>
    </sheetView>
  </sheetViews>
  <sheetFormatPr defaultColWidth="9.00390625" defaultRowHeight="12.75"/>
  <cols>
    <col min="2" max="2" width="6.00390625" style="0" customWidth="1"/>
    <col min="3" max="3" width="32.875" style="0" customWidth="1"/>
    <col min="4" max="4" width="17.125" style="0" customWidth="1"/>
    <col min="5" max="5" width="11.375" style="0" customWidth="1"/>
    <col min="6" max="6" width="13.125" style="0" customWidth="1"/>
  </cols>
  <sheetData>
    <row r="1" spans="1:7" ht="13.5" thickBot="1">
      <c r="A1" s="545"/>
      <c r="B1" s="546"/>
      <c r="C1" s="547"/>
      <c r="D1" s="548"/>
      <c r="E1" s="549"/>
      <c r="F1" s="549"/>
      <c r="G1" s="545"/>
    </row>
    <row r="2" spans="1:7" ht="43.5" customHeight="1">
      <c r="A2" s="545"/>
      <c r="B2" s="750" t="s">
        <v>542</v>
      </c>
      <c r="C2" s="1142" t="s">
        <v>207</v>
      </c>
      <c r="D2" s="1143"/>
      <c r="E2" s="751" t="s">
        <v>7</v>
      </c>
      <c r="F2" s="751" t="s">
        <v>8</v>
      </c>
      <c r="G2" s="545"/>
    </row>
    <row r="3" spans="1:7" ht="12.75">
      <c r="A3" s="545"/>
      <c r="B3" s="752"/>
      <c r="C3" s="1160" t="s">
        <v>236</v>
      </c>
      <c r="D3" s="753" t="s">
        <v>232</v>
      </c>
      <c r="E3" s="754">
        <f>'[2]Munka1'!$C$45</f>
        <v>8140</v>
      </c>
      <c r="F3" s="754">
        <f>9544000+13100</f>
        <v>9557100</v>
      </c>
      <c r="G3" s="545"/>
    </row>
    <row r="4" spans="1:7" ht="12.75">
      <c r="A4" s="545"/>
      <c r="B4" s="755"/>
      <c r="C4" s="1163"/>
      <c r="D4" s="756" t="s">
        <v>454</v>
      </c>
      <c r="E4" s="757">
        <f>'[2]Munka1'!$C$64</f>
        <v>2127</v>
      </c>
      <c r="F4" s="757">
        <f>2104000+3537</f>
        <v>2107537</v>
      </c>
      <c r="G4" s="545"/>
    </row>
    <row r="5" spans="1:7" ht="12.75">
      <c r="A5" s="545"/>
      <c r="B5" s="758"/>
      <c r="C5" s="1163"/>
      <c r="D5" s="759" t="s">
        <v>233</v>
      </c>
      <c r="E5" s="760">
        <f>'[1]Munka1'!$E$97</f>
        <v>5580</v>
      </c>
      <c r="F5" s="760">
        <v>6100000</v>
      </c>
      <c r="G5" s="545"/>
    </row>
    <row r="6" spans="1:7" ht="12.75">
      <c r="A6" s="545"/>
      <c r="B6" s="761"/>
      <c r="C6" s="1147" t="s">
        <v>459</v>
      </c>
      <c r="D6" s="1148"/>
      <c r="E6" s="762">
        <f>SUM(E3:E5)</f>
        <v>15847</v>
      </c>
      <c r="F6" s="762">
        <f>SUM(F3:F5)</f>
        <v>17764637</v>
      </c>
      <c r="G6" s="545"/>
    </row>
    <row r="7" spans="1:7" ht="12.75">
      <c r="A7" s="545"/>
      <c r="B7" s="752"/>
      <c r="C7" s="1160" t="s">
        <v>237</v>
      </c>
      <c r="D7" s="753" t="s">
        <v>232</v>
      </c>
      <c r="E7" s="757">
        <f>'[2]Munka1'!$B$45</f>
        <v>1733</v>
      </c>
      <c r="F7" s="757">
        <f>2092000+12800</f>
        <v>2104800</v>
      </c>
      <c r="G7" s="545"/>
    </row>
    <row r="8" spans="1:7" ht="12.75">
      <c r="A8" s="545"/>
      <c r="B8" s="755"/>
      <c r="C8" s="1160"/>
      <c r="D8" s="756" t="s">
        <v>454</v>
      </c>
      <c r="E8" s="757">
        <f>'[2]Munka1'!$B$64</f>
        <v>468</v>
      </c>
      <c r="F8" s="757">
        <f>467000+3456</f>
        <v>470456</v>
      </c>
      <c r="G8" s="545"/>
    </row>
    <row r="9" spans="1:7" ht="12.75">
      <c r="A9" s="545"/>
      <c r="B9" s="758"/>
      <c r="C9" s="1160"/>
      <c r="D9" s="759" t="s">
        <v>233</v>
      </c>
      <c r="E9" s="757">
        <f>'[1]Munka1'!$C$97</f>
        <v>750</v>
      </c>
      <c r="F9" s="757">
        <v>750000</v>
      </c>
      <c r="G9" s="545"/>
    </row>
    <row r="10" spans="1:7" ht="12.75">
      <c r="A10" s="545"/>
      <c r="B10" s="763"/>
      <c r="C10" s="1161" t="s">
        <v>460</v>
      </c>
      <c r="D10" s="1162"/>
      <c r="E10" s="762">
        <f>SUM(E7:E9)</f>
        <v>2951</v>
      </c>
      <c r="F10" s="762">
        <f>SUM(F7:F9)</f>
        <v>3325256</v>
      </c>
      <c r="G10" s="545"/>
    </row>
    <row r="11" spans="1:7" ht="12.75">
      <c r="A11" s="545"/>
      <c r="B11" s="764"/>
      <c r="C11" s="765" t="s">
        <v>238</v>
      </c>
      <c r="D11" s="766" t="s">
        <v>233</v>
      </c>
      <c r="E11" s="767">
        <f>'[1]Munka1'!$F$97</f>
        <v>596</v>
      </c>
      <c r="F11" s="767">
        <v>595000</v>
      </c>
      <c r="G11" s="545"/>
    </row>
    <row r="12" spans="1:7" ht="12.75">
      <c r="A12" s="545"/>
      <c r="B12" s="764"/>
      <c r="C12" s="768" t="s">
        <v>451</v>
      </c>
      <c r="D12" s="766" t="s">
        <v>233</v>
      </c>
      <c r="E12" s="767">
        <f>'[1]Munka1'!$B$97</f>
        <v>1100</v>
      </c>
      <c r="F12" s="767">
        <v>1100000</v>
      </c>
      <c r="G12" s="550"/>
    </row>
    <row r="13" spans="1:7" ht="12.75">
      <c r="A13" s="545"/>
      <c r="B13" s="761"/>
      <c r="C13" s="769" t="s">
        <v>239</v>
      </c>
      <c r="D13" s="770" t="s">
        <v>233</v>
      </c>
      <c r="E13" s="767">
        <f>'[1]Munka1'!$D$97</f>
        <v>440</v>
      </c>
      <c r="F13" s="767">
        <v>440000</v>
      </c>
      <c r="G13" s="545"/>
    </row>
    <row r="14" spans="1:7" ht="12.75">
      <c r="A14" s="545"/>
      <c r="B14" s="752"/>
      <c r="C14" s="1164" t="s">
        <v>240</v>
      </c>
      <c r="D14" s="753" t="s">
        <v>232</v>
      </c>
      <c r="E14" s="757">
        <f>SUM(E3+E7)</f>
        <v>9873</v>
      </c>
      <c r="F14" s="757">
        <f>SUM(F3+F7)</f>
        <v>11661900</v>
      </c>
      <c r="G14" s="545"/>
    </row>
    <row r="15" spans="1:7" ht="12.75">
      <c r="A15" s="545"/>
      <c r="B15" s="755"/>
      <c r="C15" s="1165"/>
      <c r="D15" s="756" t="s">
        <v>454</v>
      </c>
      <c r="E15" s="757">
        <f>SUM(E4+E8)</f>
        <v>2595</v>
      </c>
      <c r="F15" s="757">
        <f>SUM(F4+F8)</f>
        <v>2577993</v>
      </c>
      <c r="G15" s="545"/>
    </row>
    <row r="16" spans="1:7" ht="13.5" thickBot="1">
      <c r="A16" s="545"/>
      <c r="B16" s="758"/>
      <c r="C16" s="1166"/>
      <c r="D16" s="759" t="s">
        <v>233</v>
      </c>
      <c r="E16" s="757">
        <f>SUM(E5+E9+E11+E12+E13)</f>
        <v>8466</v>
      </c>
      <c r="F16" s="757">
        <f>SUM(F5+F9+F11+F12+F13)</f>
        <v>8985000</v>
      </c>
      <c r="G16" s="545"/>
    </row>
    <row r="17" spans="1:7" ht="13.5" thickBot="1">
      <c r="A17" s="545"/>
      <c r="B17" s="771" t="s">
        <v>542</v>
      </c>
      <c r="C17" s="1144" t="s">
        <v>452</v>
      </c>
      <c r="D17" s="1145"/>
      <c r="E17" s="772">
        <f>SUM(E14:E16)</f>
        <v>20934</v>
      </c>
      <c r="F17" s="772">
        <f>SUM(F14:F16)</f>
        <v>23224893</v>
      </c>
      <c r="G17" s="545"/>
    </row>
    <row r="18" spans="1:7" ht="12.75">
      <c r="A18" s="545"/>
      <c r="B18" s="546"/>
      <c r="C18" s="551"/>
      <c r="D18" s="551"/>
      <c r="E18" s="545"/>
      <c r="F18" s="545"/>
      <c r="G18" s="545"/>
    </row>
    <row r="19" spans="1:7" ht="12.75">
      <c r="A19" s="545"/>
      <c r="B19" s="546"/>
      <c r="C19" s="551"/>
      <c r="D19" s="551"/>
      <c r="E19" s="545"/>
      <c r="F19" s="545"/>
      <c r="G19" s="545"/>
    </row>
    <row r="20" spans="1:7" ht="13.5" thickBot="1">
      <c r="A20" s="545"/>
      <c r="B20" s="546"/>
      <c r="C20" s="551"/>
      <c r="D20" s="551"/>
      <c r="E20" s="545"/>
      <c r="F20" s="545"/>
      <c r="G20" s="545"/>
    </row>
    <row r="21" spans="1:7" ht="23.25" customHeight="1">
      <c r="A21" s="545"/>
      <c r="B21" s="1042"/>
      <c r="C21" s="1139"/>
      <c r="D21" s="1139"/>
      <c r="E21" s="751" t="s">
        <v>7</v>
      </c>
      <c r="F21" s="751" t="s">
        <v>8</v>
      </c>
      <c r="G21" s="545"/>
    </row>
    <row r="22" spans="1:7" ht="12.75">
      <c r="A22" s="545"/>
      <c r="B22" s="773"/>
      <c r="C22" s="1137" t="s">
        <v>274</v>
      </c>
      <c r="D22" s="753" t="s">
        <v>232</v>
      </c>
      <c r="E22" s="754">
        <f>'[5]Munka1'!$B$45</f>
        <v>59115</v>
      </c>
      <c r="F22" s="754">
        <f>79536500+156600</f>
        <v>79693100</v>
      </c>
      <c r="G22" s="545"/>
    </row>
    <row r="23" spans="1:7" ht="12.75">
      <c r="A23" s="545"/>
      <c r="B23" s="774"/>
      <c r="C23" s="1138"/>
      <c r="D23" s="756" t="s">
        <v>454</v>
      </c>
      <c r="E23" s="757">
        <f>'[5]Munka1'!$B$64</f>
        <v>16965</v>
      </c>
      <c r="F23" s="757">
        <f>20419800+38637</f>
        <v>20458437</v>
      </c>
      <c r="G23" s="545"/>
    </row>
    <row r="24" spans="1:7" ht="12.75">
      <c r="A24" s="545"/>
      <c r="B24" s="775"/>
      <c r="C24" s="1146"/>
      <c r="D24" s="759" t="s">
        <v>233</v>
      </c>
      <c r="E24" s="776">
        <f>'[6]Munka1'!$B$97</f>
        <v>56669</v>
      </c>
      <c r="F24" s="776">
        <v>56669000</v>
      </c>
      <c r="G24" s="545"/>
    </row>
    <row r="25" spans="1:9" ht="12.75">
      <c r="A25" s="545"/>
      <c r="B25" s="777"/>
      <c r="C25" s="1127" t="s">
        <v>241</v>
      </c>
      <c r="D25" s="1127"/>
      <c r="E25" s="762">
        <f>SUM(E22:E24)</f>
        <v>132749</v>
      </c>
      <c r="F25" s="762">
        <f>SUM(F22:F24)</f>
        <v>156820537</v>
      </c>
      <c r="G25" s="545"/>
      <c r="I25" t="s">
        <v>314</v>
      </c>
    </row>
    <row r="26" spans="1:7" ht="12.75">
      <c r="A26" s="545"/>
      <c r="B26" s="773"/>
      <c r="C26" s="1134" t="s">
        <v>485</v>
      </c>
      <c r="D26" s="753" t="s">
        <v>232</v>
      </c>
      <c r="E26" s="754">
        <f>'[5]Munka1'!$C$45</f>
        <v>3939</v>
      </c>
      <c r="F26" s="754">
        <f>4840700+13500</f>
        <v>4854200</v>
      </c>
      <c r="G26" s="545"/>
    </row>
    <row r="27" spans="1:7" ht="12.75">
      <c r="A27" s="545"/>
      <c r="B27" s="774"/>
      <c r="C27" s="1135"/>
      <c r="D27" s="756" t="s">
        <v>454</v>
      </c>
      <c r="E27" s="757">
        <f>'[5]Munka1'!$C$64</f>
        <v>1057</v>
      </c>
      <c r="F27" s="757">
        <f>1110200+3645</f>
        <v>1113845</v>
      </c>
      <c r="G27" s="545"/>
    </row>
    <row r="28" spans="1:7" ht="12.75">
      <c r="A28" s="545"/>
      <c r="B28" s="775"/>
      <c r="C28" s="1136"/>
      <c r="D28" s="759" t="s">
        <v>233</v>
      </c>
      <c r="E28" s="776">
        <f>'[6]Munka1'!$C$97</f>
        <v>170</v>
      </c>
      <c r="F28" s="776">
        <v>164000</v>
      </c>
      <c r="G28" s="545"/>
    </row>
    <row r="29" spans="1:7" ht="12.75">
      <c r="A29" s="545"/>
      <c r="B29" s="777"/>
      <c r="C29" s="1127" t="s">
        <v>242</v>
      </c>
      <c r="D29" s="1127"/>
      <c r="E29" s="762">
        <f>SUM(E26:E28)</f>
        <v>5166</v>
      </c>
      <c r="F29" s="762">
        <f>SUM(F26:F28)</f>
        <v>6132045</v>
      </c>
      <c r="G29" s="545"/>
    </row>
    <row r="30" spans="1:7" ht="12.75">
      <c r="A30" s="545"/>
      <c r="B30" s="773"/>
      <c r="C30" s="1134" t="s">
        <v>461</v>
      </c>
      <c r="D30" s="753" t="s">
        <v>232</v>
      </c>
      <c r="E30" s="754">
        <f>'[5]Munka1'!$D$45</f>
        <v>963</v>
      </c>
      <c r="F30" s="754"/>
      <c r="G30" s="545"/>
    </row>
    <row r="31" spans="1:7" ht="12.75">
      <c r="A31" s="545"/>
      <c r="B31" s="774"/>
      <c r="C31" s="1135"/>
      <c r="D31" s="756" t="s">
        <v>454</v>
      </c>
      <c r="E31" s="757">
        <f>'[5]Munka1'!$D$64</f>
        <v>262</v>
      </c>
      <c r="F31" s="757"/>
      <c r="G31" s="545"/>
    </row>
    <row r="32" spans="1:7" ht="12.75">
      <c r="A32" s="545"/>
      <c r="B32" s="775"/>
      <c r="C32" s="1136"/>
      <c r="D32" s="759" t="s">
        <v>233</v>
      </c>
      <c r="E32" s="776">
        <f>'[6]Munka1'!$D$97</f>
        <v>130</v>
      </c>
      <c r="F32" s="776"/>
      <c r="G32" s="545"/>
    </row>
    <row r="33" spans="1:7" ht="12.75">
      <c r="A33" s="545"/>
      <c r="B33" s="777"/>
      <c r="C33" s="1127" t="s">
        <v>243</v>
      </c>
      <c r="D33" s="1127"/>
      <c r="E33" s="762">
        <f>SUM(E30:E32)</f>
        <v>1355</v>
      </c>
      <c r="F33" s="762">
        <f>SUM(F30:F32)</f>
        <v>0</v>
      </c>
      <c r="G33" s="545"/>
    </row>
    <row r="34" spans="1:7" ht="12.75">
      <c r="A34" s="545"/>
      <c r="B34" s="779"/>
      <c r="C34" s="1124" t="s">
        <v>212</v>
      </c>
      <c r="D34" s="753" t="s">
        <v>232</v>
      </c>
      <c r="E34" s="780">
        <f>'[5]Munka1'!$E$45</f>
        <v>962</v>
      </c>
      <c r="F34" s="780"/>
      <c r="G34" s="545"/>
    </row>
    <row r="35" spans="1:7" ht="12.75">
      <c r="A35" s="545"/>
      <c r="B35" s="779"/>
      <c r="C35" s="1125"/>
      <c r="D35" s="756" t="s">
        <v>454</v>
      </c>
      <c r="E35" s="780">
        <f>'[5]Munka1'!$E$64</f>
        <v>262</v>
      </c>
      <c r="F35" s="780"/>
      <c r="G35" s="545"/>
    </row>
    <row r="36" spans="1:7" ht="12.75">
      <c r="A36" s="545"/>
      <c r="B36" s="779"/>
      <c r="C36" s="1126"/>
      <c r="D36" s="759" t="s">
        <v>233</v>
      </c>
      <c r="E36" s="781">
        <f>'[6]Munka1'!$E$97</f>
        <v>0</v>
      </c>
      <c r="F36" s="781"/>
      <c r="G36" s="545"/>
    </row>
    <row r="37" spans="1:7" ht="12.75">
      <c r="A37" s="545"/>
      <c r="B37" s="777"/>
      <c r="C37" s="778" t="s">
        <v>216</v>
      </c>
      <c r="D37" s="778"/>
      <c r="E37" s="762">
        <f>SUM(E34:E36)</f>
        <v>1224</v>
      </c>
      <c r="F37" s="762">
        <f>SUM(F34:F36)</f>
        <v>0</v>
      </c>
      <c r="G37" s="545"/>
    </row>
    <row r="38" spans="1:7" ht="12.75">
      <c r="A38" s="545"/>
      <c r="B38" s="773"/>
      <c r="C38" s="1132" t="s">
        <v>244</v>
      </c>
      <c r="D38" s="753" t="s">
        <v>232</v>
      </c>
      <c r="E38" s="754">
        <f aca="true" t="shared" si="0" ref="E38:F40">SUM(E22+E26+E30+E34)</f>
        <v>64979</v>
      </c>
      <c r="F38" s="754">
        <f t="shared" si="0"/>
        <v>84547300</v>
      </c>
      <c r="G38" s="545"/>
    </row>
    <row r="39" spans="1:7" ht="12.75">
      <c r="A39" s="545"/>
      <c r="B39" s="774"/>
      <c r="C39" s="1132"/>
      <c r="D39" s="756" t="s">
        <v>454</v>
      </c>
      <c r="E39" s="754">
        <f t="shared" si="0"/>
        <v>18546</v>
      </c>
      <c r="F39" s="754">
        <f t="shared" si="0"/>
        <v>21572282</v>
      </c>
      <c r="G39" s="545"/>
    </row>
    <row r="40" spans="1:7" ht="13.5" thickBot="1">
      <c r="A40" s="545"/>
      <c r="B40" s="782"/>
      <c r="C40" s="1133"/>
      <c r="D40" s="759" t="s">
        <v>233</v>
      </c>
      <c r="E40" s="754">
        <f t="shared" si="0"/>
        <v>56969</v>
      </c>
      <c r="F40" s="754">
        <f t="shared" si="0"/>
        <v>56833000</v>
      </c>
      <c r="G40" s="545"/>
    </row>
    <row r="41" spans="1:7" ht="13.5" thickBot="1">
      <c r="A41" s="545"/>
      <c r="B41" s="771" t="s">
        <v>543</v>
      </c>
      <c r="C41" s="1131" t="s">
        <v>245</v>
      </c>
      <c r="D41" s="1131"/>
      <c r="E41" s="772">
        <f>SUM(E38:E40)</f>
        <v>140494</v>
      </c>
      <c r="F41" s="772">
        <f>SUM(F38:F40)</f>
        <v>162952582</v>
      </c>
      <c r="G41" s="545"/>
    </row>
    <row r="42" spans="1:7" ht="12.75">
      <c r="A42" s="545"/>
      <c r="B42" s="546"/>
      <c r="C42" s="551"/>
      <c r="D42" s="551"/>
      <c r="E42" s="545"/>
      <c r="F42" s="545"/>
      <c r="G42" s="545"/>
    </row>
    <row r="43" spans="1:7" ht="13.5" thickBot="1">
      <c r="A43" s="545"/>
      <c r="B43" s="552"/>
      <c r="C43" s="553"/>
      <c r="D43" s="553"/>
      <c r="E43" s="545"/>
      <c r="F43" s="545"/>
      <c r="G43" s="545"/>
    </row>
    <row r="44" spans="1:7" ht="24.75" thickBot="1">
      <c r="A44" s="545"/>
      <c r="B44" s="783" t="s">
        <v>544</v>
      </c>
      <c r="C44" s="1128" t="s">
        <v>227</v>
      </c>
      <c r="D44" s="1129"/>
      <c r="E44" s="751" t="s">
        <v>7</v>
      </c>
      <c r="F44" s="751" t="s">
        <v>8</v>
      </c>
      <c r="G44" s="545"/>
    </row>
    <row r="45" spans="1:7" ht="12.75">
      <c r="A45" s="545"/>
      <c r="B45" s="784"/>
      <c r="C45" s="1155" t="s">
        <v>480</v>
      </c>
      <c r="D45" s="785" t="s">
        <v>249</v>
      </c>
      <c r="E45" s="786">
        <f>'[4]Munka1'!$B$45</f>
        <v>66232</v>
      </c>
      <c r="F45" s="786">
        <f>68615600+26400</f>
        <v>68642000</v>
      </c>
      <c r="G45" s="545"/>
    </row>
    <row r="46" spans="1:7" ht="12.75">
      <c r="A46" s="545"/>
      <c r="B46" s="787"/>
      <c r="C46" s="1130"/>
      <c r="D46" s="788" t="s">
        <v>454</v>
      </c>
      <c r="E46" s="789">
        <f>'[4]Munka1'!$B$64</f>
        <v>18125</v>
      </c>
      <c r="F46" s="789">
        <f>15377500+7128</f>
        <v>15384628</v>
      </c>
      <c r="G46" s="545"/>
    </row>
    <row r="47" spans="1:7" ht="12.75">
      <c r="A47" s="545"/>
      <c r="B47" s="787"/>
      <c r="C47" s="1156"/>
      <c r="D47" s="788" t="s">
        <v>233</v>
      </c>
      <c r="E47" s="789">
        <f>'[3]Munka1'!$B$97+'[3]Munka1'!$C$97</f>
        <v>15741</v>
      </c>
      <c r="F47" s="789">
        <v>15890000</v>
      </c>
      <c r="G47" s="545"/>
    </row>
    <row r="48" spans="1:7" ht="12.75">
      <c r="A48" s="545"/>
      <c r="B48" s="790"/>
      <c r="C48" s="791" t="s">
        <v>223</v>
      </c>
      <c r="D48" s="792"/>
      <c r="E48" s="793">
        <f>SUM(E45:E47)</f>
        <v>100098</v>
      </c>
      <c r="F48" s="793">
        <f>SUM(F45:F47)</f>
        <v>99916628</v>
      </c>
      <c r="G48" s="545"/>
    </row>
    <row r="49" spans="1:7" ht="12.75">
      <c r="A49" s="545"/>
      <c r="B49" s="794"/>
      <c r="C49" s="1157" t="s">
        <v>272</v>
      </c>
      <c r="D49" s="795" t="s">
        <v>249</v>
      </c>
      <c r="E49" s="796">
        <f>'[4]Munka1'!$C$45</f>
        <v>2018</v>
      </c>
      <c r="F49" s="796">
        <v>2427000</v>
      </c>
      <c r="G49" s="545"/>
    </row>
    <row r="50" spans="1:7" ht="12.75">
      <c r="A50" s="545"/>
      <c r="B50" s="794"/>
      <c r="C50" s="1158"/>
      <c r="D50" s="788" t="s">
        <v>454</v>
      </c>
      <c r="E50" s="797">
        <f>'[4]Munka1'!$C$64</f>
        <v>545</v>
      </c>
      <c r="F50" s="797">
        <v>533900</v>
      </c>
      <c r="G50" s="545"/>
    </row>
    <row r="51" spans="1:7" ht="12.75">
      <c r="A51" s="545"/>
      <c r="B51" s="798"/>
      <c r="C51" s="799" t="s">
        <v>273</v>
      </c>
      <c r="D51" s="800"/>
      <c r="E51" s="801">
        <f>(E49+E50)</f>
        <v>2563</v>
      </c>
      <c r="F51" s="801">
        <f>(F49+F50)</f>
        <v>2960900</v>
      </c>
      <c r="G51" s="545"/>
    </row>
    <row r="52" spans="1:7" ht="12.75">
      <c r="A52" s="545"/>
      <c r="B52" s="1044"/>
      <c r="C52" s="1140" t="s">
        <v>306</v>
      </c>
      <c r="D52" s="1045" t="s">
        <v>249</v>
      </c>
      <c r="E52" s="789">
        <v>0</v>
      </c>
      <c r="F52" s="789">
        <v>0</v>
      </c>
      <c r="G52" s="545"/>
    </row>
    <row r="53" spans="1:7" ht="12.75">
      <c r="A53" s="545"/>
      <c r="B53" s="1044"/>
      <c r="C53" s="1140"/>
      <c r="D53" s="1045" t="s">
        <v>454</v>
      </c>
      <c r="E53" s="789">
        <v>0</v>
      </c>
      <c r="F53" s="789">
        <v>0</v>
      </c>
      <c r="G53" s="545"/>
    </row>
    <row r="54" spans="1:7" ht="12.75">
      <c r="A54" s="545"/>
      <c r="B54" s="1044"/>
      <c r="C54" s="1140"/>
      <c r="D54" s="1045" t="s">
        <v>233</v>
      </c>
      <c r="E54" s="789">
        <v>0</v>
      </c>
      <c r="F54" s="789">
        <v>0</v>
      </c>
      <c r="G54" s="545"/>
    </row>
    <row r="55" spans="1:7" ht="14.25" customHeight="1">
      <c r="A55" s="545"/>
      <c r="B55" s="798"/>
      <c r="C55" s="799" t="s">
        <v>306</v>
      </c>
      <c r="D55" s="800"/>
      <c r="E55" s="801">
        <v>0</v>
      </c>
      <c r="F55" s="801">
        <v>0</v>
      </c>
      <c r="G55" s="545"/>
    </row>
    <row r="56" spans="1:7" ht="12.75">
      <c r="A56" s="545"/>
      <c r="B56" s="802"/>
      <c r="C56" s="1130" t="s">
        <v>307</v>
      </c>
      <c r="D56" s="795" t="s">
        <v>249</v>
      </c>
      <c r="E56" s="803">
        <v>0</v>
      </c>
      <c r="F56" s="803">
        <v>0</v>
      </c>
      <c r="G56" s="545"/>
    </row>
    <row r="57" spans="1:7" ht="12.75">
      <c r="A57" s="545"/>
      <c r="B57" s="802"/>
      <c r="C57" s="1130"/>
      <c r="D57" s="788" t="s">
        <v>454</v>
      </c>
      <c r="E57" s="804">
        <v>0</v>
      </c>
      <c r="F57" s="804">
        <v>0</v>
      </c>
      <c r="G57" s="545"/>
    </row>
    <row r="58" spans="1:7" ht="12.75">
      <c r="A58" s="545"/>
      <c r="B58" s="805"/>
      <c r="C58" s="1130"/>
      <c r="D58" s="788" t="s">
        <v>233</v>
      </c>
      <c r="E58" s="806">
        <v>0</v>
      </c>
      <c r="F58" s="806">
        <v>0</v>
      </c>
      <c r="G58" s="545"/>
    </row>
    <row r="59" spans="1:7" ht="12.75">
      <c r="A59" s="545"/>
      <c r="B59" s="798"/>
      <c r="C59" s="799" t="s">
        <v>308</v>
      </c>
      <c r="D59" s="800"/>
      <c r="E59" s="801">
        <v>0</v>
      </c>
      <c r="F59" s="801">
        <v>0</v>
      </c>
      <c r="G59" s="545"/>
    </row>
    <row r="60" spans="1:7" ht="12.75">
      <c r="A60" s="545"/>
      <c r="B60" s="802"/>
      <c r="C60" s="1130" t="s">
        <v>309</v>
      </c>
      <c r="D60" s="795" t="s">
        <v>249</v>
      </c>
      <c r="E60" s="803">
        <v>0</v>
      </c>
      <c r="F60" s="803">
        <v>0</v>
      </c>
      <c r="G60" s="545"/>
    </row>
    <row r="61" spans="1:7" ht="12.75">
      <c r="A61" s="545"/>
      <c r="B61" s="802"/>
      <c r="C61" s="1130"/>
      <c r="D61" s="788" t="s">
        <v>454</v>
      </c>
      <c r="E61" s="804">
        <v>0</v>
      </c>
      <c r="F61" s="804">
        <v>0</v>
      </c>
      <c r="G61" s="545"/>
    </row>
    <row r="62" spans="1:7" ht="12.75">
      <c r="A62" s="545"/>
      <c r="B62" s="805"/>
      <c r="C62" s="1130"/>
      <c r="D62" s="788" t="s">
        <v>233</v>
      </c>
      <c r="E62" s="806">
        <v>0</v>
      </c>
      <c r="F62" s="806">
        <v>0</v>
      </c>
      <c r="G62" s="545"/>
    </row>
    <row r="63" spans="1:7" ht="12.75">
      <c r="A63" s="545"/>
      <c r="B63" s="798"/>
      <c r="C63" s="799" t="s">
        <v>313</v>
      </c>
      <c r="D63" s="807"/>
      <c r="E63" s="801">
        <v>0</v>
      </c>
      <c r="F63" s="801">
        <v>0</v>
      </c>
      <c r="G63" s="545"/>
    </row>
    <row r="64" spans="1:7" ht="12.75">
      <c r="A64" s="545"/>
      <c r="B64" s="808"/>
      <c r="C64" s="1141" t="s">
        <v>225</v>
      </c>
      <c r="D64" s="795" t="s">
        <v>249</v>
      </c>
      <c r="E64" s="809">
        <f>(E45+E49)</f>
        <v>68250</v>
      </c>
      <c r="F64" s="809">
        <f>(F45+F49)</f>
        <v>71069000</v>
      </c>
      <c r="G64" s="545"/>
    </row>
    <row r="65" spans="1:7" ht="12.75">
      <c r="A65" s="545"/>
      <c r="B65" s="787"/>
      <c r="C65" s="1141"/>
      <c r="D65" s="788" t="s">
        <v>454</v>
      </c>
      <c r="E65" s="809">
        <f>(E46+E50)</f>
        <v>18670</v>
      </c>
      <c r="F65" s="809">
        <f>(F46+F50)</f>
        <v>15918528</v>
      </c>
      <c r="G65" s="545"/>
    </row>
    <row r="66" spans="1:7" ht="12.75">
      <c r="A66" s="545"/>
      <c r="B66" s="787"/>
      <c r="C66" s="1141"/>
      <c r="D66" s="788" t="s">
        <v>233</v>
      </c>
      <c r="E66" s="809">
        <f>(E47)</f>
        <v>15741</v>
      </c>
      <c r="F66" s="809">
        <f>(F47)</f>
        <v>15890000</v>
      </c>
      <c r="G66" s="545"/>
    </row>
    <row r="67" spans="1:7" ht="13.5" thickBot="1">
      <c r="A67" s="545"/>
      <c r="B67" s="810"/>
      <c r="C67" s="1141"/>
      <c r="D67" s="788" t="s">
        <v>259</v>
      </c>
      <c r="E67" s="811">
        <v>0</v>
      </c>
      <c r="F67" s="811">
        <v>0</v>
      </c>
      <c r="G67" s="545"/>
    </row>
    <row r="68" spans="1:7" ht="13.5" thickBot="1">
      <c r="A68" s="545"/>
      <c r="B68" s="812" t="s">
        <v>544</v>
      </c>
      <c r="C68" s="1159" t="s">
        <v>228</v>
      </c>
      <c r="D68" s="1159"/>
      <c r="E68" s="813">
        <f>SUM(E64:E67)</f>
        <v>102661</v>
      </c>
      <c r="F68" s="813">
        <f>SUM(F64:F67)</f>
        <v>102877528</v>
      </c>
      <c r="G68" s="545"/>
    </row>
    <row r="69" spans="1:7" ht="12.75">
      <c r="A69" s="545"/>
      <c r="B69" s="552"/>
      <c r="C69" s="553"/>
      <c r="D69" s="553"/>
      <c r="E69" s="545"/>
      <c r="F69" s="545"/>
      <c r="G69" s="545"/>
    </row>
    <row r="70" spans="1:7" ht="12.75">
      <c r="A70" s="545"/>
      <c r="B70" s="552"/>
      <c r="C70" s="553"/>
      <c r="D70" s="553"/>
      <c r="E70" s="545"/>
      <c r="F70" s="545"/>
      <c r="G70" s="545"/>
    </row>
    <row r="71" spans="1:7" ht="13.5" thickBot="1">
      <c r="A71" s="545"/>
      <c r="B71" s="552"/>
      <c r="C71" s="553"/>
      <c r="D71" s="553"/>
      <c r="E71" s="545"/>
      <c r="F71" s="545"/>
      <c r="G71" s="545"/>
    </row>
    <row r="72" spans="1:7" ht="24.75" thickBot="1">
      <c r="A72" s="545"/>
      <c r="B72" s="1149"/>
      <c r="C72" s="1151" t="s">
        <v>264</v>
      </c>
      <c r="D72" s="1152"/>
      <c r="E72" s="751" t="s">
        <v>7</v>
      </c>
      <c r="F72" s="751" t="s">
        <v>8</v>
      </c>
      <c r="G72" s="545"/>
    </row>
    <row r="73" spans="1:7" ht="24">
      <c r="A73" s="545"/>
      <c r="B73" s="1150"/>
      <c r="C73" s="1153"/>
      <c r="D73" s="1154"/>
      <c r="E73" s="751" t="s">
        <v>7</v>
      </c>
      <c r="F73" s="751" t="s">
        <v>8</v>
      </c>
      <c r="G73" s="545"/>
    </row>
    <row r="74" spans="1:7" ht="12.75">
      <c r="A74" s="545"/>
      <c r="B74" s="779"/>
      <c r="C74" s="1137" t="s">
        <v>457</v>
      </c>
      <c r="D74" s="753" t="s">
        <v>232</v>
      </c>
      <c r="E74" s="814">
        <f aca="true" t="shared" si="1" ref="E74:F76">(E14+E38+E64)</f>
        <v>143102</v>
      </c>
      <c r="F74" s="814">
        <f t="shared" si="1"/>
        <v>167278200</v>
      </c>
      <c r="G74" s="545"/>
    </row>
    <row r="75" spans="1:7" ht="12.75">
      <c r="A75" s="545"/>
      <c r="B75" s="779"/>
      <c r="C75" s="1138"/>
      <c r="D75" s="756" t="s">
        <v>454</v>
      </c>
      <c r="E75" s="814">
        <f t="shared" si="1"/>
        <v>39811</v>
      </c>
      <c r="F75" s="814">
        <f t="shared" si="1"/>
        <v>40068803</v>
      </c>
      <c r="G75" s="545"/>
    </row>
    <row r="76" spans="1:7" ht="12.75">
      <c r="A76" s="545"/>
      <c r="B76" s="779"/>
      <c r="C76" s="1138"/>
      <c r="D76" s="756" t="s">
        <v>233</v>
      </c>
      <c r="E76" s="814">
        <f t="shared" si="1"/>
        <v>81176</v>
      </c>
      <c r="F76" s="814">
        <f t="shared" si="1"/>
        <v>81708000</v>
      </c>
      <c r="G76" s="545"/>
    </row>
    <row r="77" spans="1:7" ht="12.75">
      <c r="A77" s="545"/>
      <c r="B77" s="779"/>
      <c r="C77" s="1138"/>
      <c r="D77" s="759" t="s">
        <v>253</v>
      </c>
      <c r="E77" s="815">
        <v>0</v>
      </c>
      <c r="F77" s="815">
        <v>0</v>
      </c>
      <c r="G77" s="545"/>
    </row>
    <row r="78" spans="1:7" ht="13.5" thickBot="1">
      <c r="A78" s="545"/>
      <c r="B78" s="779"/>
      <c r="C78" s="1138"/>
      <c r="D78" s="759" t="s">
        <v>455</v>
      </c>
      <c r="E78" s="1048">
        <v>0</v>
      </c>
      <c r="F78" s="816">
        <v>0</v>
      </c>
      <c r="G78" s="545"/>
    </row>
    <row r="79" spans="1:7" ht="13.5" thickBot="1">
      <c r="A79" s="545"/>
      <c r="B79" s="771" t="s">
        <v>230</v>
      </c>
      <c r="C79" s="1123" t="s">
        <v>246</v>
      </c>
      <c r="D79" s="1123"/>
      <c r="E79" s="817">
        <f>SUM(E74:E76)</f>
        <v>264089</v>
      </c>
      <c r="F79" s="817">
        <f>SUM(F74:F76)</f>
        <v>289055003</v>
      </c>
      <c r="G79" s="545"/>
    </row>
    <row r="80" spans="1:7" ht="14.25">
      <c r="A80" s="545"/>
      <c r="B80" s="554"/>
      <c r="C80" s="554"/>
      <c r="D80" s="554"/>
      <c r="E80" s="545"/>
      <c r="F80" s="545"/>
      <c r="G80" s="545"/>
    </row>
    <row r="81" spans="1:7" ht="15.75">
      <c r="A81" s="381"/>
      <c r="B81" s="381"/>
      <c r="C81" s="195"/>
      <c r="D81" s="56"/>
      <c r="E81" s="545"/>
      <c r="F81" s="545"/>
      <c r="G81" s="545"/>
    </row>
  </sheetData>
  <sheetProtection/>
  <mergeCells count="29">
    <mergeCell ref="B72:B73"/>
    <mergeCell ref="C72:D73"/>
    <mergeCell ref="C45:C47"/>
    <mergeCell ref="C49:C50"/>
    <mergeCell ref="C68:D68"/>
    <mergeCell ref="C2:D2"/>
    <mergeCell ref="C17:D17"/>
    <mergeCell ref="C30:C32"/>
    <mergeCell ref="C33:D33"/>
    <mergeCell ref="C22:C24"/>
    <mergeCell ref="C6:D6"/>
    <mergeCell ref="C7:C9"/>
    <mergeCell ref="C10:D10"/>
    <mergeCell ref="C3:C5"/>
    <mergeCell ref="C14:C16"/>
    <mergeCell ref="C74:C78"/>
    <mergeCell ref="C21:D21"/>
    <mergeCell ref="C52:C54"/>
    <mergeCell ref="C64:C67"/>
    <mergeCell ref="C79:D79"/>
    <mergeCell ref="C34:C36"/>
    <mergeCell ref="C25:D25"/>
    <mergeCell ref="C44:D44"/>
    <mergeCell ref="C56:C58"/>
    <mergeCell ref="C41:D41"/>
    <mergeCell ref="C38:C40"/>
    <mergeCell ref="C26:C28"/>
    <mergeCell ref="C29:D29"/>
    <mergeCell ref="C60:C6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&amp;C&amp;"Times New Roman CE,Félkövér"&amp;12Költségvetési szervek működési kiadásai kormányzati funkciónként&amp;R
7.  tájékoztató tábla</oddHeader>
  </headerFooter>
  <rowBreaks count="1" manualBreakCount="1">
    <brk id="43" max="6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40">
      <selection activeCell="E68" sqref="E68"/>
    </sheetView>
  </sheetViews>
  <sheetFormatPr defaultColWidth="9.00390625" defaultRowHeight="12.75"/>
  <cols>
    <col min="1" max="1" width="7.375" style="0" customWidth="1"/>
    <col min="2" max="2" width="42.00390625" style="0" customWidth="1"/>
    <col min="3" max="3" width="18.875" style="0" customWidth="1"/>
    <col min="4" max="4" width="12.125" style="0" customWidth="1"/>
    <col min="5" max="5" width="13.875" style="1047" customWidth="1"/>
  </cols>
  <sheetData>
    <row r="1" spans="1:5" ht="25.5">
      <c r="A1" s="820" t="s">
        <v>229</v>
      </c>
      <c r="B1" s="821" t="s">
        <v>247</v>
      </c>
      <c r="C1" s="822" t="s">
        <v>231</v>
      </c>
      <c r="D1" s="823" t="s">
        <v>7</v>
      </c>
      <c r="E1" s="823" t="s">
        <v>9</v>
      </c>
    </row>
    <row r="2" spans="1:5" ht="12.75">
      <c r="A2" s="824"/>
      <c r="B2" s="825" t="s">
        <v>475</v>
      </c>
      <c r="C2" s="826" t="s">
        <v>233</v>
      </c>
      <c r="D2" s="827">
        <f>'[8]Munka1'!$G$99</f>
        <v>2920</v>
      </c>
      <c r="E2" s="827">
        <v>2920000</v>
      </c>
    </row>
    <row r="3" spans="1:5" ht="12.75">
      <c r="A3" s="828"/>
      <c r="B3" s="829" t="s">
        <v>476</v>
      </c>
      <c r="C3" s="830" t="s">
        <v>233</v>
      </c>
      <c r="D3" s="827">
        <f>'[8]Munka1'!$F$99</f>
        <v>500</v>
      </c>
      <c r="E3" s="827">
        <v>18780000</v>
      </c>
    </row>
    <row r="4" spans="1:5" ht="12.75">
      <c r="A4" s="828"/>
      <c r="B4" s="829" t="s">
        <v>402</v>
      </c>
      <c r="C4" s="830" t="s">
        <v>233</v>
      </c>
      <c r="D4" s="827">
        <f>'[8]Munka1'!$E$99</f>
        <v>500</v>
      </c>
      <c r="E4" s="827">
        <v>500000</v>
      </c>
    </row>
    <row r="5" spans="1:5" ht="12.75">
      <c r="A5" s="828"/>
      <c r="B5" s="829" t="s">
        <v>479</v>
      </c>
      <c r="C5" s="830" t="s">
        <v>233</v>
      </c>
      <c r="D5" s="827">
        <v>1835</v>
      </c>
      <c r="E5" s="827">
        <v>1270000</v>
      </c>
    </row>
    <row r="6" spans="1:5" ht="12.75">
      <c r="A6" s="828"/>
      <c r="B6" s="829" t="s">
        <v>248</v>
      </c>
      <c r="C6" s="830" t="s">
        <v>233</v>
      </c>
      <c r="D6" s="827">
        <f>'[8]Munka1'!$H$99</f>
        <v>10160</v>
      </c>
      <c r="E6" s="827">
        <v>12700000</v>
      </c>
    </row>
    <row r="7" spans="1:5" ht="12.75">
      <c r="A7" s="828"/>
      <c r="B7" s="829" t="s">
        <v>477</v>
      </c>
      <c r="C7" s="830" t="s">
        <v>233</v>
      </c>
      <c r="D7" s="827">
        <f>'[8]Munka1'!$C$99</f>
        <v>1778</v>
      </c>
      <c r="E7" s="827">
        <v>1778000</v>
      </c>
    </row>
    <row r="8" spans="1:5" ht="12.75">
      <c r="A8" s="828"/>
      <c r="B8" s="1183" t="s">
        <v>263</v>
      </c>
      <c r="C8" s="830" t="s">
        <v>249</v>
      </c>
      <c r="D8" s="827">
        <f>'[7]Munka1'!$B$47</f>
        <v>4317</v>
      </c>
      <c r="E8" s="827">
        <f>4986000+15000</f>
        <v>5001000</v>
      </c>
    </row>
    <row r="9" spans="1:5" ht="12.75">
      <c r="A9" s="828"/>
      <c r="B9" s="1183"/>
      <c r="C9" s="830" t="s">
        <v>454</v>
      </c>
      <c r="D9" s="827">
        <f>'[7]Munka1'!$B$66</f>
        <v>1137</v>
      </c>
      <c r="E9" s="827">
        <f>1112000+4050</f>
        <v>1116050</v>
      </c>
    </row>
    <row r="10" spans="1:5" ht="12.75">
      <c r="A10" s="831"/>
      <c r="B10" s="1183"/>
      <c r="C10" s="832" t="s">
        <v>233</v>
      </c>
      <c r="D10" s="827">
        <f>'[8]Munka1'!$I$99</f>
        <v>9000</v>
      </c>
      <c r="E10" s="827">
        <v>10000000</v>
      </c>
    </row>
    <row r="11" spans="1:5" ht="12.75">
      <c r="A11" s="833"/>
      <c r="B11" s="1172" t="s">
        <v>250</v>
      </c>
      <c r="C11" s="1172"/>
      <c r="D11" s="834">
        <f>SUM(D8:D10)</f>
        <v>14454</v>
      </c>
      <c r="E11" s="834">
        <f>SUM(E8:E10)</f>
        <v>16117050</v>
      </c>
    </row>
    <row r="12" spans="1:5" ht="12.75">
      <c r="A12" s="828"/>
      <c r="B12" s="1187" t="s">
        <v>403</v>
      </c>
      <c r="C12" s="830" t="s">
        <v>249</v>
      </c>
      <c r="D12" s="827">
        <v>0</v>
      </c>
      <c r="E12" s="827">
        <v>3000000</v>
      </c>
    </row>
    <row r="13" spans="1:5" ht="12.75">
      <c r="A13" s="828"/>
      <c r="B13" s="1185"/>
      <c r="C13" s="830" t="s">
        <v>454</v>
      </c>
      <c r="D13" s="827">
        <v>0</v>
      </c>
      <c r="E13" s="827">
        <v>660000</v>
      </c>
    </row>
    <row r="14" spans="1:5" ht="12.75">
      <c r="A14" s="831"/>
      <c r="B14" s="1186"/>
      <c r="C14" s="832" t="s">
        <v>233</v>
      </c>
      <c r="D14" s="827">
        <v>0</v>
      </c>
      <c r="E14" s="827">
        <v>0</v>
      </c>
    </row>
    <row r="15" spans="1:5" ht="12.75">
      <c r="A15" s="833"/>
      <c r="B15" s="1172" t="s">
        <v>453</v>
      </c>
      <c r="C15" s="1172"/>
      <c r="D15" s="834">
        <f>D12+D13+D14</f>
        <v>0</v>
      </c>
      <c r="E15" s="834">
        <f>E12+E13+E14</f>
        <v>3660000</v>
      </c>
    </row>
    <row r="16" spans="1:5" ht="13.5" thickBot="1">
      <c r="A16" s="836"/>
      <c r="B16" s="837" t="s">
        <v>439</v>
      </c>
      <c r="C16" s="838" t="s">
        <v>233</v>
      </c>
      <c r="D16" s="827">
        <f>'[8]Munka1'!$D$99</f>
        <v>15240</v>
      </c>
      <c r="E16" s="827"/>
    </row>
    <row r="17" spans="1:5" ht="13.5" thickBot="1">
      <c r="A17" s="839" t="s">
        <v>456</v>
      </c>
      <c r="B17" s="1188" t="s">
        <v>458</v>
      </c>
      <c r="C17" s="1189"/>
      <c r="D17" s="841">
        <f>SUM(D2+D3+D4+D5+D6+D7+D11+D15+D16)</f>
        <v>47387</v>
      </c>
      <c r="E17" s="841">
        <f>SUM(E2+E3+E4+E5+E6+E7+E11+E15+E16)</f>
        <v>57725050</v>
      </c>
    </row>
    <row r="18" spans="1:5" ht="12.75">
      <c r="A18" s="842"/>
      <c r="B18" s="843" t="s">
        <v>482</v>
      </c>
      <c r="C18" s="844" t="s">
        <v>251</v>
      </c>
      <c r="D18" s="827">
        <f>'[10]Munka1'!$G$45</f>
        <v>3775</v>
      </c>
      <c r="E18" s="827">
        <v>3854000</v>
      </c>
    </row>
    <row r="19" spans="1:5" ht="12.75">
      <c r="A19" s="824"/>
      <c r="B19" s="825" t="s">
        <v>466</v>
      </c>
      <c r="C19" s="845" t="s">
        <v>251</v>
      </c>
      <c r="D19" s="827"/>
      <c r="E19" s="827"/>
    </row>
    <row r="20" spans="1:5" ht="12.75">
      <c r="A20" s="824"/>
      <c r="B20" s="825" t="s">
        <v>440</v>
      </c>
      <c r="C20" s="845" t="s">
        <v>481</v>
      </c>
      <c r="D20" s="827">
        <f>'[10]Munka1'!$B$45</f>
        <v>1100</v>
      </c>
      <c r="E20" s="827"/>
    </row>
    <row r="21" spans="1:5" ht="12.75">
      <c r="A21" s="824"/>
      <c r="B21" s="825" t="s">
        <v>254</v>
      </c>
      <c r="C21" s="845" t="s">
        <v>481</v>
      </c>
      <c r="D21" s="827">
        <f>'[10]Munka1'!$C$45</f>
        <v>979</v>
      </c>
      <c r="E21" s="827">
        <v>1500000</v>
      </c>
    </row>
    <row r="22" spans="1:5" ht="12.75">
      <c r="A22" s="828"/>
      <c r="B22" s="829" t="s">
        <v>483</v>
      </c>
      <c r="C22" s="845" t="s">
        <v>251</v>
      </c>
      <c r="D22" s="827">
        <f>'[10]Munka1'!$H$45</f>
        <v>500</v>
      </c>
      <c r="E22" s="827">
        <v>1000000</v>
      </c>
    </row>
    <row r="23" spans="1:5" ht="12.75">
      <c r="A23" s="828"/>
      <c r="B23" s="1169" t="s">
        <v>461</v>
      </c>
      <c r="C23" s="845" t="s">
        <v>251</v>
      </c>
      <c r="D23" s="827"/>
      <c r="E23" s="827"/>
    </row>
    <row r="24" spans="1:5" ht="12.75">
      <c r="A24" s="828"/>
      <c r="B24" s="1169"/>
      <c r="C24" s="846" t="s">
        <v>233</v>
      </c>
      <c r="D24" s="827">
        <f>'[9]Munka1'!$J$99</f>
        <v>2565</v>
      </c>
      <c r="E24" s="827">
        <v>2850000</v>
      </c>
    </row>
    <row r="25" spans="1:5" ht="12.75">
      <c r="A25" s="828"/>
      <c r="B25" s="829" t="s">
        <v>441</v>
      </c>
      <c r="C25" s="846" t="s">
        <v>251</v>
      </c>
      <c r="D25" s="827">
        <f>'[10]Munka1'!$D$45</f>
        <v>1757</v>
      </c>
      <c r="E25" s="827">
        <v>1757000</v>
      </c>
    </row>
    <row r="26" spans="1:5" ht="12.75">
      <c r="A26" s="828"/>
      <c r="B26" s="829" t="s">
        <v>305</v>
      </c>
      <c r="C26" s="846" t="s">
        <v>251</v>
      </c>
      <c r="D26" s="827"/>
      <c r="E26" s="827"/>
    </row>
    <row r="27" spans="1:5" ht="12.75">
      <c r="A27" s="828"/>
      <c r="B27" s="1192" t="s">
        <v>484</v>
      </c>
      <c r="C27" s="845" t="s">
        <v>253</v>
      </c>
      <c r="D27" s="827">
        <f>'[10]Munka1'!$I$45</f>
        <v>1500</v>
      </c>
      <c r="E27" s="827">
        <v>1500000</v>
      </c>
    </row>
    <row r="28" spans="1:5" ht="12.75">
      <c r="A28" s="847"/>
      <c r="B28" s="1193"/>
      <c r="C28" s="848" t="s">
        <v>233</v>
      </c>
      <c r="D28" s="849"/>
      <c r="E28" s="849"/>
    </row>
    <row r="29" spans="1:5" ht="12.75">
      <c r="A29" s="847"/>
      <c r="B29" s="850" t="s">
        <v>442</v>
      </c>
      <c r="C29" s="848" t="s">
        <v>253</v>
      </c>
      <c r="D29" s="849"/>
      <c r="E29" s="849"/>
    </row>
    <row r="30" spans="1:5" ht="13.5" thickBot="1">
      <c r="A30" s="851"/>
      <c r="B30" s="852" t="s">
        <v>252</v>
      </c>
      <c r="C30" s="845" t="s">
        <v>253</v>
      </c>
      <c r="D30" s="853"/>
      <c r="E30" s="853"/>
    </row>
    <row r="31" spans="1:5" ht="13.5" thickBot="1">
      <c r="A31" s="854" t="s">
        <v>462</v>
      </c>
      <c r="B31" s="1170" t="s">
        <v>464</v>
      </c>
      <c r="C31" s="1171"/>
      <c r="D31" s="855">
        <f>SUM(D18:D30)</f>
        <v>12176</v>
      </c>
      <c r="E31" s="855">
        <f>SUM(E18:E30)</f>
        <v>12461000</v>
      </c>
    </row>
    <row r="32" spans="1:5" ht="12.75">
      <c r="A32" s="856"/>
      <c r="B32" s="857" t="s">
        <v>471</v>
      </c>
      <c r="C32" s="858" t="s">
        <v>233</v>
      </c>
      <c r="D32" s="827">
        <f>'[8]Munka1'!$J$99</f>
        <v>700</v>
      </c>
      <c r="E32" s="827">
        <v>482000</v>
      </c>
    </row>
    <row r="33" spans="1:5" ht="12.75">
      <c r="A33" s="828"/>
      <c r="B33" s="1172" t="s">
        <v>472</v>
      </c>
      <c r="C33" s="1173"/>
      <c r="D33" s="859">
        <f>D32</f>
        <v>700</v>
      </c>
      <c r="E33" s="859">
        <f>E32</f>
        <v>482000</v>
      </c>
    </row>
    <row r="34" spans="1:5" ht="12.75">
      <c r="A34" s="828"/>
      <c r="B34" s="860" t="s">
        <v>473</v>
      </c>
      <c r="C34" s="861" t="s">
        <v>233</v>
      </c>
      <c r="D34" s="827">
        <f>'[9]Munka1'!$B$99</f>
        <v>335</v>
      </c>
      <c r="E34" s="827">
        <v>205000</v>
      </c>
    </row>
    <row r="35" spans="1:5" ht="12.75">
      <c r="A35" s="828"/>
      <c r="B35" s="1172" t="s">
        <v>474</v>
      </c>
      <c r="C35" s="1173"/>
      <c r="D35" s="859">
        <f>D34</f>
        <v>335</v>
      </c>
      <c r="E35" s="859">
        <f>E34</f>
        <v>205000</v>
      </c>
    </row>
    <row r="36" spans="1:5" ht="12.75">
      <c r="A36" s="828"/>
      <c r="B36" s="1182" t="s">
        <v>256</v>
      </c>
      <c r="C36" s="845" t="s">
        <v>249</v>
      </c>
      <c r="D36" s="827">
        <f>'[7]Munka1'!$G$47</f>
        <v>5432</v>
      </c>
      <c r="E36" s="827">
        <f>6236000+22400</f>
        <v>6258400</v>
      </c>
    </row>
    <row r="37" spans="1:5" ht="12.75">
      <c r="A37" s="828"/>
      <c r="B37" s="1182"/>
      <c r="C37" s="846" t="s">
        <v>454</v>
      </c>
      <c r="D37" s="827">
        <f>'[7]Munka1'!$G$66</f>
        <v>1630</v>
      </c>
      <c r="E37" s="827">
        <f>1395000+6048</f>
        <v>1401048</v>
      </c>
    </row>
    <row r="38" spans="1:5" ht="12.75">
      <c r="A38" s="828"/>
      <c r="B38" s="1182"/>
      <c r="C38" s="862" t="s">
        <v>233</v>
      </c>
      <c r="D38" s="827">
        <f>'[9]Munka1'!$C$99</f>
        <v>2200</v>
      </c>
      <c r="E38" s="827">
        <v>2668000</v>
      </c>
    </row>
    <row r="39" spans="1:5" ht="13.5" thickBot="1">
      <c r="A39" s="831"/>
      <c r="B39" s="1190" t="s">
        <v>257</v>
      </c>
      <c r="C39" s="1191"/>
      <c r="D39" s="863">
        <f>SUM(D36:D38)</f>
        <v>9262</v>
      </c>
      <c r="E39" s="863">
        <f>SUM(E36:E38)</f>
        <v>10327448</v>
      </c>
    </row>
    <row r="40" spans="1:5" ht="13.5" thickBot="1">
      <c r="A40" s="839" t="s">
        <v>463</v>
      </c>
      <c r="B40" s="1188" t="s">
        <v>258</v>
      </c>
      <c r="C40" s="1194"/>
      <c r="D40" s="841">
        <f>SUM(D33+D35+D39)</f>
        <v>10297</v>
      </c>
      <c r="E40" s="841">
        <f>SUM(E33+E35+E39)</f>
        <v>11014448</v>
      </c>
    </row>
    <row r="41" spans="1:5" ht="12.75">
      <c r="A41" s="824"/>
      <c r="B41" s="1184" t="s">
        <v>478</v>
      </c>
      <c r="C41" s="844" t="s">
        <v>249</v>
      </c>
      <c r="D41" s="865">
        <f>'[7]Munka1'!$D$47</f>
        <v>14888</v>
      </c>
      <c r="E41" s="865">
        <f>18377000+30000</f>
        <v>18407000</v>
      </c>
    </row>
    <row r="42" spans="1:5" ht="12.75">
      <c r="A42" s="828"/>
      <c r="B42" s="1185"/>
      <c r="C42" s="846" t="s">
        <v>454</v>
      </c>
      <c r="D42" s="827">
        <f>'[7]Munka1'!$D$66</f>
        <v>4132</v>
      </c>
      <c r="E42" s="827">
        <f>4139000+8100</f>
        <v>4147100</v>
      </c>
    </row>
    <row r="43" spans="1:5" ht="12.75">
      <c r="A43" s="828"/>
      <c r="B43" s="1185"/>
      <c r="C43" s="846" t="s">
        <v>233</v>
      </c>
      <c r="D43" s="827">
        <f>'[8]Munka1'!$B$99</f>
        <v>25400</v>
      </c>
      <c r="E43" s="827">
        <v>21600000</v>
      </c>
    </row>
    <row r="44" spans="1:5" ht="12.75">
      <c r="A44" s="828"/>
      <c r="B44" s="1185"/>
      <c r="C44" s="862" t="s">
        <v>226</v>
      </c>
      <c r="D44" s="827"/>
      <c r="E44" s="827"/>
    </row>
    <row r="45" spans="1:5" ht="12.75">
      <c r="A45" s="828"/>
      <c r="B45" s="1186"/>
      <c r="C45" s="866" t="s">
        <v>255</v>
      </c>
      <c r="D45" s="867">
        <f>'[11]Munka1'!$E$5</f>
        <v>2000</v>
      </c>
      <c r="E45" s="867"/>
    </row>
    <row r="46" spans="1:5" ht="13.5" thickBot="1">
      <c r="A46" s="868"/>
      <c r="B46" s="869" t="s">
        <v>217</v>
      </c>
      <c r="C46" s="870"/>
      <c r="D46" s="871">
        <f>SUM(D41:D45)</f>
        <v>46420</v>
      </c>
      <c r="E46" s="871">
        <f>SUM(E41:E45)</f>
        <v>44154100</v>
      </c>
    </row>
    <row r="47" spans="1:5" ht="13.5" thickBot="1">
      <c r="A47" s="872" t="s">
        <v>465</v>
      </c>
      <c r="B47" s="873" t="s">
        <v>467</v>
      </c>
      <c r="C47" s="874"/>
      <c r="D47" s="864">
        <f>SUM(D46)</f>
        <v>46420</v>
      </c>
      <c r="E47" s="864">
        <f>SUM(E46)</f>
        <v>44154100</v>
      </c>
    </row>
    <row r="48" spans="1:5" ht="13.5" thickBot="1">
      <c r="A48" s="555"/>
      <c r="B48" s="556"/>
      <c r="C48" s="557"/>
      <c r="D48" s="558"/>
      <c r="E48" s="558"/>
    </row>
    <row r="49" spans="1:5" ht="13.5" thickBot="1">
      <c r="A49" s="842"/>
      <c r="B49" s="1167" t="s">
        <v>443</v>
      </c>
      <c r="C49" s="844" t="s">
        <v>249</v>
      </c>
      <c r="D49" s="865">
        <f>'[7]Munka1'!$C$47</f>
        <v>6514</v>
      </c>
      <c r="E49" s="865">
        <f>6444500+12900+17600</f>
        <v>6475000</v>
      </c>
    </row>
    <row r="50" spans="1:5" ht="13.5" thickBot="1">
      <c r="A50" s="828"/>
      <c r="B50" s="1168"/>
      <c r="C50" s="846" t="s">
        <v>454</v>
      </c>
      <c r="D50" s="827">
        <f>'[7]Munka1'!$C$66</f>
        <v>1734</v>
      </c>
      <c r="E50" s="827">
        <f>1440000+3483+4752</f>
        <v>1448235</v>
      </c>
    </row>
    <row r="51" spans="1:5" ht="12.75">
      <c r="A51" s="828"/>
      <c r="B51" s="1168"/>
      <c r="C51" s="846" t="s">
        <v>233</v>
      </c>
      <c r="D51" s="827">
        <f>'[9]Munka1'!$H$99</f>
        <v>50000</v>
      </c>
      <c r="E51" s="827">
        <v>57200000</v>
      </c>
    </row>
    <row r="52" spans="1:5" ht="12.75">
      <c r="A52" s="868"/>
      <c r="B52" s="869" t="s">
        <v>444</v>
      </c>
      <c r="C52" s="870"/>
      <c r="D52" s="875">
        <f>SUM(D49:D51)</f>
        <v>58248</v>
      </c>
      <c r="E52" s="875">
        <f>SUM(E49:E51)</f>
        <v>65123235</v>
      </c>
    </row>
    <row r="53" spans="1:5" ht="12.75">
      <c r="A53" s="824"/>
      <c r="B53" s="1179" t="s">
        <v>468</v>
      </c>
      <c r="C53" s="845" t="s">
        <v>249</v>
      </c>
      <c r="D53" s="876">
        <f>'[7]Munka1'!$E$47</f>
        <v>1326</v>
      </c>
      <c r="E53" s="876">
        <f>222000+3900</f>
        <v>225900</v>
      </c>
    </row>
    <row r="54" spans="1:5" ht="12.75">
      <c r="A54" s="828"/>
      <c r="B54" s="1180"/>
      <c r="C54" s="846" t="s">
        <v>454</v>
      </c>
      <c r="D54" s="877">
        <f>'[7]Munka1'!$E$66</f>
        <v>358</v>
      </c>
      <c r="E54" s="877">
        <f>60000+1053</f>
        <v>61053</v>
      </c>
    </row>
    <row r="55" spans="1:5" ht="12.75">
      <c r="A55" s="828"/>
      <c r="B55" s="1180"/>
      <c r="C55" s="846" t="s">
        <v>233</v>
      </c>
      <c r="D55" s="877">
        <f>'[9]Munka1'!$F$99</f>
        <v>5079</v>
      </c>
      <c r="E55" s="877"/>
    </row>
    <row r="56" spans="1:5" ht="12.75">
      <c r="A56" s="878"/>
      <c r="B56" s="879" t="s">
        <v>218</v>
      </c>
      <c r="C56" s="880"/>
      <c r="D56" s="881">
        <f>SUM(D53:D55)</f>
        <v>6763</v>
      </c>
      <c r="E56" s="881">
        <f>SUM(E53:E55)</f>
        <v>286953</v>
      </c>
    </row>
    <row r="57" spans="1:5" ht="12.75">
      <c r="A57" s="882"/>
      <c r="B57" s="1181" t="s">
        <v>469</v>
      </c>
      <c r="C57" s="883" t="s">
        <v>249</v>
      </c>
      <c r="D57" s="877">
        <f>'[7]Munka1'!$F$47</f>
        <v>5538</v>
      </c>
      <c r="E57" s="877">
        <f>462000+19500</f>
        <v>481500</v>
      </c>
    </row>
    <row r="58" spans="1:5" ht="12.75">
      <c r="A58" s="828"/>
      <c r="B58" s="1182"/>
      <c r="C58" s="846" t="s">
        <v>454</v>
      </c>
      <c r="D58" s="877">
        <f>'[7]Munka1'!$F$66</f>
        <v>1495</v>
      </c>
      <c r="E58" s="877">
        <f>125000+5265</f>
        <v>130265</v>
      </c>
    </row>
    <row r="59" spans="1:5" ht="12.75">
      <c r="A59" s="884"/>
      <c r="B59" s="1182"/>
      <c r="C59" s="885" t="s">
        <v>233</v>
      </c>
      <c r="D59" s="877">
        <f>'[9]Munka1'!$G$99</f>
        <v>5675</v>
      </c>
      <c r="E59" s="877"/>
    </row>
    <row r="60" spans="1:5" ht="12.75">
      <c r="A60" s="833"/>
      <c r="B60" s="886" t="s">
        <v>219</v>
      </c>
      <c r="C60" s="887"/>
      <c r="D60" s="881">
        <f>SUM(D57:D59)</f>
        <v>12708</v>
      </c>
      <c r="E60" s="881">
        <f>SUM(E57:E59)</f>
        <v>611765</v>
      </c>
    </row>
    <row r="61" spans="1:5" ht="12.75">
      <c r="A61" s="884"/>
      <c r="B61" s="835" t="s">
        <v>470</v>
      </c>
      <c r="C61" s="885" t="s">
        <v>233</v>
      </c>
      <c r="D61" s="827">
        <v>330</v>
      </c>
      <c r="E61" s="827"/>
    </row>
    <row r="62" spans="1:5" ht="12.75">
      <c r="A62" s="847"/>
      <c r="B62" s="1177" t="s">
        <v>220</v>
      </c>
      <c r="C62" s="1178"/>
      <c r="D62" s="888">
        <f>D61</f>
        <v>330</v>
      </c>
      <c r="E62" s="888">
        <f>E61</f>
        <v>0</v>
      </c>
    </row>
    <row r="63" spans="1:5" ht="12.75">
      <c r="A63" s="889"/>
      <c r="B63" s="890" t="s">
        <v>445</v>
      </c>
      <c r="C63" s="891" t="s">
        <v>233</v>
      </c>
      <c r="D63" s="892">
        <f>'[9]Munka1'!$I$99</f>
        <v>2032</v>
      </c>
      <c r="E63" s="892">
        <v>2352000</v>
      </c>
    </row>
    <row r="64" spans="1:5" ht="13.5" thickBot="1">
      <c r="A64" s="893"/>
      <c r="B64" s="894" t="s">
        <v>446</v>
      </c>
      <c r="C64" s="895"/>
      <c r="D64" s="896">
        <f>D63</f>
        <v>2032</v>
      </c>
      <c r="E64" s="896">
        <f>E63</f>
        <v>2352000</v>
      </c>
    </row>
    <row r="65" spans="1:5" ht="13.5" thickBot="1">
      <c r="A65" s="872" t="s">
        <v>224</v>
      </c>
      <c r="B65" s="873" t="s">
        <v>222</v>
      </c>
      <c r="C65" s="874"/>
      <c r="D65" s="864">
        <f>SUM(D52+D56+D60+D62)</f>
        <v>78049</v>
      </c>
      <c r="E65" s="864">
        <f>SUM(E52+E56+E60+E62)</f>
        <v>66021953</v>
      </c>
    </row>
    <row r="66" spans="1:5" ht="13.5" thickBot="1">
      <c r="A66" s="872" t="s">
        <v>213</v>
      </c>
      <c r="B66" s="897" t="s">
        <v>214</v>
      </c>
      <c r="C66" s="898" t="s">
        <v>255</v>
      </c>
      <c r="D66" s="899">
        <f>'[11]Munka1'!$E$9</f>
        <v>126149</v>
      </c>
      <c r="E66" s="899">
        <f>'[11]Munka1'!$E$9</f>
        <v>126149</v>
      </c>
    </row>
    <row r="67" spans="1:5" ht="13.5" thickBot="1">
      <c r="A67" s="839" t="s">
        <v>215</v>
      </c>
      <c r="B67" s="840" t="s">
        <v>221</v>
      </c>
      <c r="C67" s="900" t="s">
        <v>260</v>
      </c>
      <c r="D67" s="841">
        <f>'[11]Munka1'!$E$15+'[11]Munka1'!$E$17</f>
        <v>3200</v>
      </c>
      <c r="E67" s="841"/>
    </row>
    <row r="68" spans="1:5" ht="13.5" thickBot="1">
      <c r="A68" s="842"/>
      <c r="B68" s="1174" t="s">
        <v>261</v>
      </c>
      <c r="C68" s="844" t="s">
        <v>249</v>
      </c>
      <c r="D68" s="901">
        <f>SUM(D8+D12+D36+D41+D49+D53+D57)</f>
        <v>38015</v>
      </c>
      <c r="E68" s="901">
        <f>SUM(E8+E12+E36+E41+E49+E53+E57)</f>
        <v>39848800</v>
      </c>
    </row>
    <row r="69" spans="1:5" ht="13.5" thickBot="1">
      <c r="A69" s="828"/>
      <c r="B69" s="1175"/>
      <c r="C69" s="846" t="s">
        <v>454</v>
      </c>
      <c r="D69" s="902">
        <f>SUM(D9+D13+D37+D42+D50+D54+D58)</f>
        <v>10486</v>
      </c>
      <c r="E69" s="902">
        <f>SUM(E9+E13+E37+E42+E50+E54+E58)</f>
        <v>8963751</v>
      </c>
    </row>
    <row r="70" spans="1:5" ht="13.5" thickBot="1">
      <c r="A70" s="828"/>
      <c r="B70" s="1175"/>
      <c r="C70" s="846" t="s">
        <v>233</v>
      </c>
      <c r="D70" s="903">
        <f>SUM(D2+D3+D4+D5+D6+D7+D10+D14+D16+D24+D32+D34+D38+D43+D51+D55+D59+D61+D63)</f>
        <v>136249</v>
      </c>
      <c r="E70" s="903">
        <f>SUM(E2+E3+E4+E5+E6+E7+E10+E14+E16+E24+E32+E34+E38+E43+E51+E55+E59+E61+E63)</f>
        <v>135305000</v>
      </c>
    </row>
    <row r="71" spans="1:5" ht="13.5" thickBot="1">
      <c r="A71" s="828"/>
      <c r="B71" s="1175"/>
      <c r="C71" s="846" t="s">
        <v>253</v>
      </c>
      <c r="D71" s="902">
        <f>SUM(D18+D19+D20+D21+D22+D23+D25+D27+D29+D30)</f>
        <v>9611</v>
      </c>
      <c r="E71" s="902">
        <f>SUM(E18+E19+E20+E21+E22+E23+E25+E27+E29+E30)</f>
        <v>9611000</v>
      </c>
    </row>
    <row r="72" spans="1:5" ht="13.5" thickBot="1">
      <c r="A72" s="831"/>
      <c r="B72" s="1175"/>
      <c r="C72" s="904" t="s">
        <v>255</v>
      </c>
      <c r="D72" s="905">
        <f>SUM(D45+D66)</f>
        <v>128149</v>
      </c>
      <c r="E72" s="905">
        <f>138868600+74041</f>
        <v>138942641</v>
      </c>
    </row>
    <row r="73" spans="1:5" ht="13.5" thickBot="1">
      <c r="A73" s="906"/>
      <c r="B73" s="1176"/>
      <c r="C73" s="907" t="s">
        <v>260</v>
      </c>
      <c r="D73" s="908">
        <f>D67</f>
        <v>3200</v>
      </c>
      <c r="E73" s="908">
        <f>E67</f>
        <v>0</v>
      </c>
    </row>
    <row r="74" spans="1:5" ht="13.5" thickBot="1">
      <c r="A74" s="909"/>
      <c r="B74" s="910" t="s">
        <v>262</v>
      </c>
      <c r="C74" s="911"/>
      <c r="D74" s="841">
        <f>SUM(D68:D73)</f>
        <v>325710</v>
      </c>
      <c r="E74" s="841">
        <f>SUM(E68:E73)</f>
        <v>332671192</v>
      </c>
    </row>
    <row r="75" spans="1:5" ht="12.75">
      <c r="A75" s="559"/>
      <c r="B75" s="560"/>
      <c r="C75" s="560"/>
      <c r="D75" s="560"/>
      <c r="E75" s="1046"/>
    </row>
    <row r="76" spans="1:5" ht="15.75" hidden="1">
      <c r="A76" s="381"/>
      <c r="B76" s="381"/>
      <c r="C76" s="195"/>
      <c r="D76" s="560"/>
      <c r="E76" s="1046"/>
    </row>
  </sheetData>
  <sheetProtection selectLockedCells="1" selectUnlockedCells="1"/>
  <mergeCells count="19">
    <mergeCell ref="B8:B10"/>
    <mergeCell ref="B11:C11"/>
    <mergeCell ref="B41:B45"/>
    <mergeCell ref="B12:B14"/>
    <mergeCell ref="B15:C15"/>
    <mergeCell ref="B17:C17"/>
    <mergeCell ref="B36:B38"/>
    <mergeCell ref="B39:C39"/>
    <mergeCell ref="B27:B28"/>
    <mergeCell ref="B40:C40"/>
    <mergeCell ref="B68:B73"/>
    <mergeCell ref="B62:C62"/>
    <mergeCell ref="B53:B55"/>
    <mergeCell ref="B57:B59"/>
    <mergeCell ref="B49:B51"/>
    <mergeCell ref="B23:B24"/>
    <mergeCell ref="B31:C31"/>
    <mergeCell ref="B33:C33"/>
    <mergeCell ref="B35:C35"/>
  </mergeCells>
  <printOptions/>
  <pageMargins left="0.3937007874015748" right="0.1968503937007874" top="0.984251968503937" bottom="0" header="0.5118110236220472" footer="0.5118110236220472"/>
  <pageSetup horizontalDpi="600" verticalDpi="600" orientation="portrait" paperSize="9" r:id="rId1"/>
  <headerFooter alignWithMargins="0">
    <oddHeader>&amp;C&amp;"Times New Roman CE,Félkövér"&amp;12Önkormányzati működési kiadások kormányzati funkciónként&amp;R
8. tájékoztató tábla</oddHeader>
  </headerFooter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73">
      <selection activeCell="C87" sqref="C87"/>
    </sheetView>
  </sheetViews>
  <sheetFormatPr defaultColWidth="9.00390625" defaultRowHeight="12.75"/>
  <cols>
    <col min="1" max="1" width="9.50390625" style="381" customWidth="1"/>
    <col min="2" max="2" width="91.625" style="381" customWidth="1"/>
    <col min="3" max="3" width="21.625" style="382" customWidth="1"/>
    <col min="4" max="4" width="9.00390625" style="404" customWidth="1"/>
    <col min="5" max="16384" width="9.375" style="404" customWidth="1"/>
  </cols>
  <sheetData>
    <row r="1" spans="1:3" ht="15.75" customHeight="1">
      <c r="A1" s="1062" t="s">
        <v>539</v>
      </c>
      <c r="B1" s="1062"/>
      <c r="C1" s="1062"/>
    </row>
    <row r="2" spans="1:3" ht="15.75" customHeight="1" thickBot="1">
      <c r="A2" s="1061" t="s">
        <v>674</v>
      </c>
      <c r="B2" s="1061"/>
      <c r="C2" s="308"/>
    </row>
    <row r="3" spans="1:3" ht="37.5" customHeight="1" thickBot="1">
      <c r="A3" s="23" t="s">
        <v>595</v>
      </c>
      <c r="B3" s="24" t="s">
        <v>541</v>
      </c>
      <c r="C3" s="39" t="s">
        <v>447</v>
      </c>
    </row>
    <row r="4" spans="1:3" s="405" customFormat="1" ht="12" customHeight="1" thickBot="1">
      <c r="A4" s="399">
        <v>1</v>
      </c>
      <c r="B4" s="400">
        <v>2</v>
      </c>
      <c r="C4" s="401">
        <v>3</v>
      </c>
    </row>
    <row r="5" spans="1:3" s="406" customFormat="1" ht="12" customHeight="1" thickBot="1">
      <c r="A5" s="20" t="s">
        <v>542</v>
      </c>
      <c r="B5" s="21" t="s">
        <v>784</v>
      </c>
      <c r="C5" s="298">
        <f>+C6+C7+C8+C9+C10+C11</f>
        <v>0</v>
      </c>
    </row>
    <row r="6" spans="1:3" s="406" customFormat="1" ht="12" customHeight="1">
      <c r="A6" s="15" t="s">
        <v>625</v>
      </c>
      <c r="B6" s="407" t="s">
        <v>785</v>
      </c>
      <c r="C6" s="301"/>
    </row>
    <row r="7" spans="1:3" s="406" customFormat="1" ht="12" customHeight="1">
      <c r="A7" s="14" t="s">
        <v>626</v>
      </c>
      <c r="B7" s="408" t="s">
        <v>786</v>
      </c>
      <c r="C7" s="300"/>
    </row>
    <row r="8" spans="1:3" s="406" customFormat="1" ht="12" customHeight="1">
      <c r="A8" s="14" t="s">
        <v>627</v>
      </c>
      <c r="B8" s="408" t="s">
        <v>787</v>
      </c>
      <c r="C8" s="300"/>
    </row>
    <row r="9" spans="1:3" s="406" customFormat="1" ht="12" customHeight="1">
      <c r="A9" s="14" t="s">
        <v>628</v>
      </c>
      <c r="B9" s="408" t="s">
        <v>788</v>
      </c>
      <c r="C9" s="300"/>
    </row>
    <row r="10" spans="1:3" s="406" customFormat="1" ht="12" customHeight="1">
      <c r="A10" s="14" t="s">
        <v>670</v>
      </c>
      <c r="B10" s="408" t="s">
        <v>789</v>
      </c>
      <c r="C10" s="300"/>
    </row>
    <row r="11" spans="1:3" s="406" customFormat="1" ht="12" customHeight="1" thickBot="1">
      <c r="A11" s="16" t="s">
        <v>629</v>
      </c>
      <c r="B11" s="409" t="s">
        <v>790</v>
      </c>
      <c r="C11" s="300"/>
    </row>
    <row r="12" spans="1:3" s="406" customFormat="1" ht="12" customHeight="1" thickBot="1">
      <c r="A12" s="20" t="s">
        <v>543</v>
      </c>
      <c r="B12" s="293" t="s">
        <v>791</v>
      </c>
      <c r="C12" s="298">
        <f>+C13+C14+C15+C16+C17</f>
        <v>0</v>
      </c>
    </row>
    <row r="13" spans="1:3" s="406" customFormat="1" ht="12" customHeight="1">
      <c r="A13" s="15" t="s">
        <v>631</v>
      </c>
      <c r="B13" s="407" t="s">
        <v>792</v>
      </c>
      <c r="C13" s="301"/>
    </row>
    <row r="14" spans="1:3" s="406" customFormat="1" ht="12" customHeight="1">
      <c r="A14" s="14" t="s">
        <v>632</v>
      </c>
      <c r="B14" s="408" t="s">
        <v>793</v>
      </c>
      <c r="C14" s="300"/>
    </row>
    <row r="15" spans="1:3" s="406" customFormat="1" ht="12" customHeight="1">
      <c r="A15" s="14" t="s">
        <v>633</v>
      </c>
      <c r="B15" s="408" t="s">
        <v>191</v>
      </c>
      <c r="C15" s="300"/>
    </row>
    <row r="16" spans="1:3" s="406" customFormat="1" ht="12" customHeight="1">
      <c r="A16" s="14" t="s">
        <v>634</v>
      </c>
      <c r="B16" s="408" t="s">
        <v>192</v>
      </c>
      <c r="C16" s="300"/>
    </row>
    <row r="17" spans="1:3" s="406" customFormat="1" ht="12" customHeight="1">
      <c r="A17" s="14" t="s">
        <v>635</v>
      </c>
      <c r="B17" s="408" t="s">
        <v>794</v>
      </c>
      <c r="C17" s="300"/>
    </row>
    <row r="18" spans="1:3" s="406" customFormat="1" ht="12" customHeight="1" thickBot="1">
      <c r="A18" s="16" t="s">
        <v>644</v>
      </c>
      <c r="B18" s="409" t="s">
        <v>795</v>
      </c>
      <c r="C18" s="302"/>
    </row>
    <row r="19" spans="1:3" s="406" customFormat="1" ht="12" customHeight="1" thickBot="1">
      <c r="A19" s="20" t="s">
        <v>544</v>
      </c>
      <c r="B19" s="21" t="s">
        <v>796</v>
      </c>
      <c r="C19" s="298">
        <f>+C20+C21+C22+C23+C24</f>
        <v>0</v>
      </c>
    </row>
    <row r="20" spans="1:3" s="406" customFormat="1" ht="12" customHeight="1">
      <c r="A20" s="15" t="s">
        <v>614</v>
      </c>
      <c r="B20" s="407" t="s">
        <v>797</v>
      </c>
      <c r="C20" s="301"/>
    </row>
    <row r="21" spans="1:3" s="406" customFormat="1" ht="12" customHeight="1">
      <c r="A21" s="14" t="s">
        <v>615</v>
      </c>
      <c r="B21" s="408" t="s">
        <v>798</v>
      </c>
      <c r="C21" s="300"/>
    </row>
    <row r="22" spans="1:3" s="406" customFormat="1" ht="12" customHeight="1">
      <c r="A22" s="14" t="s">
        <v>616</v>
      </c>
      <c r="B22" s="408" t="s">
        <v>193</v>
      </c>
      <c r="C22" s="300"/>
    </row>
    <row r="23" spans="1:3" s="406" customFormat="1" ht="12" customHeight="1">
      <c r="A23" s="14" t="s">
        <v>617</v>
      </c>
      <c r="B23" s="408" t="s">
        <v>194</v>
      </c>
      <c r="C23" s="300"/>
    </row>
    <row r="24" spans="1:3" s="406" customFormat="1" ht="12" customHeight="1">
      <c r="A24" s="14" t="s">
        <v>693</v>
      </c>
      <c r="B24" s="408" t="s">
        <v>799</v>
      </c>
      <c r="C24" s="300"/>
    </row>
    <row r="25" spans="1:3" s="406" customFormat="1" ht="12" customHeight="1" thickBot="1">
      <c r="A25" s="16" t="s">
        <v>694</v>
      </c>
      <c r="B25" s="409" t="s">
        <v>800</v>
      </c>
      <c r="C25" s="302"/>
    </row>
    <row r="26" spans="1:3" s="406" customFormat="1" ht="12" customHeight="1" thickBot="1">
      <c r="A26" s="20" t="s">
        <v>695</v>
      </c>
      <c r="B26" s="21" t="s">
        <v>801</v>
      </c>
      <c r="C26" s="304">
        <f>+C27+C30+C31+C32</f>
        <v>0</v>
      </c>
    </row>
    <row r="27" spans="1:3" s="406" customFormat="1" ht="12" customHeight="1">
      <c r="A27" s="15" t="s">
        <v>802</v>
      </c>
      <c r="B27" s="407" t="s">
        <v>808</v>
      </c>
      <c r="C27" s="402">
        <f>+C28+C29</f>
        <v>0</v>
      </c>
    </row>
    <row r="28" spans="1:3" s="406" customFormat="1" ht="12" customHeight="1">
      <c r="A28" s="14" t="s">
        <v>803</v>
      </c>
      <c r="B28" s="408" t="s">
        <v>809</v>
      </c>
      <c r="C28" s="300"/>
    </row>
    <row r="29" spans="1:3" s="406" customFormat="1" ht="12" customHeight="1">
      <c r="A29" s="14" t="s">
        <v>804</v>
      </c>
      <c r="B29" s="408" t="s">
        <v>810</v>
      </c>
      <c r="C29" s="300"/>
    </row>
    <row r="30" spans="1:3" s="406" customFormat="1" ht="12" customHeight="1">
      <c r="A30" s="14" t="s">
        <v>805</v>
      </c>
      <c r="B30" s="408" t="s">
        <v>811</v>
      </c>
      <c r="C30" s="300"/>
    </row>
    <row r="31" spans="1:3" s="406" customFormat="1" ht="12" customHeight="1">
      <c r="A31" s="14" t="s">
        <v>806</v>
      </c>
      <c r="B31" s="408" t="s">
        <v>812</v>
      </c>
      <c r="C31" s="300"/>
    </row>
    <row r="32" spans="1:3" s="406" customFormat="1" ht="12" customHeight="1" thickBot="1">
      <c r="A32" s="16" t="s">
        <v>807</v>
      </c>
      <c r="B32" s="409" t="s">
        <v>813</v>
      </c>
      <c r="C32" s="302"/>
    </row>
    <row r="33" spans="1:3" s="406" customFormat="1" ht="12" customHeight="1" thickBot="1">
      <c r="A33" s="20" t="s">
        <v>546</v>
      </c>
      <c r="B33" s="21" t="s">
        <v>814</v>
      </c>
      <c r="C33" s="298">
        <f>SUM(C34:C43)</f>
        <v>3450000</v>
      </c>
    </row>
    <row r="34" spans="1:3" s="406" customFormat="1" ht="12" customHeight="1">
      <c r="A34" s="15" t="s">
        <v>618</v>
      </c>
      <c r="B34" s="407" t="s">
        <v>817</v>
      </c>
      <c r="C34" s="301"/>
    </row>
    <row r="35" spans="1:3" s="406" customFormat="1" ht="12" customHeight="1">
      <c r="A35" s="14" t="s">
        <v>619</v>
      </c>
      <c r="B35" s="408" t="s">
        <v>818</v>
      </c>
      <c r="C35" s="300">
        <v>3450000</v>
      </c>
    </row>
    <row r="36" spans="1:3" s="406" customFormat="1" ht="12" customHeight="1">
      <c r="A36" s="14" t="s">
        <v>620</v>
      </c>
      <c r="B36" s="408" t="s">
        <v>819</v>
      </c>
      <c r="C36" s="300"/>
    </row>
    <row r="37" spans="1:3" s="406" customFormat="1" ht="12" customHeight="1">
      <c r="A37" s="14" t="s">
        <v>697</v>
      </c>
      <c r="B37" s="408" t="s">
        <v>820</v>
      </c>
      <c r="C37" s="300"/>
    </row>
    <row r="38" spans="1:3" s="406" customFormat="1" ht="12" customHeight="1">
      <c r="A38" s="14" t="s">
        <v>698</v>
      </c>
      <c r="B38" s="408" t="s">
        <v>821</v>
      </c>
      <c r="C38" s="300"/>
    </row>
    <row r="39" spans="1:3" s="406" customFormat="1" ht="12" customHeight="1">
      <c r="A39" s="14" t="s">
        <v>699</v>
      </c>
      <c r="B39" s="408" t="s">
        <v>822</v>
      </c>
      <c r="C39" s="300"/>
    </row>
    <row r="40" spans="1:3" s="406" customFormat="1" ht="12" customHeight="1">
      <c r="A40" s="14" t="s">
        <v>700</v>
      </c>
      <c r="B40" s="408" t="s">
        <v>823</v>
      </c>
      <c r="C40" s="300"/>
    </row>
    <row r="41" spans="1:3" s="406" customFormat="1" ht="12" customHeight="1">
      <c r="A41" s="14" t="s">
        <v>701</v>
      </c>
      <c r="B41" s="408" t="s">
        <v>824</v>
      </c>
      <c r="C41" s="300"/>
    </row>
    <row r="42" spans="1:3" s="406" customFormat="1" ht="12" customHeight="1">
      <c r="A42" s="14" t="s">
        <v>815</v>
      </c>
      <c r="B42" s="408" t="s">
        <v>825</v>
      </c>
      <c r="C42" s="303"/>
    </row>
    <row r="43" spans="1:3" s="406" customFormat="1" ht="12" customHeight="1" thickBot="1">
      <c r="A43" s="16" t="s">
        <v>816</v>
      </c>
      <c r="B43" s="409" t="s">
        <v>826</v>
      </c>
      <c r="C43" s="396"/>
    </row>
    <row r="44" spans="1:3" s="406" customFormat="1" ht="12" customHeight="1" thickBot="1">
      <c r="A44" s="20" t="s">
        <v>547</v>
      </c>
      <c r="B44" s="21" t="s">
        <v>827</v>
      </c>
      <c r="C44" s="298">
        <f>SUM(C45:C49)</f>
        <v>0</v>
      </c>
    </row>
    <row r="45" spans="1:3" s="406" customFormat="1" ht="12" customHeight="1">
      <c r="A45" s="15" t="s">
        <v>621</v>
      </c>
      <c r="B45" s="407" t="s">
        <v>831</v>
      </c>
      <c r="C45" s="451"/>
    </row>
    <row r="46" spans="1:3" s="406" customFormat="1" ht="12" customHeight="1">
      <c r="A46" s="14" t="s">
        <v>622</v>
      </c>
      <c r="B46" s="408" t="s">
        <v>832</v>
      </c>
      <c r="C46" s="303"/>
    </row>
    <row r="47" spans="1:3" s="406" customFormat="1" ht="12" customHeight="1">
      <c r="A47" s="14" t="s">
        <v>828</v>
      </c>
      <c r="B47" s="408" t="s">
        <v>833</v>
      </c>
      <c r="C47" s="303"/>
    </row>
    <row r="48" spans="1:3" s="406" customFormat="1" ht="12" customHeight="1">
      <c r="A48" s="14" t="s">
        <v>829</v>
      </c>
      <c r="B48" s="408" t="s">
        <v>834</v>
      </c>
      <c r="C48" s="303"/>
    </row>
    <row r="49" spans="1:3" s="406" customFormat="1" ht="12" customHeight="1" thickBot="1">
      <c r="A49" s="16" t="s">
        <v>830</v>
      </c>
      <c r="B49" s="409" t="s">
        <v>835</v>
      </c>
      <c r="C49" s="396"/>
    </row>
    <row r="50" spans="1:3" s="406" customFormat="1" ht="12" customHeight="1" thickBot="1">
      <c r="A50" s="20" t="s">
        <v>702</v>
      </c>
      <c r="B50" s="21" t="s">
        <v>836</v>
      </c>
      <c r="C50" s="298">
        <f>SUM(C51:C53)</f>
        <v>0</v>
      </c>
    </row>
    <row r="51" spans="1:3" s="406" customFormat="1" ht="12" customHeight="1">
      <c r="A51" s="15" t="s">
        <v>623</v>
      </c>
      <c r="B51" s="407" t="s">
        <v>837</v>
      </c>
      <c r="C51" s="301"/>
    </row>
    <row r="52" spans="1:3" s="406" customFormat="1" ht="12" customHeight="1">
      <c r="A52" s="14" t="s">
        <v>624</v>
      </c>
      <c r="B52" s="408" t="s">
        <v>195</v>
      </c>
      <c r="C52" s="300"/>
    </row>
    <row r="53" spans="1:3" s="406" customFormat="1" ht="12" customHeight="1">
      <c r="A53" s="14" t="s">
        <v>840</v>
      </c>
      <c r="B53" s="408" t="s">
        <v>838</v>
      </c>
      <c r="C53" s="300"/>
    </row>
    <row r="54" spans="1:3" s="406" customFormat="1" ht="12" customHeight="1" thickBot="1">
      <c r="A54" s="16" t="s">
        <v>841</v>
      </c>
      <c r="B54" s="409" t="s">
        <v>839</v>
      </c>
      <c r="C54" s="302"/>
    </row>
    <row r="55" spans="1:3" s="406" customFormat="1" ht="12" customHeight="1" thickBot="1">
      <c r="A55" s="20" t="s">
        <v>549</v>
      </c>
      <c r="B55" s="293" t="s">
        <v>842</v>
      </c>
      <c r="C55" s="298">
        <f>SUM(C56:C58)</f>
        <v>0</v>
      </c>
    </row>
    <row r="56" spans="1:3" s="406" customFormat="1" ht="12" customHeight="1">
      <c r="A56" s="15" t="s">
        <v>703</v>
      </c>
      <c r="B56" s="407" t="s">
        <v>844</v>
      </c>
      <c r="C56" s="303"/>
    </row>
    <row r="57" spans="1:3" s="406" customFormat="1" ht="12" customHeight="1">
      <c r="A57" s="14" t="s">
        <v>704</v>
      </c>
      <c r="B57" s="408" t="s">
        <v>196</v>
      </c>
      <c r="C57" s="303"/>
    </row>
    <row r="58" spans="1:3" s="406" customFormat="1" ht="12" customHeight="1">
      <c r="A58" s="14" t="s">
        <v>756</v>
      </c>
      <c r="B58" s="408" t="s">
        <v>845</v>
      </c>
      <c r="C58" s="303"/>
    </row>
    <row r="59" spans="1:3" s="406" customFormat="1" ht="12" customHeight="1" thickBot="1">
      <c r="A59" s="16" t="s">
        <v>843</v>
      </c>
      <c r="B59" s="409" t="s">
        <v>846</v>
      </c>
      <c r="C59" s="303"/>
    </row>
    <row r="60" spans="1:3" s="406" customFormat="1" ht="12" customHeight="1" thickBot="1">
      <c r="A60" s="20" t="s">
        <v>550</v>
      </c>
      <c r="B60" s="21" t="s">
        <v>847</v>
      </c>
      <c r="C60" s="304">
        <f>+C5+C12+C19+C26+C33+C44+C50+C55</f>
        <v>3450000</v>
      </c>
    </row>
    <row r="61" spans="1:3" s="406" customFormat="1" ht="12" customHeight="1" thickBot="1">
      <c r="A61" s="410" t="s">
        <v>848</v>
      </c>
      <c r="B61" s="293" t="s">
        <v>849</v>
      </c>
      <c r="C61" s="298">
        <f>SUM(C62:C64)</f>
        <v>0</v>
      </c>
    </row>
    <row r="62" spans="1:3" s="406" customFormat="1" ht="12" customHeight="1">
      <c r="A62" s="15" t="s">
        <v>54</v>
      </c>
      <c r="B62" s="407" t="s">
        <v>850</v>
      </c>
      <c r="C62" s="303"/>
    </row>
    <row r="63" spans="1:3" s="406" customFormat="1" ht="12" customHeight="1">
      <c r="A63" s="14" t="s">
        <v>63</v>
      </c>
      <c r="B63" s="408" t="s">
        <v>851</v>
      </c>
      <c r="C63" s="303"/>
    </row>
    <row r="64" spans="1:3" s="406" customFormat="1" ht="12" customHeight="1" thickBot="1">
      <c r="A64" s="16" t="s">
        <v>64</v>
      </c>
      <c r="B64" s="411" t="s">
        <v>852</v>
      </c>
      <c r="C64" s="303"/>
    </row>
    <row r="65" spans="1:3" s="406" customFormat="1" ht="12" customHeight="1" thickBot="1">
      <c r="A65" s="410" t="s">
        <v>853</v>
      </c>
      <c r="B65" s="293" t="s">
        <v>854</v>
      </c>
      <c r="C65" s="298">
        <f>SUM(C66:C69)</f>
        <v>0</v>
      </c>
    </row>
    <row r="66" spans="1:3" s="406" customFormat="1" ht="12" customHeight="1">
      <c r="A66" s="15" t="s">
        <v>671</v>
      </c>
      <c r="B66" s="407" t="s">
        <v>855</v>
      </c>
      <c r="C66" s="303"/>
    </row>
    <row r="67" spans="1:3" s="406" customFormat="1" ht="12" customHeight="1">
      <c r="A67" s="14" t="s">
        <v>672</v>
      </c>
      <c r="B67" s="408" t="s">
        <v>856</v>
      </c>
      <c r="C67" s="303"/>
    </row>
    <row r="68" spans="1:3" s="406" customFormat="1" ht="12" customHeight="1">
      <c r="A68" s="14" t="s">
        <v>55</v>
      </c>
      <c r="B68" s="408" t="s">
        <v>857</v>
      </c>
      <c r="C68" s="303"/>
    </row>
    <row r="69" spans="1:3" s="406" customFormat="1" ht="12" customHeight="1" thickBot="1">
      <c r="A69" s="16" t="s">
        <v>56</v>
      </c>
      <c r="B69" s="409" t="s">
        <v>858</v>
      </c>
      <c r="C69" s="303"/>
    </row>
    <row r="70" spans="1:3" s="406" customFormat="1" ht="12" customHeight="1" thickBot="1">
      <c r="A70" s="410" t="s">
        <v>859</v>
      </c>
      <c r="B70" s="293" t="s">
        <v>860</v>
      </c>
      <c r="C70" s="298">
        <f>SUM(C71:C72)</f>
        <v>0</v>
      </c>
    </row>
    <row r="71" spans="1:3" s="406" customFormat="1" ht="12" customHeight="1">
      <c r="A71" s="15" t="s">
        <v>57</v>
      </c>
      <c r="B71" s="407" t="s">
        <v>861</v>
      </c>
      <c r="C71" s="303"/>
    </row>
    <row r="72" spans="1:3" s="406" customFormat="1" ht="12" customHeight="1" thickBot="1">
      <c r="A72" s="16" t="s">
        <v>58</v>
      </c>
      <c r="B72" s="409" t="s">
        <v>862</v>
      </c>
      <c r="C72" s="303"/>
    </row>
    <row r="73" spans="1:3" s="406" customFormat="1" ht="12" customHeight="1" thickBot="1">
      <c r="A73" s="410" t="s">
        <v>863</v>
      </c>
      <c r="B73" s="293" t="s">
        <v>864</v>
      </c>
      <c r="C73" s="298">
        <f>SUM(C74:C76)</f>
        <v>0</v>
      </c>
    </row>
    <row r="74" spans="1:3" s="406" customFormat="1" ht="12" customHeight="1">
      <c r="A74" s="15" t="s">
        <v>59</v>
      </c>
      <c r="B74" s="407" t="s">
        <v>865</v>
      </c>
      <c r="C74" s="303"/>
    </row>
    <row r="75" spans="1:3" s="406" customFormat="1" ht="12" customHeight="1">
      <c r="A75" s="14" t="s">
        <v>60</v>
      </c>
      <c r="B75" s="408" t="s">
        <v>866</v>
      </c>
      <c r="C75" s="303"/>
    </row>
    <row r="76" spans="1:3" s="406" customFormat="1" ht="12" customHeight="1" thickBot="1">
      <c r="A76" s="16" t="s">
        <v>61</v>
      </c>
      <c r="B76" s="409" t="s">
        <v>867</v>
      </c>
      <c r="C76" s="303"/>
    </row>
    <row r="77" spans="1:3" s="406" customFormat="1" ht="12" customHeight="1" thickBot="1">
      <c r="A77" s="410" t="s">
        <v>868</v>
      </c>
      <c r="B77" s="293" t="s">
        <v>62</v>
      </c>
      <c r="C77" s="298">
        <f>SUM(C78:C81)</f>
        <v>0</v>
      </c>
    </row>
    <row r="78" spans="1:3" s="406" customFormat="1" ht="12" customHeight="1">
      <c r="A78" s="412" t="s">
        <v>869</v>
      </c>
      <c r="B78" s="407" t="s">
        <v>42</v>
      </c>
      <c r="C78" s="303"/>
    </row>
    <row r="79" spans="1:3" s="406" customFormat="1" ht="12" customHeight="1">
      <c r="A79" s="413" t="s">
        <v>43</v>
      </c>
      <c r="B79" s="408" t="s">
        <v>44</v>
      </c>
      <c r="C79" s="303"/>
    </row>
    <row r="80" spans="1:3" s="406" customFormat="1" ht="12" customHeight="1">
      <c r="A80" s="413" t="s">
        <v>45</v>
      </c>
      <c r="B80" s="408" t="s">
        <v>46</v>
      </c>
      <c r="C80" s="303"/>
    </row>
    <row r="81" spans="1:3" s="406" customFormat="1" ht="12" customHeight="1" thickBot="1">
      <c r="A81" s="414" t="s">
        <v>47</v>
      </c>
      <c r="B81" s="409" t="s">
        <v>48</v>
      </c>
      <c r="C81" s="303"/>
    </row>
    <row r="82" spans="1:3" s="406" customFormat="1" ht="13.5" customHeight="1" thickBot="1">
      <c r="A82" s="410" t="s">
        <v>49</v>
      </c>
      <c r="B82" s="293" t="s">
        <v>50</v>
      </c>
      <c r="C82" s="452"/>
    </row>
    <row r="83" spans="1:3" s="406" customFormat="1" ht="15.75" customHeight="1" thickBot="1">
      <c r="A83" s="410" t="s">
        <v>51</v>
      </c>
      <c r="B83" s="415" t="s">
        <v>52</v>
      </c>
      <c r="C83" s="304">
        <f>+C61+C65+C70+C73+C77+C82</f>
        <v>0</v>
      </c>
    </row>
    <row r="84" spans="1:3" s="406" customFormat="1" ht="16.5" customHeight="1" thickBot="1">
      <c r="A84" s="416" t="s">
        <v>65</v>
      </c>
      <c r="B84" s="417" t="s">
        <v>53</v>
      </c>
      <c r="C84" s="304">
        <f>+C60+C83</f>
        <v>3450000</v>
      </c>
    </row>
    <row r="85" spans="1:3" s="406" customFormat="1" ht="83.25" customHeight="1">
      <c r="A85" s="5"/>
      <c r="B85" s="6"/>
      <c r="C85" s="305"/>
    </row>
    <row r="86" spans="1:3" ht="16.5" customHeight="1">
      <c r="A86" s="1062" t="s">
        <v>570</v>
      </c>
      <c r="B86" s="1062"/>
      <c r="C86" s="1062"/>
    </row>
    <row r="87" spans="1:3" s="418" customFormat="1" ht="16.5" customHeight="1" thickBot="1">
      <c r="A87" s="1063" t="s">
        <v>675</v>
      </c>
      <c r="B87" s="1063"/>
      <c r="C87" s="139"/>
    </row>
    <row r="88" spans="1:3" ht="37.5" customHeight="1" thickBot="1">
      <c r="A88" s="23" t="s">
        <v>595</v>
      </c>
      <c r="B88" s="24" t="s">
        <v>571</v>
      </c>
      <c r="C88" s="39" t="s">
        <v>447</v>
      </c>
    </row>
    <row r="89" spans="1:3" s="405" customFormat="1" ht="12" customHeight="1" thickBot="1">
      <c r="A89" s="32">
        <v>1</v>
      </c>
      <c r="B89" s="33">
        <v>2</v>
      </c>
      <c r="C89" s="34">
        <v>3</v>
      </c>
    </row>
    <row r="90" spans="1:3" ht="12" customHeight="1" thickBot="1">
      <c r="A90" s="22" t="s">
        <v>542</v>
      </c>
      <c r="B90" s="31" t="s">
        <v>68</v>
      </c>
      <c r="C90" s="297">
        <f>SUM(C91:C95)</f>
        <v>3450000</v>
      </c>
    </row>
    <row r="91" spans="1:3" ht="12" customHeight="1">
      <c r="A91" s="17" t="s">
        <v>625</v>
      </c>
      <c r="B91" s="10" t="s">
        <v>572</v>
      </c>
      <c r="C91" s="299"/>
    </row>
    <row r="92" spans="1:3" ht="12" customHeight="1">
      <c r="A92" s="14" t="s">
        <v>626</v>
      </c>
      <c r="B92" s="8" t="s">
        <v>705</v>
      </c>
      <c r="C92" s="300"/>
    </row>
    <row r="93" spans="1:3" ht="12" customHeight="1">
      <c r="A93" s="14" t="s">
        <v>627</v>
      </c>
      <c r="B93" s="8" t="s">
        <v>662</v>
      </c>
      <c r="C93" s="302"/>
    </row>
    <row r="94" spans="1:3" ht="12" customHeight="1">
      <c r="A94" s="14" t="s">
        <v>628</v>
      </c>
      <c r="B94" s="11" t="s">
        <v>706</v>
      </c>
      <c r="C94" s="302"/>
    </row>
    <row r="95" spans="1:3" ht="12" customHeight="1">
      <c r="A95" s="14" t="s">
        <v>639</v>
      </c>
      <c r="B95" s="19" t="s">
        <v>707</v>
      </c>
      <c r="C95" s="302">
        <v>3450000</v>
      </c>
    </row>
    <row r="96" spans="1:3" ht="12" customHeight="1">
      <c r="A96" s="14" t="s">
        <v>629</v>
      </c>
      <c r="B96" s="8" t="s">
        <v>69</v>
      </c>
      <c r="C96" s="302"/>
    </row>
    <row r="97" spans="1:3" ht="12" customHeight="1">
      <c r="A97" s="14" t="s">
        <v>630</v>
      </c>
      <c r="B97" s="141" t="s">
        <v>70</v>
      </c>
      <c r="C97" s="302"/>
    </row>
    <row r="98" spans="1:3" ht="12" customHeight="1">
      <c r="A98" s="14" t="s">
        <v>640</v>
      </c>
      <c r="B98" s="142" t="s">
        <v>71</v>
      </c>
      <c r="C98" s="302"/>
    </row>
    <row r="99" spans="1:3" ht="12" customHeight="1">
      <c r="A99" s="14" t="s">
        <v>641</v>
      </c>
      <c r="B99" s="142" t="s">
        <v>72</v>
      </c>
      <c r="C99" s="302"/>
    </row>
    <row r="100" spans="1:3" ht="12" customHeight="1">
      <c r="A100" s="14" t="s">
        <v>642</v>
      </c>
      <c r="B100" s="141" t="s">
        <v>73</v>
      </c>
      <c r="C100" s="302">
        <v>2000000</v>
      </c>
    </row>
    <row r="101" spans="1:3" ht="12" customHeight="1">
      <c r="A101" s="14" t="s">
        <v>643</v>
      </c>
      <c r="B101" s="141" t="s">
        <v>74</v>
      </c>
      <c r="C101" s="302"/>
    </row>
    <row r="102" spans="1:3" ht="12" customHeight="1">
      <c r="A102" s="14" t="s">
        <v>645</v>
      </c>
      <c r="B102" s="142" t="s">
        <v>75</v>
      </c>
      <c r="C102" s="302"/>
    </row>
    <row r="103" spans="1:3" ht="12" customHeight="1">
      <c r="A103" s="13" t="s">
        <v>708</v>
      </c>
      <c r="B103" s="143" t="s">
        <v>76</v>
      </c>
      <c r="C103" s="302"/>
    </row>
    <row r="104" spans="1:3" ht="12" customHeight="1">
      <c r="A104" s="14" t="s">
        <v>66</v>
      </c>
      <c r="B104" s="143" t="s">
        <v>77</v>
      </c>
      <c r="C104" s="302"/>
    </row>
    <row r="105" spans="1:3" ht="12" customHeight="1" thickBot="1">
      <c r="A105" s="18" t="s">
        <v>67</v>
      </c>
      <c r="B105" s="144" t="s">
        <v>78</v>
      </c>
      <c r="C105" s="306">
        <v>1450000</v>
      </c>
    </row>
    <row r="106" spans="1:3" ht="12" customHeight="1" thickBot="1">
      <c r="A106" s="20" t="s">
        <v>543</v>
      </c>
      <c r="B106" s="30" t="s">
        <v>79</v>
      </c>
      <c r="C106" s="298">
        <f>+C107+C109+C111</f>
        <v>0</v>
      </c>
    </row>
    <row r="107" spans="1:3" ht="12" customHeight="1">
      <c r="A107" s="15" t="s">
        <v>631</v>
      </c>
      <c r="B107" s="8" t="s">
        <v>754</v>
      </c>
      <c r="C107" s="301"/>
    </row>
    <row r="108" spans="1:3" ht="12" customHeight="1">
      <c r="A108" s="15" t="s">
        <v>632</v>
      </c>
      <c r="B108" s="12" t="s">
        <v>83</v>
      </c>
      <c r="C108" s="301"/>
    </row>
    <row r="109" spans="1:3" ht="12" customHeight="1">
      <c r="A109" s="15" t="s">
        <v>633</v>
      </c>
      <c r="B109" s="12" t="s">
        <v>709</v>
      </c>
      <c r="C109" s="300"/>
    </row>
    <row r="110" spans="1:3" ht="12" customHeight="1">
      <c r="A110" s="15" t="s">
        <v>634</v>
      </c>
      <c r="B110" s="12" t="s">
        <v>84</v>
      </c>
      <c r="C110" s="271"/>
    </row>
    <row r="111" spans="1:3" ht="12" customHeight="1">
      <c r="A111" s="15" t="s">
        <v>635</v>
      </c>
      <c r="B111" s="295" t="s">
        <v>757</v>
      </c>
      <c r="C111" s="271"/>
    </row>
    <row r="112" spans="1:3" ht="12" customHeight="1">
      <c r="A112" s="15" t="s">
        <v>644</v>
      </c>
      <c r="B112" s="294" t="s">
        <v>197</v>
      </c>
      <c r="C112" s="271"/>
    </row>
    <row r="113" spans="1:3" ht="12" customHeight="1">
      <c r="A113" s="15" t="s">
        <v>646</v>
      </c>
      <c r="B113" s="403" t="s">
        <v>89</v>
      </c>
      <c r="C113" s="271"/>
    </row>
    <row r="114" spans="1:3" ht="15.75">
      <c r="A114" s="15" t="s">
        <v>710</v>
      </c>
      <c r="B114" s="142" t="s">
        <v>72</v>
      </c>
      <c r="C114" s="271"/>
    </row>
    <row r="115" spans="1:3" ht="12" customHeight="1">
      <c r="A115" s="15" t="s">
        <v>711</v>
      </c>
      <c r="B115" s="142" t="s">
        <v>88</v>
      </c>
      <c r="C115" s="271"/>
    </row>
    <row r="116" spans="1:3" ht="12" customHeight="1">
      <c r="A116" s="15" t="s">
        <v>712</v>
      </c>
      <c r="B116" s="142" t="s">
        <v>87</v>
      </c>
      <c r="C116" s="271"/>
    </row>
    <row r="117" spans="1:3" ht="12" customHeight="1">
      <c r="A117" s="15" t="s">
        <v>80</v>
      </c>
      <c r="B117" s="142" t="s">
        <v>75</v>
      </c>
      <c r="C117" s="271"/>
    </row>
    <row r="118" spans="1:3" ht="12" customHeight="1">
      <c r="A118" s="15" t="s">
        <v>81</v>
      </c>
      <c r="B118" s="142" t="s">
        <v>86</v>
      </c>
      <c r="C118" s="271"/>
    </row>
    <row r="119" spans="1:3" ht="16.5" thickBot="1">
      <c r="A119" s="13" t="s">
        <v>82</v>
      </c>
      <c r="B119" s="142" t="s">
        <v>85</v>
      </c>
      <c r="C119" s="272"/>
    </row>
    <row r="120" spans="1:3" ht="12" customHeight="1" thickBot="1">
      <c r="A120" s="20" t="s">
        <v>544</v>
      </c>
      <c r="B120" s="124" t="s">
        <v>90</v>
      </c>
      <c r="C120" s="298">
        <f>+C121+C122</f>
        <v>0</v>
      </c>
    </row>
    <row r="121" spans="1:3" ht="12" customHeight="1">
      <c r="A121" s="15" t="s">
        <v>614</v>
      </c>
      <c r="B121" s="9" t="s">
        <v>583</v>
      </c>
      <c r="C121" s="301"/>
    </row>
    <row r="122" spans="1:3" ht="12" customHeight="1" thickBot="1">
      <c r="A122" s="16" t="s">
        <v>615</v>
      </c>
      <c r="B122" s="12" t="s">
        <v>584</v>
      </c>
      <c r="C122" s="302"/>
    </row>
    <row r="123" spans="1:3" ht="12" customHeight="1" thickBot="1">
      <c r="A123" s="20" t="s">
        <v>545</v>
      </c>
      <c r="B123" s="124" t="s">
        <v>91</v>
      </c>
      <c r="C123" s="298">
        <f>+C90+C106+C120</f>
        <v>3450000</v>
      </c>
    </row>
    <row r="124" spans="1:3" ht="12" customHeight="1" thickBot="1">
      <c r="A124" s="20" t="s">
        <v>546</v>
      </c>
      <c r="B124" s="124" t="s">
        <v>92</v>
      </c>
      <c r="C124" s="298">
        <f>+C125+C126+C127</f>
        <v>0</v>
      </c>
    </row>
    <row r="125" spans="1:3" ht="12" customHeight="1">
      <c r="A125" s="15" t="s">
        <v>618</v>
      </c>
      <c r="B125" s="9" t="s">
        <v>93</v>
      </c>
      <c r="C125" s="271"/>
    </row>
    <row r="126" spans="1:3" ht="12" customHeight="1">
      <c r="A126" s="15" t="s">
        <v>619</v>
      </c>
      <c r="B126" s="9" t="s">
        <v>94</v>
      </c>
      <c r="C126" s="271"/>
    </row>
    <row r="127" spans="1:3" ht="12" customHeight="1" thickBot="1">
      <c r="A127" s="13" t="s">
        <v>620</v>
      </c>
      <c r="B127" s="7" t="s">
        <v>95</v>
      </c>
      <c r="C127" s="271"/>
    </row>
    <row r="128" spans="1:3" ht="12" customHeight="1" thickBot="1">
      <c r="A128" s="20" t="s">
        <v>547</v>
      </c>
      <c r="B128" s="124" t="s">
        <v>156</v>
      </c>
      <c r="C128" s="298">
        <f>+C129+C130+C131+C132</f>
        <v>0</v>
      </c>
    </row>
    <row r="129" spans="1:3" ht="12" customHeight="1">
      <c r="A129" s="15" t="s">
        <v>621</v>
      </c>
      <c r="B129" s="9" t="s">
        <v>96</v>
      </c>
      <c r="C129" s="271"/>
    </row>
    <row r="130" spans="1:3" ht="12" customHeight="1">
      <c r="A130" s="15" t="s">
        <v>622</v>
      </c>
      <c r="B130" s="9" t="s">
        <v>97</v>
      </c>
      <c r="C130" s="271"/>
    </row>
    <row r="131" spans="1:3" ht="12" customHeight="1">
      <c r="A131" s="15" t="s">
        <v>828</v>
      </c>
      <c r="B131" s="9" t="s">
        <v>98</v>
      </c>
      <c r="C131" s="271"/>
    </row>
    <row r="132" spans="1:3" ht="12" customHeight="1" thickBot="1">
      <c r="A132" s="13" t="s">
        <v>829</v>
      </c>
      <c r="B132" s="7" t="s">
        <v>99</v>
      </c>
      <c r="C132" s="271"/>
    </row>
    <row r="133" spans="1:3" ht="12" customHeight="1" thickBot="1">
      <c r="A133" s="20" t="s">
        <v>548</v>
      </c>
      <c r="B133" s="124" t="s">
        <v>100</v>
      </c>
      <c r="C133" s="304">
        <f>+C134+C135+C136+C137</f>
        <v>0</v>
      </c>
    </row>
    <row r="134" spans="1:3" ht="12" customHeight="1">
      <c r="A134" s="15" t="s">
        <v>623</v>
      </c>
      <c r="B134" s="9" t="s">
        <v>101</v>
      </c>
      <c r="C134" s="271"/>
    </row>
    <row r="135" spans="1:3" ht="12" customHeight="1">
      <c r="A135" s="15" t="s">
        <v>624</v>
      </c>
      <c r="B135" s="9" t="s">
        <v>111</v>
      </c>
      <c r="C135" s="271"/>
    </row>
    <row r="136" spans="1:3" ht="12" customHeight="1">
      <c r="A136" s="15" t="s">
        <v>840</v>
      </c>
      <c r="B136" s="9" t="s">
        <v>102</v>
      </c>
      <c r="C136" s="271"/>
    </row>
    <row r="137" spans="1:3" ht="12" customHeight="1" thickBot="1">
      <c r="A137" s="13" t="s">
        <v>841</v>
      </c>
      <c r="B137" s="7" t="s">
        <v>103</v>
      </c>
      <c r="C137" s="271"/>
    </row>
    <row r="138" spans="1:3" ht="12" customHeight="1" thickBot="1">
      <c r="A138" s="20" t="s">
        <v>549</v>
      </c>
      <c r="B138" s="124" t="s">
        <v>104</v>
      </c>
      <c r="C138" s="307">
        <f>+C139+C140+C141+C142</f>
        <v>0</v>
      </c>
    </row>
    <row r="139" spans="1:3" ht="12" customHeight="1">
      <c r="A139" s="15" t="s">
        <v>703</v>
      </c>
      <c r="B139" s="9" t="s">
        <v>105</v>
      </c>
      <c r="C139" s="271"/>
    </row>
    <row r="140" spans="1:3" ht="12" customHeight="1">
      <c r="A140" s="15" t="s">
        <v>704</v>
      </c>
      <c r="B140" s="9" t="s">
        <v>106</v>
      </c>
      <c r="C140" s="271"/>
    </row>
    <row r="141" spans="1:3" ht="12" customHeight="1">
      <c r="A141" s="15" t="s">
        <v>756</v>
      </c>
      <c r="B141" s="9" t="s">
        <v>107</v>
      </c>
      <c r="C141" s="271"/>
    </row>
    <row r="142" spans="1:3" ht="12" customHeight="1" thickBot="1">
      <c r="A142" s="15" t="s">
        <v>843</v>
      </c>
      <c r="B142" s="9" t="s">
        <v>108</v>
      </c>
      <c r="C142" s="271"/>
    </row>
    <row r="143" spans="1:9" ht="15" customHeight="1" thickBot="1">
      <c r="A143" s="20" t="s">
        <v>550</v>
      </c>
      <c r="B143" s="124" t="s">
        <v>109</v>
      </c>
      <c r="C143" s="419">
        <f>+C124+C128+C133+C138</f>
        <v>0</v>
      </c>
      <c r="F143" s="420"/>
      <c r="G143" s="421"/>
      <c r="H143" s="421"/>
      <c r="I143" s="421"/>
    </row>
    <row r="144" spans="1:3" s="406" customFormat="1" ht="12.75" customHeight="1" thickBot="1">
      <c r="A144" s="296" t="s">
        <v>551</v>
      </c>
      <c r="B144" s="380" t="s">
        <v>110</v>
      </c>
      <c r="C144" s="419">
        <f>+C123+C143</f>
        <v>3450000</v>
      </c>
    </row>
    <row r="145" ht="7.5" customHeight="1"/>
    <row r="146" spans="1:3" ht="15.75">
      <c r="A146" s="1064" t="s">
        <v>112</v>
      </c>
      <c r="B146" s="1064"/>
      <c r="C146" s="1064"/>
    </row>
    <row r="147" spans="1:3" ht="15" customHeight="1" thickBot="1">
      <c r="A147" s="1061" t="s">
        <v>676</v>
      </c>
      <c r="B147" s="1061"/>
      <c r="C147" s="308"/>
    </row>
    <row r="148" spans="1:4" ht="13.5" customHeight="1" thickBot="1">
      <c r="A148" s="20">
        <v>1</v>
      </c>
      <c r="B148" s="30" t="s">
        <v>113</v>
      </c>
      <c r="C148" s="298">
        <f>+C60-C123</f>
        <v>0</v>
      </c>
      <c r="D148" s="422"/>
    </row>
    <row r="149" spans="1:3" ht="27.75" customHeight="1" thickBot="1">
      <c r="A149" s="20" t="s">
        <v>543</v>
      </c>
      <c r="B149" s="30" t="s">
        <v>114</v>
      </c>
      <c r="C149" s="298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Tát Város Önkormányzat
2017. ÉVI KÖLTSÉGVETÉS
ÖNKÉNT VÁLLALT FELADATAINAK MÉRLEGE
&amp;R&amp;"Times New Roman CE,Félkövér dőlt"&amp;11 1.3. melléklet az  1/2017. (II.07.) önkormányzati rendelethez</oddHeader>
  </headerFooter>
  <rowBreaks count="1" manualBreakCount="1">
    <brk id="85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60" workbookViewId="0" topLeftCell="A1">
      <selection activeCell="F7" sqref="F7"/>
    </sheetView>
  </sheetViews>
  <sheetFormatPr defaultColWidth="9.00390625" defaultRowHeight="12.75"/>
  <cols>
    <col min="1" max="1" width="41.375" style="0" customWidth="1"/>
    <col min="2" max="2" width="9.50390625" style="0" bestFit="1" customWidth="1"/>
    <col min="3" max="3" width="14.00390625" style="0" bestFit="1" customWidth="1"/>
    <col min="4" max="6" width="13.875" style="0" bestFit="1" customWidth="1"/>
    <col min="7" max="7" width="15.50390625" style="0" customWidth="1"/>
  </cols>
  <sheetData>
    <row r="1" spans="1:7" ht="14.25">
      <c r="A1" s="1195" t="s">
        <v>275</v>
      </c>
      <c r="B1" s="1195"/>
      <c r="C1" s="1195"/>
      <c r="D1" s="1195"/>
      <c r="E1" s="1195"/>
      <c r="F1" s="1195"/>
      <c r="G1" s="1195"/>
    </row>
    <row r="2" spans="1:7" ht="14.25">
      <c r="A2" s="624"/>
      <c r="B2" s="624"/>
      <c r="C2" s="624"/>
      <c r="D2" s="624"/>
      <c r="E2" s="624"/>
      <c r="F2" s="624"/>
      <c r="G2" s="1017" t="s">
        <v>151</v>
      </c>
    </row>
    <row r="3" spans="1:7" ht="15.75" thickBot="1">
      <c r="A3" s="588"/>
      <c r="B3" s="588"/>
      <c r="C3" s="588"/>
      <c r="D3" s="588"/>
      <c r="E3" s="588"/>
      <c r="F3" s="588"/>
      <c r="G3" s="589"/>
    </row>
    <row r="4" spans="1:7" ht="12.75">
      <c r="A4" s="1196" t="s">
        <v>720</v>
      </c>
      <c r="B4" s="1199" t="s">
        <v>333</v>
      </c>
      <c r="C4" s="1202" t="s">
        <v>276</v>
      </c>
      <c r="D4" s="1203"/>
      <c r="E4" s="1203"/>
      <c r="F4" s="1203"/>
      <c r="G4" s="1206" t="s">
        <v>277</v>
      </c>
    </row>
    <row r="5" spans="1:7" ht="30.75" customHeight="1">
      <c r="A5" s="1197"/>
      <c r="B5" s="1200"/>
      <c r="C5" s="1204"/>
      <c r="D5" s="1205"/>
      <c r="E5" s="1205"/>
      <c r="F5" s="1205"/>
      <c r="G5" s="1207"/>
    </row>
    <row r="6" spans="1:7" ht="34.5" customHeight="1" thickBot="1">
      <c r="A6" s="1198"/>
      <c r="B6" s="1201"/>
      <c r="C6" s="590" t="s">
        <v>155</v>
      </c>
      <c r="D6" s="590" t="s">
        <v>315</v>
      </c>
      <c r="E6" s="590" t="s">
        <v>875</v>
      </c>
      <c r="F6" s="591" t="s">
        <v>876</v>
      </c>
      <c r="G6" s="1208"/>
    </row>
    <row r="7" spans="1:7" ht="12.75">
      <c r="A7" s="592">
        <v>1</v>
      </c>
      <c r="B7" s="593">
        <v>2</v>
      </c>
      <c r="C7" s="593">
        <v>3</v>
      </c>
      <c r="D7" s="593">
        <v>4</v>
      </c>
      <c r="E7" s="593">
        <v>5</v>
      </c>
      <c r="F7" s="594">
        <v>6</v>
      </c>
      <c r="G7" s="595">
        <v>7</v>
      </c>
    </row>
    <row r="8" spans="1:7" ht="15" customHeight="1">
      <c r="A8" s="596" t="s">
        <v>580</v>
      </c>
      <c r="B8" s="597" t="s">
        <v>576</v>
      </c>
      <c r="C8" s="598">
        <v>125800000</v>
      </c>
      <c r="D8" s="598">
        <f>C8*102%</f>
        <v>128316000</v>
      </c>
      <c r="E8" s="598">
        <f>D8*102%</f>
        <v>130882320</v>
      </c>
      <c r="F8" s="599">
        <f>E8*102%</f>
        <v>133499966.4</v>
      </c>
      <c r="G8" s="600">
        <f>+C8+D8+E8+F8</f>
        <v>518498286.4</v>
      </c>
    </row>
    <row r="9" spans="1:7" ht="12.75" customHeight="1">
      <c r="A9" s="596" t="s">
        <v>279</v>
      </c>
      <c r="B9" s="597" t="s">
        <v>585</v>
      </c>
      <c r="C9" s="598">
        <v>0</v>
      </c>
      <c r="D9" s="598">
        <v>0</v>
      </c>
      <c r="E9" s="598">
        <v>0</v>
      </c>
      <c r="F9" s="599">
        <v>0</v>
      </c>
      <c r="G9" s="600">
        <f aca="true" t="shared" si="0" ref="G9:G34">+C9+D9+E9+F9</f>
        <v>0</v>
      </c>
    </row>
    <row r="10" spans="1:7" ht="12.75" customHeight="1">
      <c r="A10" s="596" t="s">
        <v>280</v>
      </c>
      <c r="B10" s="597" t="s">
        <v>586</v>
      </c>
      <c r="C10" s="598">
        <v>800000</v>
      </c>
      <c r="D10" s="598">
        <f>C10*102%</f>
        <v>816000</v>
      </c>
      <c r="E10" s="598">
        <f>D10*102%</f>
        <v>832320</v>
      </c>
      <c r="F10" s="599">
        <f>E10*102%</f>
        <v>848966.4</v>
      </c>
      <c r="G10" s="600">
        <f t="shared" si="0"/>
        <v>3297286.4</v>
      </c>
    </row>
    <row r="11" spans="1:7" ht="36" customHeight="1">
      <c r="A11" s="596" t="s">
        <v>281</v>
      </c>
      <c r="B11" s="597" t="s">
        <v>201</v>
      </c>
      <c r="C11" s="598">
        <f>-D11</f>
        <v>0</v>
      </c>
      <c r="D11" s="598">
        <f>-E11</f>
        <v>0</v>
      </c>
      <c r="E11" s="598">
        <f>-F11</f>
        <v>0</v>
      </c>
      <c r="F11" s="598">
        <f>-G11</f>
        <v>0</v>
      </c>
      <c r="G11" s="600">
        <f t="shared" si="0"/>
        <v>0</v>
      </c>
    </row>
    <row r="12" spans="1:7" ht="15.75" customHeight="1">
      <c r="A12" s="596" t="s">
        <v>282</v>
      </c>
      <c r="B12" s="597" t="s">
        <v>283</v>
      </c>
      <c r="C12" s="598">
        <v>0</v>
      </c>
      <c r="D12" s="598">
        <v>0</v>
      </c>
      <c r="E12" s="598">
        <v>0</v>
      </c>
      <c r="F12" s="599">
        <v>0</v>
      </c>
      <c r="G12" s="600">
        <f t="shared" si="0"/>
        <v>0</v>
      </c>
    </row>
    <row r="13" spans="1:7" ht="24" customHeight="1">
      <c r="A13" s="596" t="s">
        <v>284</v>
      </c>
      <c r="B13" s="597" t="s">
        <v>285</v>
      </c>
      <c r="C13" s="598">
        <v>0</v>
      </c>
      <c r="D13" s="598">
        <v>0</v>
      </c>
      <c r="E13" s="598">
        <v>0</v>
      </c>
      <c r="F13" s="599">
        <v>0</v>
      </c>
      <c r="G13" s="600">
        <f t="shared" si="0"/>
        <v>0</v>
      </c>
    </row>
    <row r="14" spans="1:7" ht="15" customHeight="1" thickBot="1">
      <c r="A14" s="601" t="s">
        <v>719</v>
      </c>
      <c r="B14" s="602" t="s">
        <v>286</v>
      </c>
      <c r="C14" s="603">
        <v>0</v>
      </c>
      <c r="D14" s="603">
        <v>0</v>
      </c>
      <c r="E14" s="603">
        <v>0</v>
      </c>
      <c r="F14" s="604">
        <v>0</v>
      </c>
      <c r="G14" s="605">
        <f t="shared" si="0"/>
        <v>0</v>
      </c>
    </row>
    <row r="15" spans="1:7" ht="14.25" customHeight="1" thickBot="1">
      <c r="A15" s="606" t="s">
        <v>287</v>
      </c>
      <c r="B15" s="607" t="s">
        <v>288</v>
      </c>
      <c r="C15" s="608">
        <f>C8+C10</f>
        <v>126600000</v>
      </c>
      <c r="D15" s="608">
        <f>D8+D10</f>
        <v>129132000</v>
      </c>
      <c r="E15" s="608">
        <f>E8+E10</f>
        <v>131714640</v>
      </c>
      <c r="F15" s="608">
        <f>F8+F10</f>
        <v>134348932.8</v>
      </c>
      <c r="G15" s="610">
        <f>G8+G10</f>
        <v>521795572.79999995</v>
      </c>
    </row>
    <row r="16" spans="1:7" ht="15" customHeight="1" thickBot="1">
      <c r="A16" s="611" t="s">
        <v>289</v>
      </c>
      <c r="B16" s="612" t="s">
        <v>290</v>
      </c>
      <c r="C16" s="613">
        <f>+C15*0.5</f>
        <v>63300000</v>
      </c>
      <c r="D16" s="613">
        <f>+D15*0.5</f>
        <v>64566000</v>
      </c>
      <c r="E16" s="613">
        <f>+E15*0.5</f>
        <v>65857320</v>
      </c>
      <c r="F16" s="613">
        <f>+F15*0.5</f>
        <v>67174466.4</v>
      </c>
      <c r="G16" s="610">
        <f t="shared" si="0"/>
        <v>260897786.4</v>
      </c>
    </row>
    <row r="17" spans="1:7" ht="26.25" customHeight="1" thickBot="1">
      <c r="A17" s="606" t="s">
        <v>291</v>
      </c>
      <c r="B17" s="614">
        <v>10</v>
      </c>
      <c r="C17" s="608">
        <f>SUM(C18:C24)</f>
        <v>0</v>
      </c>
      <c r="D17" s="608">
        <f>SUM(D18:D24)</f>
        <v>0</v>
      </c>
      <c r="E17" s="608">
        <f>SUM(E18:E24)</f>
        <v>0</v>
      </c>
      <c r="F17" s="609">
        <f>SUM(F18:F24)</f>
        <v>0</v>
      </c>
      <c r="G17" s="610">
        <f t="shared" si="0"/>
        <v>0</v>
      </c>
    </row>
    <row r="18" spans="1:7" ht="18" customHeight="1">
      <c r="A18" s="615" t="s">
        <v>292</v>
      </c>
      <c r="B18" s="616">
        <v>11</v>
      </c>
      <c r="C18" s="617">
        <v>0</v>
      </c>
      <c r="D18" s="617">
        <v>0</v>
      </c>
      <c r="E18" s="617">
        <v>0</v>
      </c>
      <c r="F18" s="618">
        <v>0</v>
      </c>
      <c r="G18" s="619">
        <f t="shared" si="0"/>
        <v>0</v>
      </c>
    </row>
    <row r="19" spans="1:7" ht="15" customHeight="1">
      <c r="A19" s="596" t="s">
        <v>293</v>
      </c>
      <c r="B19" s="620">
        <v>12</v>
      </c>
      <c r="C19" s="598">
        <v>0</v>
      </c>
      <c r="D19" s="598">
        <v>0</v>
      </c>
      <c r="E19" s="598">
        <v>0</v>
      </c>
      <c r="F19" s="599">
        <v>0</v>
      </c>
      <c r="G19" s="600">
        <f t="shared" si="0"/>
        <v>0</v>
      </c>
    </row>
    <row r="20" spans="1:7" ht="14.25" customHeight="1">
      <c r="A20" s="596" t="s">
        <v>294</v>
      </c>
      <c r="B20" s="620">
        <v>13</v>
      </c>
      <c r="C20" s="598">
        <v>0</v>
      </c>
      <c r="D20" s="598">
        <v>0</v>
      </c>
      <c r="E20" s="598">
        <v>0</v>
      </c>
      <c r="F20" s="599">
        <v>0</v>
      </c>
      <c r="G20" s="600">
        <f t="shared" si="0"/>
        <v>0</v>
      </c>
    </row>
    <row r="21" spans="1:7" ht="14.25" customHeight="1">
      <c r="A21" s="596" t="s">
        <v>295</v>
      </c>
      <c r="B21" s="620">
        <v>14</v>
      </c>
      <c r="C21" s="598">
        <v>0</v>
      </c>
      <c r="D21" s="598">
        <v>0</v>
      </c>
      <c r="E21" s="598">
        <v>0</v>
      </c>
      <c r="F21" s="599">
        <v>0</v>
      </c>
      <c r="G21" s="600">
        <f t="shared" si="0"/>
        <v>0</v>
      </c>
    </row>
    <row r="22" spans="1:7" ht="15" customHeight="1">
      <c r="A22" s="596" t="s">
        <v>296</v>
      </c>
      <c r="B22" s="620">
        <v>15</v>
      </c>
      <c r="C22" s="598">
        <v>0</v>
      </c>
      <c r="D22" s="598">
        <v>0</v>
      </c>
      <c r="E22" s="598">
        <v>0</v>
      </c>
      <c r="F22" s="599">
        <v>0</v>
      </c>
      <c r="G22" s="600">
        <f t="shared" si="0"/>
        <v>0</v>
      </c>
    </row>
    <row r="23" spans="1:7" ht="15" customHeight="1">
      <c r="A23" s="596" t="s">
        <v>297</v>
      </c>
      <c r="B23" s="620">
        <v>16</v>
      </c>
      <c r="C23" s="598">
        <v>0</v>
      </c>
      <c r="D23" s="598">
        <v>0</v>
      </c>
      <c r="E23" s="598">
        <v>0</v>
      </c>
      <c r="F23" s="599">
        <v>0</v>
      </c>
      <c r="G23" s="600">
        <f t="shared" si="0"/>
        <v>0</v>
      </c>
    </row>
    <row r="24" spans="1:7" ht="15" customHeight="1" thickBot="1">
      <c r="A24" s="601" t="s">
        <v>298</v>
      </c>
      <c r="B24" s="621">
        <v>17</v>
      </c>
      <c r="C24" s="603">
        <v>0</v>
      </c>
      <c r="D24" s="603">
        <v>0</v>
      </c>
      <c r="E24" s="603">
        <v>0</v>
      </c>
      <c r="F24" s="604">
        <v>0</v>
      </c>
      <c r="G24" s="605">
        <f t="shared" si="0"/>
        <v>0</v>
      </c>
    </row>
    <row r="25" spans="1:7" ht="35.25" customHeight="1" thickBot="1">
      <c r="A25" s="606" t="s">
        <v>299</v>
      </c>
      <c r="B25" s="614">
        <v>18</v>
      </c>
      <c r="C25" s="608">
        <f>SUM(C26:C32)</f>
        <v>0</v>
      </c>
      <c r="D25" s="608">
        <f>SUM(D26:D32)</f>
        <v>0</v>
      </c>
      <c r="E25" s="608">
        <f>SUM(E26:E32)</f>
        <v>0</v>
      </c>
      <c r="F25" s="609">
        <f>SUM(F26:F32)</f>
        <v>0</v>
      </c>
      <c r="G25" s="610">
        <f t="shared" si="0"/>
        <v>0</v>
      </c>
    </row>
    <row r="26" spans="1:7" ht="16.5" customHeight="1">
      <c r="A26" s="615" t="s">
        <v>292</v>
      </c>
      <c r="B26" s="616">
        <v>19</v>
      </c>
      <c r="C26" s="617">
        <v>0</v>
      </c>
      <c r="D26" s="617">
        <v>0</v>
      </c>
      <c r="E26" s="617">
        <v>0</v>
      </c>
      <c r="F26" s="618">
        <v>0</v>
      </c>
      <c r="G26" s="619">
        <f t="shared" si="0"/>
        <v>0</v>
      </c>
    </row>
    <row r="27" spans="1:7" ht="15.75" customHeight="1">
      <c r="A27" s="596" t="s">
        <v>293</v>
      </c>
      <c r="B27" s="620">
        <v>20</v>
      </c>
      <c r="C27" s="598">
        <v>0</v>
      </c>
      <c r="D27" s="598">
        <v>0</v>
      </c>
      <c r="E27" s="598">
        <v>0</v>
      </c>
      <c r="F27" s="599">
        <v>0</v>
      </c>
      <c r="G27" s="600">
        <f t="shared" si="0"/>
        <v>0</v>
      </c>
    </row>
    <row r="28" spans="1:7" ht="15.75" customHeight="1">
      <c r="A28" s="596" t="s">
        <v>294</v>
      </c>
      <c r="B28" s="620">
        <v>21</v>
      </c>
      <c r="C28" s="598">
        <v>0</v>
      </c>
      <c r="D28" s="598">
        <v>0</v>
      </c>
      <c r="E28" s="598">
        <v>0</v>
      </c>
      <c r="F28" s="599">
        <v>0</v>
      </c>
      <c r="G28" s="600">
        <f t="shared" si="0"/>
        <v>0</v>
      </c>
    </row>
    <row r="29" spans="1:7" ht="12.75">
      <c r="A29" s="596" t="s">
        <v>295</v>
      </c>
      <c r="B29" s="620">
        <v>22</v>
      </c>
      <c r="C29" s="598">
        <v>0</v>
      </c>
      <c r="D29" s="598">
        <v>0</v>
      </c>
      <c r="E29" s="598">
        <v>0</v>
      </c>
      <c r="F29" s="599">
        <v>0</v>
      </c>
      <c r="G29" s="600">
        <f t="shared" si="0"/>
        <v>0</v>
      </c>
    </row>
    <row r="30" spans="1:7" ht="12.75">
      <c r="A30" s="596" t="s">
        <v>296</v>
      </c>
      <c r="B30" s="620">
        <v>23</v>
      </c>
      <c r="C30" s="598">
        <v>0</v>
      </c>
      <c r="D30" s="598">
        <v>0</v>
      </c>
      <c r="E30" s="598">
        <v>0</v>
      </c>
      <c r="F30" s="599">
        <v>0</v>
      </c>
      <c r="G30" s="600">
        <f t="shared" si="0"/>
        <v>0</v>
      </c>
    </row>
    <row r="31" spans="1:7" ht="12.75">
      <c r="A31" s="596" t="s">
        <v>297</v>
      </c>
      <c r="B31" s="620">
        <v>24</v>
      </c>
      <c r="C31" s="598">
        <v>0</v>
      </c>
      <c r="D31" s="598">
        <v>0</v>
      </c>
      <c r="E31" s="598">
        <v>0</v>
      </c>
      <c r="F31" s="599">
        <v>0</v>
      </c>
      <c r="G31" s="600">
        <f t="shared" si="0"/>
        <v>0</v>
      </c>
    </row>
    <row r="32" spans="1:7" ht="18" customHeight="1" thickBot="1">
      <c r="A32" s="601" t="s">
        <v>298</v>
      </c>
      <c r="B32" s="621">
        <v>25</v>
      </c>
      <c r="C32" s="603">
        <v>0</v>
      </c>
      <c r="D32" s="603">
        <v>0</v>
      </c>
      <c r="E32" s="603">
        <v>0</v>
      </c>
      <c r="F32" s="604">
        <v>0</v>
      </c>
      <c r="G32" s="605">
        <f t="shared" si="0"/>
        <v>0</v>
      </c>
    </row>
    <row r="33" spans="1:7" ht="17.25" customHeight="1" thickBot="1">
      <c r="A33" s="606" t="s">
        <v>300</v>
      </c>
      <c r="B33" s="614">
        <v>26</v>
      </c>
      <c r="C33" s="608">
        <f>+C17+C25</f>
        <v>0</v>
      </c>
      <c r="D33" s="608">
        <f>+D17+D25</f>
        <v>0</v>
      </c>
      <c r="E33" s="608">
        <f>+E17+E25</f>
        <v>0</v>
      </c>
      <c r="F33" s="609">
        <f>+F17+F25</f>
        <v>0</v>
      </c>
      <c r="G33" s="610">
        <f t="shared" si="0"/>
        <v>0</v>
      </c>
    </row>
    <row r="34" spans="1:7" ht="21" customHeight="1" thickBot="1">
      <c r="A34" s="611" t="s">
        <v>301</v>
      </c>
      <c r="B34" s="622">
        <v>27</v>
      </c>
      <c r="C34" s="613">
        <f>+C16-C33</f>
        <v>63300000</v>
      </c>
      <c r="D34" s="613">
        <f>+D16-D33</f>
        <v>64566000</v>
      </c>
      <c r="E34" s="613">
        <f>+E16-E33</f>
        <v>65857320</v>
      </c>
      <c r="F34" s="613">
        <f>+F16-F33</f>
        <v>67174466.4</v>
      </c>
      <c r="G34" s="623">
        <f t="shared" si="0"/>
        <v>260897786.4</v>
      </c>
    </row>
    <row r="35" spans="1:7" ht="15">
      <c r="A35" s="588"/>
      <c r="B35" s="588"/>
      <c r="C35" s="588"/>
      <c r="D35" s="588"/>
      <c r="E35" s="588"/>
      <c r="F35" s="588"/>
      <c r="G35" s="588"/>
    </row>
  </sheetData>
  <sheetProtection/>
  <mergeCells count="5">
    <mergeCell ref="A1:G1"/>
    <mergeCell ref="A4:A6"/>
    <mergeCell ref="B4:B6"/>
    <mergeCell ref="C4:F5"/>
    <mergeCell ref="G4:G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2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BreakPreview" zoomScaleSheetLayoutView="100" zoomScalePageLayoutView="0" workbookViewId="0" topLeftCell="A112">
      <selection activeCell="D146" sqref="D146"/>
    </sheetView>
  </sheetViews>
  <sheetFormatPr defaultColWidth="9.00390625" defaultRowHeight="12.75"/>
  <cols>
    <col min="1" max="1" width="9.50390625" style="381" customWidth="1"/>
    <col min="2" max="2" width="91.625" style="381" customWidth="1"/>
    <col min="3" max="3" width="21.625" style="382" customWidth="1"/>
    <col min="4" max="4" width="19.50390625" style="404" bestFit="1" customWidth="1"/>
    <col min="5" max="5" width="20.00390625" style="404" customWidth="1"/>
    <col min="6" max="6" width="20.50390625" style="404" customWidth="1"/>
    <col min="7" max="16384" width="9.375" style="404" customWidth="1"/>
  </cols>
  <sheetData>
    <row r="1" spans="1:3" ht="15.75" customHeight="1">
      <c r="A1" s="1062" t="s">
        <v>539</v>
      </c>
      <c r="B1" s="1062"/>
      <c r="C1" s="1062"/>
    </row>
    <row r="2" spans="1:6" ht="15.75" customHeight="1" thickBot="1">
      <c r="A2" s="1061" t="s">
        <v>674</v>
      </c>
      <c r="B2" s="1061"/>
      <c r="C2" s="308"/>
      <c r="F2" s="308"/>
    </row>
    <row r="3" spans="1:6" ht="37.5" customHeight="1" thickBot="1">
      <c r="A3" s="23" t="s">
        <v>595</v>
      </c>
      <c r="B3" s="24" t="s">
        <v>541</v>
      </c>
      <c r="C3" s="39" t="s">
        <v>877</v>
      </c>
      <c r="D3" s="39" t="s">
        <v>448</v>
      </c>
      <c r="E3" s="39" t="s">
        <v>449</v>
      </c>
      <c r="F3" s="39" t="s">
        <v>878</v>
      </c>
    </row>
    <row r="4" spans="1:6" s="405" customFormat="1" ht="12" customHeight="1" thickBot="1">
      <c r="A4" s="399">
        <v>1</v>
      </c>
      <c r="B4" s="400">
        <v>2</v>
      </c>
      <c r="C4" s="401">
        <v>3</v>
      </c>
      <c r="D4" s="401">
        <v>4</v>
      </c>
      <c r="E4" s="401">
        <v>5</v>
      </c>
      <c r="F4" s="401">
        <v>6</v>
      </c>
    </row>
    <row r="5" spans="1:6" s="406" customFormat="1" ht="12" customHeight="1" thickBot="1">
      <c r="A5" s="20" t="s">
        <v>542</v>
      </c>
      <c r="B5" s="21" t="s">
        <v>784</v>
      </c>
      <c r="C5" s="298">
        <f>+C6+C7+C8+C9+C10+C11</f>
        <v>393077057</v>
      </c>
      <c r="D5" s="298">
        <f>C5*102%</f>
        <v>400938598.14</v>
      </c>
      <c r="E5" s="298">
        <f>C5*104%</f>
        <v>408800139.28000003</v>
      </c>
      <c r="F5" s="298">
        <f>C5*106%</f>
        <v>416661680.42</v>
      </c>
    </row>
    <row r="6" spans="1:6" s="406" customFormat="1" ht="12" customHeight="1">
      <c r="A6" s="15" t="s">
        <v>625</v>
      </c>
      <c r="B6" s="407" t="s">
        <v>785</v>
      </c>
      <c r="C6" s="1004">
        <f>'5. tájékoztató '!I7+'5. tájékoztató '!I8+'5. tájékoztató '!I9+'5. tájékoztató '!I10+'5. tájékoztató '!I11+'5. tájékoztató '!I13+'5. tájékoztató '!I14+'5. tájékoztató '!I15+'5. tájékoztató '!I16</f>
        <v>126761325</v>
      </c>
      <c r="D6" s="979">
        <f aca="true" t="shared" si="0" ref="D6:D69">C6*102%</f>
        <v>129296551.5</v>
      </c>
      <c r="E6" s="978">
        <f aca="true" t="shared" si="1" ref="E6:E69">C6*104%</f>
        <v>131831778</v>
      </c>
      <c r="F6" s="978">
        <f aca="true" t="shared" si="2" ref="F6:F69">C6*106%</f>
        <v>134367004.5</v>
      </c>
    </row>
    <row r="7" spans="1:6" s="406" customFormat="1" ht="12" customHeight="1">
      <c r="A7" s="14" t="s">
        <v>626</v>
      </c>
      <c r="B7" s="408" t="s">
        <v>786</v>
      </c>
      <c r="C7" s="1001">
        <f>'5. tájékoztató '!I29</f>
        <v>123139166</v>
      </c>
      <c r="D7" s="980">
        <f t="shared" si="0"/>
        <v>125601949.32000001</v>
      </c>
      <c r="E7" s="981">
        <f t="shared" si="1"/>
        <v>128064732.64</v>
      </c>
      <c r="F7" s="981">
        <f t="shared" si="2"/>
        <v>130527515.96000001</v>
      </c>
    </row>
    <row r="8" spans="1:6" s="406" customFormat="1" ht="12" customHeight="1">
      <c r="A8" s="14" t="s">
        <v>627</v>
      </c>
      <c r="B8" s="408" t="s">
        <v>787</v>
      </c>
      <c r="C8" s="1001">
        <f>'5. tájékoztató '!I44</f>
        <v>136398531</v>
      </c>
      <c r="D8" s="980">
        <f t="shared" si="0"/>
        <v>139126501.62</v>
      </c>
      <c r="E8" s="981">
        <f t="shared" si="1"/>
        <v>141854472.24</v>
      </c>
      <c r="F8" s="981">
        <f t="shared" si="2"/>
        <v>144582442.86</v>
      </c>
    </row>
    <row r="9" spans="1:6" s="406" customFormat="1" ht="12" customHeight="1">
      <c r="A9" s="14" t="s">
        <v>628</v>
      </c>
      <c r="B9" s="408" t="s">
        <v>788</v>
      </c>
      <c r="C9" s="1001">
        <f>'5. tájékoztató '!I46</f>
        <v>6271140</v>
      </c>
      <c r="D9" s="980">
        <f t="shared" si="0"/>
        <v>6396562.8</v>
      </c>
      <c r="E9" s="981">
        <f t="shared" si="1"/>
        <v>6521985.600000001</v>
      </c>
      <c r="F9" s="981">
        <f t="shared" si="2"/>
        <v>6647408.4</v>
      </c>
    </row>
    <row r="10" spans="1:6" s="406" customFormat="1" ht="12" customHeight="1">
      <c r="A10" s="14" t="s">
        <v>670</v>
      </c>
      <c r="B10" s="408" t="s">
        <v>789</v>
      </c>
      <c r="C10" s="1001">
        <v>506895</v>
      </c>
      <c r="D10" s="980">
        <f t="shared" si="0"/>
        <v>517032.9</v>
      </c>
      <c r="E10" s="981">
        <f t="shared" si="1"/>
        <v>527170.8</v>
      </c>
      <c r="F10" s="981">
        <f t="shared" si="2"/>
        <v>537308.7000000001</v>
      </c>
    </row>
    <row r="11" spans="1:6" s="406" customFormat="1" ht="12" customHeight="1" thickBot="1">
      <c r="A11" s="16" t="s">
        <v>629</v>
      </c>
      <c r="B11" s="409" t="s">
        <v>790</v>
      </c>
      <c r="C11" s="1001"/>
      <c r="D11" s="982">
        <f t="shared" si="0"/>
        <v>0</v>
      </c>
      <c r="E11" s="983">
        <f t="shared" si="1"/>
        <v>0</v>
      </c>
      <c r="F11" s="983">
        <f t="shared" si="2"/>
        <v>0</v>
      </c>
    </row>
    <row r="12" spans="1:6" s="406" customFormat="1" ht="12" customHeight="1" thickBot="1">
      <c r="A12" s="20" t="s">
        <v>543</v>
      </c>
      <c r="B12" s="293" t="s">
        <v>791</v>
      </c>
      <c r="C12" s="304">
        <f>+C13+C14+C15+C16+C17</f>
        <v>10280000</v>
      </c>
      <c r="D12" s="298">
        <f t="shared" si="0"/>
        <v>10485600</v>
      </c>
      <c r="E12" s="298">
        <f t="shared" si="1"/>
        <v>10691200</v>
      </c>
      <c r="F12" s="298">
        <f t="shared" si="2"/>
        <v>10896800</v>
      </c>
    </row>
    <row r="13" spans="1:6" s="406" customFormat="1" ht="12" customHeight="1">
      <c r="A13" s="15" t="s">
        <v>631</v>
      </c>
      <c r="B13" s="407" t="s">
        <v>792</v>
      </c>
      <c r="C13" s="1004"/>
      <c r="D13" s="979">
        <f t="shared" si="0"/>
        <v>0</v>
      </c>
      <c r="E13" s="978">
        <f t="shared" si="1"/>
        <v>0</v>
      </c>
      <c r="F13" s="978">
        <f t="shared" si="2"/>
        <v>0</v>
      </c>
    </row>
    <row r="14" spans="1:6" s="406" customFormat="1" ht="12" customHeight="1">
      <c r="A14" s="14" t="s">
        <v>632</v>
      </c>
      <c r="B14" s="408" t="s">
        <v>793</v>
      </c>
      <c r="C14" s="1001"/>
      <c r="D14" s="980">
        <f t="shared" si="0"/>
        <v>0</v>
      </c>
      <c r="E14" s="981">
        <f t="shared" si="1"/>
        <v>0</v>
      </c>
      <c r="F14" s="981">
        <f t="shared" si="2"/>
        <v>0</v>
      </c>
    </row>
    <row r="15" spans="1:6" s="406" customFormat="1" ht="12" customHeight="1">
      <c r="A15" s="14" t="s">
        <v>633</v>
      </c>
      <c r="B15" s="408" t="s">
        <v>266</v>
      </c>
      <c r="C15" s="1001">
        <v>10280000</v>
      </c>
      <c r="D15" s="980">
        <f t="shared" si="0"/>
        <v>10485600</v>
      </c>
      <c r="E15" s="981">
        <f t="shared" si="1"/>
        <v>10691200</v>
      </c>
      <c r="F15" s="981">
        <f t="shared" si="2"/>
        <v>10896800</v>
      </c>
    </row>
    <row r="16" spans="1:6" s="406" customFormat="1" ht="12" customHeight="1">
      <c r="A16" s="14" t="s">
        <v>634</v>
      </c>
      <c r="B16" s="408" t="s">
        <v>348</v>
      </c>
      <c r="C16" s="300"/>
      <c r="D16" s="980">
        <f t="shared" si="0"/>
        <v>0</v>
      </c>
      <c r="E16" s="981">
        <f t="shared" si="1"/>
        <v>0</v>
      </c>
      <c r="F16" s="981">
        <f t="shared" si="2"/>
        <v>0</v>
      </c>
    </row>
    <row r="17" spans="1:6" s="406" customFormat="1" ht="12" customHeight="1">
      <c r="A17" s="14" t="s">
        <v>635</v>
      </c>
      <c r="B17" s="408" t="s">
        <v>349</v>
      </c>
      <c r="C17" s="300"/>
      <c r="D17" s="980">
        <f t="shared" si="0"/>
        <v>0</v>
      </c>
      <c r="E17" s="981">
        <f t="shared" si="1"/>
        <v>0</v>
      </c>
      <c r="F17" s="981">
        <f t="shared" si="2"/>
        <v>0</v>
      </c>
    </row>
    <row r="18" spans="1:6" s="406" customFormat="1" ht="12" customHeight="1" thickBot="1">
      <c r="A18" s="16" t="s">
        <v>644</v>
      </c>
      <c r="B18" s="409" t="s">
        <v>795</v>
      </c>
      <c r="C18" s="302"/>
      <c r="D18" s="982">
        <f t="shared" si="0"/>
        <v>0</v>
      </c>
      <c r="E18" s="983">
        <f t="shared" si="1"/>
        <v>0</v>
      </c>
      <c r="F18" s="983">
        <f t="shared" si="2"/>
        <v>0</v>
      </c>
    </row>
    <row r="19" spans="1:6" s="406" customFormat="1" ht="12" customHeight="1" thickBot="1">
      <c r="A19" s="20" t="s">
        <v>544</v>
      </c>
      <c r="B19" s="21" t="s">
        <v>796</v>
      </c>
      <c r="C19" s="298">
        <f>+C20+C21+C22+C23+C24</f>
        <v>157449027</v>
      </c>
      <c r="D19" s="298">
        <f t="shared" si="0"/>
        <v>160598007.54</v>
      </c>
      <c r="E19" s="298">
        <f t="shared" si="1"/>
        <v>163746988.08</v>
      </c>
      <c r="F19" s="298">
        <f t="shared" si="2"/>
        <v>166895968.62</v>
      </c>
    </row>
    <row r="20" spans="1:6" s="406" customFormat="1" ht="12" customHeight="1">
      <c r="A20" s="15" t="s">
        <v>614</v>
      </c>
      <c r="B20" s="407" t="s">
        <v>522</v>
      </c>
      <c r="C20" s="301"/>
      <c r="D20" s="979">
        <f t="shared" si="0"/>
        <v>0</v>
      </c>
      <c r="E20" s="978">
        <f t="shared" si="1"/>
        <v>0</v>
      </c>
      <c r="F20" s="978">
        <f t="shared" si="2"/>
        <v>0</v>
      </c>
    </row>
    <row r="21" spans="1:6" s="406" customFormat="1" ht="12" customHeight="1">
      <c r="A21" s="14" t="s">
        <v>615</v>
      </c>
      <c r="B21" s="408" t="s">
        <v>798</v>
      </c>
      <c r="C21" s="300"/>
      <c r="D21" s="980">
        <f t="shared" si="0"/>
        <v>0</v>
      </c>
      <c r="E21" s="981">
        <f t="shared" si="1"/>
        <v>0</v>
      </c>
      <c r="F21" s="981">
        <f t="shared" si="2"/>
        <v>0</v>
      </c>
    </row>
    <row r="22" spans="1:6" s="406" customFormat="1" ht="12" customHeight="1">
      <c r="A22" s="14" t="s">
        <v>616</v>
      </c>
      <c r="B22" s="408" t="s">
        <v>193</v>
      </c>
      <c r="C22" s="300"/>
      <c r="D22" s="980">
        <f t="shared" si="0"/>
        <v>0</v>
      </c>
      <c r="E22" s="981">
        <f t="shared" si="1"/>
        <v>0</v>
      </c>
      <c r="F22" s="981">
        <f t="shared" si="2"/>
        <v>0</v>
      </c>
    </row>
    <row r="23" spans="1:6" s="406" customFormat="1" ht="12" customHeight="1">
      <c r="A23" s="14" t="s">
        <v>617</v>
      </c>
      <c r="B23" s="408" t="s">
        <v>16</v>
      </c>
      <c r="C23" s="1001">
        <v>133390721</v>
      </c>
      <c r="D23" s="980">
        <f t="shared" si="0"/>
        <v>136058535.42000002</v>
      </c>
      <c r="E23" s="981">
        <f t="shared" si="1"/>
        <v>138726349.84</v>
      </c>
      <c r="F23" s="981">
        <f t="shared" si="2"/>
        <v>141394164.26000002</v>
      </c>
    </row>
    <row r="24" spans="1:6" s="406" customFormat="1" ht="12" customHeight="1">
      <c r="A24" s="14" t="s">
        <v>693</v>
      </c>
      <c r="B24" s="408" t="s">
        <v>15</v>
      </c>
      <c r="C24" s="1001">
        <v>24058306</v>
      </c>
      <c r="D24" s="980">
        <f t="shared" si="0"/>
        <v>24539472.12</v>
      </c>
      <c r="E24" s="981">
        <f t="shared" si="1"/>
        <v>25020638.240000002</v>
      </c>
      <c r="F24" s="981">
        <f t="shared" si="2"/>
        <v>25501804.360000003</v>
      </c>
    </row>
    <row r="25" spans="1:6" s="406" customFormat="1" ht="12" customHeight="1" thickBot="1">
      <c r="A25" s="16" t="s">
        <v>694</v>
      </c>
      <c r="B25" s="409" t="s">
        <v>800</v>
      </c>
      <c r="C25" s="302"/>
      <c r="D25" s="982">
        <f t="shared" si="0"/>
        <v>0</v>
      </c>
      <c r="E25" s="983">
        <f t="shared" si="1"/>
        <v>0</v>
      </c>
      <c r="F25" s="983">
        <f t="shared" si="2"/>
        <v>0</v>
      </c>
    </row>
    <row r="26" spans="1:6" s="406" customFormat="1" ht="12" customHeight="1" thickBot="1">
      <c r="A26" s="20" t="s">
        <v>695</v>
      </c>
      <c r="B26" s="21" t="s">
        <v>801</v>
      </c>
      <c r="C26" s="304">
        <f>+C27+C30+C31+C33+C32</f>
        <v>145800000</v>
      </c>
      <c r="D26" s="298">
        <f t="shared" si="0"/>
        <v>148716000</v>
      </c>
      <c r="E26" s="298">
        <f t="shared" si="1"/>
        <v>151632000</v>
      </c>
      <c r="F26" s="298">
        <f t="shared" si="2"/>
        <v>154548000</v>
      </c>
    </row>
    <row r="27" spans="1:6" s="406" customFormat="1" ht="12" customHeight="1">
      <c r="A27" s="15" t="s">
        <v>802</v>
      </c>
      <c r="B27" s="407" t="s">
        <v>808</v>
      </c>
      <c r="C27" s="1007">
        <v>125800000</v>
      </c>
      <c r="D27" s="979">
        <f t="shared" si="0"/>
        <v>128316000</v>
      </c>
      <c r="E27" s="978">
        <f t="shared" si="1"/>
        <v>130832000</v>
      </c>
      <c r="F27" s="978">
        <f t="shared" si="2"/>
        <v>133348000</v>
      </c>
    </row>
    <row r="28" spans="1:6" s="406" customFormat="1" ht="12" customHeight="1">
      <c r="A28" s="14" t="s">
        <v>803</v>
      </c>
      <c r="B28" s="644" t="s">
        <v>353</v>
      </c>
      <c r="C28" s="1001">
        <v>5800000</v>
      </c>
      <c r="D28" s="980">
        <f t="shared" si="0"/>
        <v>5916000</v>
      </c>
      <c r="E28" s="981">
        <f t="shared" si="1"/>
        <v>6032000</v>
      </c>
      <c r="F28" s="981">
        <f t="shared" si="2"/>
        <v>6148000</v>
      </c>
    </row>
    <row r="29" spans="1:6" s="406" customFormat="1" ht="12" customHeight="1">
      <c r="A29" s="14" t="s">
        <v>804</v>
      </c>
      <c r="B29" s="644" t="s">
        <v>354</v>
      </c>
      <c r="C29" s="1001">
        <v>120000000</v>
      </c>
      <c r="D29" s="980">
        <f t="shared" si="0"/>
        <v>122400000</v>
      </c>
      <c r="E29" s="981">
        <f t="shared" si="1"/>
        <v>124800000</v>
      </c>
      <c r="F29" s="981">
        <f t="shared" si="2"/>
        <v>127200000</v>
      </c>
    </row>
    <row r="30" spans="1:6" s="406" customFormat="1" ht="12" customHeight="1">
      <c r="A30" s="14" t="s">
        <v>805</v>
      </c>
      <c r="B30" s="408" t="s">
        <v>811</v>
      </c>
      <c r="C30" s="1001">
        <v>18000000</v>
      </c>
      <c r="D30" s="980">
        <f t="shared" si="0"/>
        <v>18360000</v>
      </c>
      <c r="E30" s="981">
        <f t="shared" si="1"/>
        <v>18720000</v>
      </c>
      <c r="F30" s="981">
        <f t="shared" si="2"/>
        <v>19080000</v>
      </c>
    </row>
    <row r="31" spans="1:6" s="406" customFormat="1" ht="12" customHeight="1">
      <c r="A31" s="14" t="s">
        <v>806</v>
      </c>
      <c r="B31" s="408" t="s">
        <v>319</v>
      </c>
      <c r="C31" s="1001">
        <v>300000</v>
      </c>
      <c r="D31" s="980">
        <f t="shared" si="0"/>
        <v>306000</v>
      </c>
      <c r="E31" s="981">
        <f t="shared" si="1"/>
        <v>312000</v>
      </c>
      <c r="F31" s="981">
        <f t="shared" si="2"/>
        <v>318000</v>
      </c>
    </row>
    <row r="32" spans="1:6" s="406" customFormat="1" ht="12" customHeight="1">
      <c r="A32" s="16" t="s">
        <v>807</v>
      </c>
      <c r="B32" s="409" t="s">
        <v>322</v>
      </c>
      <c r="C32" s="1002">
        <v>900000</v>
      </c>
      <c r="D32" s="980">
        <f t="shared" si="0"/>
        <v>918000</v>
      </c>
      <c r="E32" s="981">
        <f t="shared" si="1"/>
        <v>936000</v>
      </c>
      <c r="F32" s="981">
        <f t="shared" si="2"/>
        <v>954000</v>
      </c>
    </row>
    <row r="33" spans="1:6" s="406" customFormat="1" ht="12" customHeight="1" thickBot="1">
      <c r="A33" s="16" t="s">
        <v>320</v>
      </c>
      <c r="B33" s="409" t="s">
        <v>321</v>
      </c>
      <c r="C33" s="1002">
        <v>800000</v>
      </c>
      <c r="D33" s="982">
        <f t="shared" si="0"/>
        <v>816000</v>
      </c>
      <c r="E33" s="983">
        <f t="shared" si="1"/>
        <v>832000</v>
      </c>
      <c r="F33" s="983">
        <f t="shared" si="2"/>
        <v>848000</v>
      </c>
    </row>
    <row r="34" spans="1:6" s="406" customFormat="1" ht="12" customHeight="1" thickBot="1">
      <c r="A34" s="20" t="s">
        <v>546</v>
      </c>
      <c r="B34" s="21" t="s">
        <v>814</v>
      </c>
      <c r="C34" s="298">
        <f>SUM(C35:C44)</f>
        <v>116111900</v>
      </c>
      <c r="D34" s="298">
        <f t="shared" si="0"/>
        <v>118434138</v>
      </c>
      <c r="E34" s="298">
        <f t="shared" si="1"/>
        <v>120756376</v>
      </c>
      <c r="F34" s="298">
        <f t="shared" si="2"/>
        <v>123078614</v>
      </c>
    </row>
    <row r="35" spans="1:6" s="406" customFormat="1" ht="12" customHeight="1">
      <c r="A35" s="15" t="s">
        <v>618</v>
      </c>
      <c r="B35" s="407" t="s">
        <v>817</v>
      </c>
      <c r="C35" s="301"/>
      <c r="D35" s="979">
        <f t="shared" si="0"/>
        <v>0</v>
      </c>
      <c r="E35" s="978">
        <f t="shared" si="1"/>
        <v>0</v>
      </c>
      <c r="F35" s="978">
        <f t="shared" si="2"/>
        <v>0</v>
      </c>
    </row>
    <row r="36" spans="1:6" s="406" customFormat="1" ht="12" customHeight="1">
      <c r="A36" s="14" t="s">
        <v>619</v>
      </c>
      <c r="B36" s="408" t="s">
        <v>818</v>
      </c>
      <c r="C36" s="1001">
        <v>10800000</v>
      </c>
      <c r="D36" s="980">
        <f t="shared" si="0"/>
        <v>11016000</v>
      </c>
      <c r="E36" s="981">
        <f t="shared" si="1"/>
        <v>11232000</v>
      </c>
      <c r="F36" s="981">
        <f t="shared" si="2"/>
        <v>11448000</v>
      </c>
    </row>
    <row r="37" spans="1:6" s="406" customFormat="1" ht="12" customHeight="1">
      <c r="A37" s="14" t="s">
        <v>620</v>
      </c>
      <c r="B37" s="408" t="s">
        <v>819</v>
      </c>
      <c r="C37" s="1001">
        <v>300000</v>
      </c>
      <c r="D37" s="980">
        <f t="shared" si="0"/>
        <v>306000</v>
      </c>
      <c r="E37" s="981">
        <f t="shared" si="1"/>
        <v>312000</v>
      </c>
      <c r="F37" s="981">
        <f t="shared" si="2"/>
        <v>318000</v>
      </c>
    </row>
    <row r="38" spans="1:6" s="406" customFormat="1" ht="12" customHeight="1">
      <c r="A38" s="14" t="s">
        <v>697</v>
      </c>
      <c r="B38" s="408" t="s">
        <v>820</v>
      </c>
      <c r="C38" s="1001">
        <v>3200000</v>
      </c>
      <c r="D38" s="980">
        <f t="shared" si="0"/>
        <v>3264000</v>
      </c>
      <c r="E38" s="981">
        <f t="shared" si="1"/>
        <v>3328000</v>
      </c>
      <c r="F38" s="981">
        <f t="shared" si="2"/>
        <v>3392000</v>
      </c>
    </row>
    <row r="39" spans="1:6" s="406" customFormat="1" ht="12" customHeight="1">
      <c r="A39" s="14" t="s">
        <v>698</v>
      </c>
      <c r="B39" s="408" t="s">
        <v>821</v>
      </c>
      <c r="C39" s="1001">
        <v>81231900</v>
      </c>
      <c r="D39" s="980">
        <f t="shared" si="0"/>
        <v>82856538</v>
      </c>
      <c r="E39" s="981">
        <f t="shared" si="1"/>
        <v>84481176</v>
      </c>
      <c r="F39" s="981">
        <f t="shared" si="2"/>
        <v>86105814</v>
      </c>
    </row>
    <row r="40" spans="1:6" s="406" customFormat="1" ht="12" customHeight="1">
      <c r="A40" s="14" t="s">
        <v>699</v>
      </c>
      <c r="B40" s="408" t="s">
        <v>822</v>
      </c>
      <c r="C40" s="1001">
        <v>3280000</v>
      </c>
      <c r="D40" s="980">
        <f t="shared" si="0"/>
        <v>3345600</v>
      </c>
      <c r="E40" s="981">
        <f t="shared" si="1"/>
        <v>3411200</v>
      </c>
      <c r="F40" s="981">
        <f t="shared" si="2"/>
        <v>3476800</v>
      </c>
    </row>
    <row r="41" spans="1:6" s="406" customFormat="1" ht="12" customHeight="1">
      <c r="A41" s="14" t="s">
        <v>700</v>
      </c>
      <c r="B41" s="408" t="s">
        <v>823</v>
      </c>
      <c r="C41" s="1001">
        <v>9300000</v>
      </c>
      <c r="D41" s="980">
        <f t="shared" si="0"/>
        <v>9486000</v>
      </c>
      <c r="E41" s="981">
        <f t="shared" si="1"/>
        <v>9672000</v>
      </c>
      <c r="F41" s="981">
        <f t="shared" si="2"/>
        <v>9858000</v>
      </c>
    </row>
    <row r="42" spans="1:6" s="406" customFormat="1" ht="12" customHeight="1">
      <c r="A42" s="14" t="s">
        <v>701</v>
      </c>
      <c r="B42" s="408" t="s">
        <v>824</v>
      </c>
      <c r="C42" s="1001">
        <v>1000000</v>
      </c>
      <c r="D42" s="980">
        <f t="shared" si="0"/>
        <v>1020000</v>
      </c>
      <c r="E42" s="981">
        <f t="shared" si="1"/>
        <v>1040000</v>
      </c>
      <c r="F42" s="981">
        <f t="shared" si="2"/>
        <v>1060000</v>
      </c>
    </row>
    <row r="43" spans="1:6" s="406" customFormat="1" ht="12" customHeight="1">
      <c r="A43" s="14" t="s">
        <v>815</v>
      </c>
      <c r="B43" s="408" t="s">
        <v>825</v>
      </c>
      <c r="C43" s="1001"/>
      <c r="D43" s="980">
        <f t="shared" si="0"/>
        <v>0</v>
      </c>
      <c r="E43" s="981">
        <f t="shared" si="1"/>
        <v>0</v>
      </c>
      <c r="F43" s="981">
        <f t="shared" si="2"/>
        <v>0</v>
      </c>
    </row>
    <row r="44" spans="1:6" s="406" customFormat="1" ht="12" customHeight="1" thickBot="1">
      <c r="A44" s="16" t="s">
        <v>816</v>
      </c>
      <c r="B44" s="409" t="s">
        <v>826</v>
      </c>
      <c r="C44" s="1002">
        <v>7000000</v>
      </c>
      <c r="D44" s="982">
        <f t="shared" si="0"/>
        <v>7140000</v>
      </c>
      <c r="E44" s="983">
        <f t="shared" si="1"/>
        <v>7280000</v>
      </c>
      <c r="F44" s="983">
        <f t="shared" si="2"/>
        <v>7420000</v>
      </c>
    </row>
    <row r="45" spans="1:6" s="406" customFormat="1" ht="12" customHeight="1" thickBot="1">
      <c r="A45" s="20" t="s">
        <v>547</v>
      </c>
      <c r="B45" s="21" t="s">
        <v>827</v>
      </c>
      <c r="C45" s="298">
        <f>SUM(C46:C50)</f>
        <v>0</v>
      </c>
      <c r="D45" s="298">
        <f t="shared" si="0"/>
        <v>0</v>
      </c>
      <c r="E45" s="298">
        <f t="shared" si="1"/>
        <v>0</v>
      </c>
      <c r="F45" s="298">
        <f t="shared" si="2"/>
        <v>0</v>
      </c>
    </row>
    <row r="46" spans="1:6" s="406" customFormat="1" ht="12" customHeight="1">
      <c r="A46" s="15" t="s">
        <v>621</v>
      </c>
      <c r="B46" s="407" t="s">
        <v>831</v>
      </c>
      <c r="C46" s="451"/>
      <c r="D46" s="979">
        <f t="shared" si="0"/>
        <v>0</v>
      </c>
      <c r="E46" s="978">
        <f t="shared" si="1"/>
        <v>0</v>
      </c>
      <c r="F46" s="978">
        <f t="shared" si="2"/>
        <v>0</v>
      </c>
    </row>
    <row r="47" spans="1:6" s="406" customFormat="1" ht="12" customHeight="1">
      <c r="A47" s="14" t="s">
        <v>622</v>
      </c>
      <c r="B47" s="408" t="s">
        <v>832</v>
      </c>
      <c r="C47" s="303"/>
      <c r="D47" s="980">
        <f t="shared" si="0"/>
        <v>0</v>
      </c>
      <c r="E47" s="981">
        <f t="shared" si="1"/>
        <v>0</v>
      </c>
      <c r="F47" s="981">
        <f t="shared" si="2"/>
        <v>0</v>
      </c>
    </row>
    <row r="48" spans="1:6" s="406" customFormat="1" ht="12" customHeight="1">
      <c r="A48" s="14" t="s">
        <v>828</v>
      </c>
      <c r="B48" s="408" t="s">
        <v>833</v>
      </c>
      <c r="C48" s="303"/>
      <c r="D48" s="980">
        <f t="shared" si="0"/>
        <v>0</v>
      </c>
      <c r="E48" s="981">
        <f t="shared" si="1"/>
        <v>0</v>
      </c>
      <c r="F48" s="981">
        <f t="shared" si="2"/>
        <v>0</v>
      </c>
    </row>
    <row r="49" spans="1:6" s="406" customFormat="1" ht="12" customHeight="1">
      <c r="A49" s="14" t="s">
        <v>829</v>
      </c>
      <c r="B49" s="408" t="s">
        <v>834</v>
      </c>
      <c r="C49" s="303"/>
      <c r="D49" s="980">
        <f t="shared" si="0"/>
        <v>0</v>
      </c>
      <c r="E49" s="981">
        <f t="shared" si="1"/>
        <v>0</v>
      </c>
      <c r="F49" s="981">
        <f t="shared" si="2"/>
        <v>0</v>
      </c>
    </row>
    <row r="50" spans="1:6" s="406" customFormat="1" ht="12" customHeight="1">
      <c r="A50" s="14" t="s">
        <v>830</v>
      </c>
      <c r="B50" s="408" t="s">
        <v>835</v>
      </c>
      <c r="C50" s="303"/>
      <c r="D50" s="980">
        <f t="shared" si="0"/>
        <v>0</v>
      </c>
      <c r="E50" s="981">
        <f t="shared" si="1"/>
        <v>0</v>
      </c>
      <c r="F50" s="981">
        <f t="shared" si="2"/>
        <v>0</v>
      </c>
    </row>
    <row r="51" spans="1:6" s="406" customFormat="1" ht="12" customHeight="1" thickBot="1">
      <c r="A51" s="1008" t="s">
        <v>523</v>
      </c>
      <c r="B51" s="1015" t="s">
        <v>209</v>
      </c>
      <c r="C51" s="1016"/>
      <c r="D51" s="982">
        <f t="shared" si="0"/>
        <v>0</v>
      </c>
      <c r="E51" s="983">
        <f t="shared" si="1"/>
        <v>0</v>
      </c>
      <c r="F51" s="983">
        <f t="shared" si="2"/>
        <v>0</v>
      </c>
    </row>
    <row r="52" spans="1:6" s="406" customFormat="1" ht="12" customHeight="1" thickBot="1">
      <c r="A52" s="20" t="s">
        <v>702</v>
      </c>
      <c r="B52" s="21" t="s">
        <v>836</v>
      </c>
      <c r="C52" s="298">
        <f>SUM(C53:C55)</f>
        <v>0</v>
      </c>
      <c r="D52" s="298">
        <f t="shared" si="0"/>
        <v>0</v>
      </c>
      <c r="E52" s="298">
        <f t="shared" si="1"/>
        <v>0</v>
      </c>
      <c r="F52" s="298">
        <f t="shared" si="2"/>
        <v>0</v>
      </c>
    </row>
    <row r="53" spans="1:6" s="406" customFormat="1" ht="12" customHeight="1">
      <c r="A53" s="15" t="s">
        <v>623</v>
      </c>
      <c r="B53" s="407" t="s">
        <v>837</v>
      </c>
      <c r="C53" s="301"/>
      <c r="D53" s="979">
        <f t="shared" si="0"/>
        <v>0</v>
      </c>
      <c r="E53" s="978">
        <f t="shared" si="1"/>
        <v>0</v>
      </c>
      <c r="F53" s="978">
        <f t="shared" si="2"/>
        <v>0</v>
      </c>
    </row>
    <row r="54" spans="1:6" s="406" customFormat="1" ht="12" customHeight="1">
      <c r="A54" s="14" t="s">
        <v>624</v>
      </c>
      <c r="B54" s="408" t="s">
        <v>340</v>
      </c>
      <c r="C54" s="300"/>
      <c r="D54" s="980">
        <f t="shared" si="0"/>
        <v>0</v>
      </c>
      <c r="E54" s="981">
        <f t="shared" si="1"/>
        <v>0</v>
      </c>
      <c r="F54" s="981">
        <f t="shared" si="2"/>
        <v>0</v>
      </c>
    </row>
    <row r="55" spans="1:6" s="406" customFormat="1" ht="12" customHeight="1">
      <c r="A55" s="14" t="s">
        <v>840</v>
      </c>
      <c r="B55" s="408" t="s">
        <v>342</v>
      </c>
      <c r="C55" s="300"/>
      <c r="D55" s="980">
        <f t="shared" si="0"/>
        <v>0</v>
      </c>
      <c r="E55" s="981">
        <f t="shared" si="1"/>
        <v>0</v>
      </c>
      <c r="F55" s="981">
        <f t="shared" si="2"/>
        <v>0</v>
      </c>
    </row>
    <row r="56" spans="1:6" s="406" customFormat="1" ht="12" customHeight="1" thickBot="1">
      <c r="A56" s="16" t="s">
        <v>841</v>
      </c>
      <c r="B56" s="409" t="s">
        <v>839</v>
      </c>
      <c r="C56" s="302"/>
      <c r="D56" s="982">
        <f t="shared" si="0"/>
        <v>0</v>
      </c>
      <c r="E56" s="983">
        <f t="shared" si="1"/>
        <v>0</v>
      </c>
      <c r="F56" s="983">
        <f t="shared" si="2"/>
        <v>0</v>
      </c>
    </row>
    <row r="57" spans="1:6" s="406" customFormat="1" ht="12" customHeight="1" thickBot="1">
      <c r="A57" s="20" t="s">
        <v>549</v>
      </c>
      <c r="B57" s="293" t="s">
        <v>842</v>
      </c>
      <c r="C57" s="298">
        <f>SUM(C58:C60)</f>
        <v>0</v>
      </c>
      <c r="D57" s="298">
        <f t="shared" si="0"/>
        <v>0</v>
      </c>
      <c r="E57" s="298">
        <f t="shared" si="1"/>
        <v>0</v>
      </c>
      <c r="F57" s="298">
        <f t="shared" si="2"/>
        <v>0</v>
      </c>
    </row>
    <row r="58" spans="1:6" s="406" customFormat="1" ht="12" customHeight="1">
      <c r="A58" s="15" t="s">
        <v>703</v>
      </c>
      <c r="B58" s="407" t="s">
        <v>844</v>
      </c>
      <c r="C58" s="303"/>
      <c r="D58" s="979">
        <f t="shared" si="0"/>
        <v>0</v>
      </c>
      <c r="E58" s="978">
        <f t="shared" si="1"/>
        <v>0</v>
      </c>
      <c r="F58" s="978">
        <f t="shared" si="2"/>
        <v>0</v>
      </c>
    </row>
    <row r="59" spans="1:6" s="406" customFormat="1" ht="12" customHeight="1">
      <c r="A59" s="14" t="s">
        <v>704</v>
      </c>
      <c r="B59" s="408" t="s">
        <v>196</v>
      </c>
      <c r="C59" s="303"/>
      <c r="D59" s="980">
        <f t="shared" si="0"/>
        <v>0</v>
      </c>
      <c r="E59" s="981">
        <f t="shared" si="1"/>
        <v>0</v>
      </c>
      <c r="F59" s="981">
        <f t="shared" si="2"/>
        <v>0</v>
      </c>
    </row>
    <row r="60" spans="1:6" s="406" customFormat="1" ht="12" customHeight="1">
      <c r="A60" s="14" t="s">
        <v>756</v>
      </c>
      <c r="B60" s="408" t="s">
        <v>357</v>
      </c>
      <c r="C60" s="303"/>
      <c r="D60" s="980">
        <f t="shared" si="0"/>
        <v>0</v>
      </c>
      <c r="E60" s="981">
        <f t="shared" si="1"/>
        <v>0</v>
      </c>
      <c r="F60" s="981">
        <f t="shared" si="2"/>
        <v>0</v>
      </c>
    </row>
    <row r="61" spans="1:6" s="406" customFormat="1" ht="12" customHeight="1" thickBot="1">
      <c r="A61" s="16" t="s">
        <v>843</v>
      </c>
      <c r="B61" s="409" t="s">
        <v>846</v>
      </c>
      <c r="C61" s="303"/>
      <c r="D61" s="982">
        <f t="shared" si="0"/>
        <v>0</v>
      </c>
      <c r="E61" s="983">
        <f t="shared" si="1"/>
        <v>0</v>
      </c>
      <c r="F61" s="983">
        <f t="shared" si="2"/>
        <v>0</v>
      </c>
    </row>
    <row r="62" spans="1:6" s="406" customFormat="1" ht="12" customHeight="1" thickBot="1">
      <c r="A62" s="20" t="s">
        <v>550</v>
      </c>
      <c r="B62" s="21" t="s">
        <v>847</v>
      </c>
      <c r="C62" s="304">
        <f>+C5+C12+C19+C26+C34+C45+C52+C57</f>
        <v>822717984</v>
      </c>
      <c r="D62" s="298">
        <f t="shared" si="0"/>
        <v>839172343.6800001</v>
      </c>
      <c r="E62" s="298">
        <f t="shared" si="1"/>
        <v>855626703.36</v>
      </c>
      <c r="F62" s="298">
        <f t="shared" si="2"/>
        <v>872081063.0400001</v>
      </c>
    </row>
    <row r="63" spans="1:6" s="406" customFormat="1" ht="12" customHeight="1" thickBot="1">
      <c r="A63" s="410" t="s">
        <v>848</v>
      </c>
      <c r="B63" s="293" t="s">
        <v>849</v>
      </c>
      <c r="C63" s="298">
        <f>SUM(C64:C66)</f>
        <v>0</v>
      </c>
      <c r="D63" s="298">
        <f t="shared" si="0"/>
        <v>0</v>
      </c>
      <c r="E63" s="298">
        <f t="shared" si="1"/>
        <v>0</v>
      </c>
      <c r="F63" s="298">
        <f t="shared" si="2"/>
        <v>0</v>
      </c>
    </row>
    <row r="64" spans="1:6" s="406" customFormat="1" ht="12" customHeight="1">
      <c r="A64" s="15" t="s">
        <v>54</v>
      </c>
      <c r="B64" s="407" t="s">
        <v>850</v>
      </c>
      <c r="C64" s="303"/>
      <c r="D64" s="979">
        <f t="shared" si="0"/>
        <v>0</v>
      </c>
      <c r="E64" s="978">
        <f t="shared" si="1"/>
        <v>0</v>
      </c>
      <c r="F64" s="978">
        <f t="shared" si="2"/>
        <v>0</v>
      </c>
    </row>
    <row r="65" spans="1:6" s="406" customFormat="1" ht="12" customHeight="1">
      <c r="A65" s="14" t="s">
        <v>63</v>
      </c>
      <c r="B65" s="408" t="s">
        <v>851</v>
      </c>
      <c r="C65" s="303"/>
      <c r="D65" s="980">
        <f t="shared" si="0"/>
        <v>0</v>
      </c>
      <c r="E65" s="981">
        <f t="shared" si="1"/>
        <v>0</v>
      </c>
      <c r="F65" s="981">
        <f t="shared" si="2"/>
        <v>0</v>
      </c>
    </row>
    <row r="66" spans="1:6" s="406" customFormat="1" ht="12" customHeight="1" thickBot="1">
      <c r="A66" s="16" t="s">
        <v>64</v>
      </c>
      <c r="B66" s="411" t="s">
        <v>852</v>
      </c>
      <c r="C66" s="303"/>
      <c r="D66" s="982">
        <f t="shared" si="0"/>
        <v>0</v>
      </c>
      <c r="E66" s="983">
        <f t="shared" si="1"/>
        <v>0</v>
      </c>
      <c r="F66" s="983">
        <f t="shared" si="2"/>
        <v>0</v>
      </c>
    </row>
    <row r="67" spans="1:6" s="406" customFormat="1" ht="12" customHeight="1" thickBot="1">
      <c r="A67" s="410" t="s">
        <v>853</v>
      </c>
      <c r="B67" s="293" t="s">
        <v>854</v>
      </c>
      <c r="C67" s="298">
        <f>SUM(C68:C71)</f>
        <v>295000000</v>
      </c>
      <c r="D67" s="298">
        <f t="shared" si="0"/>
        <v>300900000</v>
      </c>
      <c r="E67" s="298">
        <f t="shared" si="1"/>
        <v>306800000</v>
      </c>
      <c r="F67" s="298">
        <f t="shared" si="2"/>
        <v>312700000</v>
      </c>
    </row>
    <row r="68" spans="1:6" s="406" customFormat="1" ht="12" customHeight="1">
      <c r="A68" s="15" t="s">
        <v>671</v>
      </c>
      <c r="B68" s="407" t="s">
        <v>855</v>
      </c>
      <c r="C68" s="303">
        <v>295000000</v>
      </c>
      <c r="D68" s="979">
        <f t="shared" si="0"/>
        <v>300900000</v>
      </c>
      <c r="E68" s="978">
        <f t="shared" si="1"/>
        <v>306800000</v>
      </c>
      <c r="F68" s="978">
        <f t="shared" si="2"/>
        <v>312700000</v>
      </c>
    </row>
    <row r="69" spans="1:6" s="406" customFormat="1" ht="12" customHeight="1">
      <c r="A69" s="14" t="s">
        <v>672</v>
      </c>
      <c r="B69" s="408" t="s">
        <v>856</v>
      </c>
      <c r="C69" s="303"/>
      <c r="D69" s="980">
        <f t="shared" si="0"/>
        <v>0</v>
      </c>
      <c r="E69" s="981">
        <f t="shared" si="1"/>
        <v>0</v>
      </c>
      <c r="F69" s="981">
        <f t="shared" si="2"/>
        <v>0</v>
      </c>
    </row>
    <row r="70" spans="1:6" s="406" customFormat="1" ht="12" customHeight="1">
      <c r="A70" s="14" t="s">
        <v>55</v>
      </c>
      <c r="B70" s="408" t="s">
        <v>857</v>
      </c>
      <c r="C70" s="303"/>
      <c r="D70" s="980">
        <f aca="true" t="shared" si="3" ref="D70:D86">C70*102%</f>
        <v>0</v>
      </c>
      <c r="E70" s="981">
        <f aca="true" t="shared" si="4" ref="E70:E86">C70*104%</f>
        <v>0</v>
      </c>
      <c r="F70" s="981">
        <f aca="true" t="shared" si="5" ref="F70:F86">C70*106%</f>
        <v>0</v>
      </c>
    </row>
    <row r="71" spans="1:6" s="406" customFormat="1" ht="12" customHeight="1" thickBot="1">
      <c r="A71" s="18" t="s">
        <v>56</v>
      </c>
      <c r="B71" s="1011" t="s">
        <v>858</v>
      </c>
      <c r="C71" s="1012"/>
      <c r="D71" s="982">
        <f t="shared" si="3"/>
        <v>0</v>
      </c>
      <c r="E71" s="983">
        <f t="shared" si="4"/>
        <v>0</v>
      </c>
      <c r="F71" s="983">
        <f t="shared" si="5"/>
        <v>0</v>
      </c>
    </row>
    <row r="72" spans="1:6" s="406" customFormat="1" ht="12" customHeight="1" thickBot="1">
      <c r="A72" s="410" t="s">
        <v>859</v>
      </c>
      <c r="B72" s="293" t="s">
        <v>860</v>
      </c>
      <c r="C72" s="298">
        <f>C73</f>
        <v>199880000</v>
      </c>
      <c r="D72" s="298">
        <f t="shared" si="3"/>
        <v>203877600</v>
      </c>
      <c r="E72" s="298">
        <f t="shared" si="4"/>
        <v>207875200</v>
      </c>
      <c r="F72" s="298">
        <f t="shared" si="5"/>
        <v>211872800</v>
      </c>
    </row>
    <row r="73" spans="1:6" s="406" customFormat="1" ht="12" customHeight="1">
      <c r="A73" s="15" t="s">
        <v>57</v>
      </c>
      <c r="B73" s="407" t="s">
        <v>861</v>
      </c>
      <c r="C73" s="1001">
        <v>199880000</v>
      </c>
      <c r="D73" s="979">
        <f t="shared" si="3"/>
        <v>203877600</v>
      </c>
      <c r="E73" s="978">
        <f t="shared" si="4"/>
        <v>207875200</v>
      </c>
      <c r="F73" s="978">
        <f t="shared" si="5"/>
        <v>211872800</v>
      </c>
    </row>
    <row r="74" spans="1:6" s="406" customFormat="1" ht="12" customHeight="1" thickBot="1">
      <c r="A74" s="16" t="s">
        <v>58</v>
      </c>
      <c r="B74" s="409" t="s">
        <v>862</v>
      </c>
      <c r="C74" s="303"/>
      <c r="D74" s="982">
        <f t="shared" si="3"/>
        <v>0</v>
      </c>
      <c r="E74" s="983">
        <f t="shared" si="4"/>
        <v>0</v>
      </c>
      <c r="F74" s="983">
        <f t="shared" si="5"/>
        <v>0</v>
      </c>
    </row>
    <row r="75" spans="1:6" s="406" customFormat="1" ht="12" customHeight="1" thickBot="1">
      <c r="A75" s="410" t="s">
        <v>863</v>
      </c>
      <c r="B75" s="293" t="s">
        <v>864</v>
      </c>
      <c r="C75" s="298">
        <f>SUM(C76:C78)</f>
        <v>0</v>
      </c>
      <c r="D75" s="298">
        <f t="shared" si="3"/>
        <v>0</v>
      </c>
      <c r="E75" s="298">
        <f t="shared" si="4"/>
        <v>0</v>
      </c>
      <c r="F75" s="298">
        <f t="shared" si="5"/>
        <v>0</v>
      </c>
    </row>
    <row r="76" spans="1:6" s="406" customFormat="1" ht="12" customHeight="1">
      <c r="A76" s="15" t="s">
        <v>59</v>
      </c>
      <c r="B76" s="407" t="s">
        <v>865</v>
      </c>
      <c r="C76" s="303"/>
      <c r="D76" s="990">
        <f t="shared" si="3"/>
        <v>0</v>
      </c>
      <c r="E76" s="979">
        <f t="shared" si="4"/>
        <v>0</v>
      </c>
      <c r="F76" s="993">
        <f t="shared" si="5"/>
        <v>0</v>
      </c>
    </row>
    <row r="77" spans="1:6" s="406" customFormat="1" ht="12" customHeight="1">
      <c r="A77" s="14" t="s">
        <v>60</v>
      </c>
      <c r="B77" s="408" t="s">
        <v>866</v>
      </c>
      <c r="C77" s="303"/>
      <c r="D77" s="991">
        <f t="shared" si="3"/>
        <v>0</v>
      </c>
      <c r="E77" s="980">
        <f t="shared" si="4"/>
        <v>0</v>
      </c>
      <c r="F77" s="994">
        <f t="shared" si="5"/>
        <v>0</v>
      </c>
    </row>
    <row r="78" spans="1:6" s="406" customFormat="1" ht="12" customHeight="1" thickBot="1">
      <c r="A78" s="16" t="s">
        <v>61</v>
      </c>
      <c r="B78" s="409" t="s">
        <v>867</v>
      </c>
      <c r="C78" s="303"/>
      <c r="D78" s="992">
        <f t="shared" si="3"/>
        <v>0</v>
      </c>
      <c r="E78" s="982">
        <f t="shared" si="4"/>
        <v>0</v>
      </c>
      <c r="F78" s="995">
        <f t="shared" si="5"/>
        <v>0</v>
      </c>
    </row>
    <row r="79" spans="1:6" s="406" customFormat="1" ht="12" customHeight="1" thickBot="1">
      <c r="A79" s="410" t="s">
        <v>868</v>
      </c>
      <c r="B79" s="293" t="s">
        <v>62</v>
      </c>
      <c r="C79" s="298">
        <f>SUM(C80:C83)</f>
        <v>0</v>
      </c>
      <c r="D79" s="298">
        <f t="shared" si="3"/>
        <v>0</v>
      </c>
      <c r="E79" s="298">
        <f t="shared" si="4"/>
        <v>0</v>
      </c>
      <c r="F79" s="298">
        <f t="shared" si="5"/>
        <v>0</v>
      </c>
    </row>
    <row r="80" spans="1:6" s="406" customFormat="1" ht="12" customHeight="1">
      <c r="A80" s="412" t="s">
        <v>869</v>
      </c>
      <c r="B80" s="407" t="s">
        <v>42</v>
      </c>
      <c r="C80" s="996"/>
      <c r="D80" s="979">
        <f t="shared" si="3"/>
        <v>0</v>
      </c>
      <c r="E80" s="979">
        <f t="shared" si="4"/>
        <v>0</v>
      </c>
      <c r="F80" s="993">
        <f t="shared" si="5"/>
        <v>0</v>
      </c>
    </row>
    <row r="81" spans="1:6" s="406" customFormat="1" ht="12" customHeight="1">
      <c r="A81" s="413" t="s">
        <v>43</v>
      </c>
      <c r="B81" s="408" t="s">
        <v>44</v>
      </c>
      <c r="C81" s="996"/>
      <c r="D81" s="980">
        <f t="shared" si="3"/>
        <v>0</v>
      </c>
      <c r="E81" s="980">
        <f t="shared" si="4"/>
        <v>0</v>
      </c>
      <c r="F81" s="994">
        <f t="shared" si="5"/>
        <v>0</v>
      </c>
    </row>
    <row r="82" spans="1:6" s="406" customFormat="1" ht="12" customHeight="1">
      <c r="A82" s="413" t="s">
        <v>45</v>
      </c>
      <c r="B82" s="408" t="s">
        <v>46</v>
      </c>
      <c r="C82" s="996"/>
      <c r="D82" s="980">
        <f t="shared" si="3"/>
        <v>0</v>
      </c>
      <c r="E82" s="980">
        <f t="shared" si="4"/>
        <v>0</v>
      </c>
      <c r="F82" s="994">
        <f t="shared" si="5"/>
        <v>0</v>
      </c>
    </row>
    <row r="83" spans="1:6" s="406" customFormat="1" ht="12" customHeight="1" thickBot="1">
      <c r="A83" s="414" t="s">
        <v>47</v>
      </c>
      <c r="B83" s="409" t="s">
        <v>48</v>
      </c>
      <c r="C83" s="996"/>
      <c r="D83" s="982">
        <f t="shared" si="3"/>
        <v>0</v>
      </c>
      <c r="E83" s="982">
        <f t="shared" si="4"/>
        <v>0</v>
      </c>
      <c r="F83" s="995">
        <f t="shared" si="5"/>
        <v>0</v>
      </c>
    </row>
    <row r="84" spans="1:6" s="406" customFormat="1" ht="13.5" customHeight="1" thickBot="1">
      <c r="A84" s="410" t="s">
        <v>49</v>
      </c>
      <c r="B84" s="293" t="s">
        <v>50</v>
      </c>
      <c r="C84" s="452"/>
      <c r="D84" s="298">
        <f t="shared" si="3"/>
        <v>0</v>
      </c>
      <c r="E84" s="298">
        <f t="shared" si="4"/>
        <v>0</v>
      </c>
      <c r="F84" s="298">
        <f t="shared" si="5"/>
        <v>0</v>
      </c>
    </row>
    <row r="85" spans="1:6" s="406" customFormat="1" ht="15.75" customHeight="1" thickBot="1">
      <c r="A85" s="410" t="s">
        <v>51</v>
      </c>
      <c r="B85" s="415" t="s">
        <v>52</v>
      </c>
      <c r="C85" s="304">
        <f>+C63+C67+C72+C75+C79+C84</f>
        <v>494880000</v>
      </c>
      <c r="D85" s="298">
        <f t="shared" si="3"/>
        <v>504777600</v>
      </c>
      <c r="E85" s="298">
        <f t="shared" si="4"/>
        <v>514675200</v>
      </c>
      <c r="F85" s="298">
        <f t="shared" si="5"/>
        <v>524572800</v>
      </c>
    </row>
    <row r="86" spans="1:6" s="406" customFormat="1" ht="16.5" customHeight="1" thickBot="1">
      <c r="A86" s="416" t="s">
        <v>65</v>
      </c>
      <c r="B86" s="417" t="s">
        <v>53</v>
      </c>
      <c r="C86" s="304">
        <f>+C62+C85</f>
        <v>1317597984</v>
      </c>
      <c r="D86" s="298">
        <f t="shared" si="3"/>
        <v>1343949943.68</v>
      </c>
      <c r="E86" s="298">
        <f t="shared" si="4"/>
        <v>1370301903.3600001</v>
      </c>
      <c r="F86" s="298">
        <f t="shared" si="5"/>
        <v>1396653863.04</v>
      </c>
    </row>
    <row r="87" spans="1:6" s="406" customFormat="1" ht="16.5" customHeight="1">
      <c r="A87" s="740"/>
      <c r="B87" s="740"/>
      <c r="C87" s="741"/>
      <c r="D87" s="741"/>
      <c r="E87" s="741"/>
      <c r="F87" s="741"/>
    </row>
    <row r="88" spans="1:3" ht="16.5" customHeight="1">
      <c r="A88" s="1062" t="s">
        <v>570</v>
      </c>
      <c r="B88" s="1062"/>
      <c r="C88" s="1062"/>
    </row>
    <row r="89" spans="1:6" s="418" customFormat="1" ht="16.5" customHeight="1" thickBot="1">
      <c r="A89" s="1063" t="s">
        <v>675</v>
      </c>
      <c r="B89" s="1063"/>
      <c r="C89" s="139"/>
      <c r="D89" s="139"/>
      <c r="E89" s="139"/>
      <c r="F89" s="139"/>
    </row>
    <row r="90" spans="1:6" ht="37.5" customHeight="1" thickBot="1">
      <c r="A90" s="23" t="s">
        <v>595</v>
      </c>
      <c r="B90" s="24" t="s">
        <v>571</v>
      </c>
      <c r="C90" s="39" t="s">
        <v>877</v>
      </c>
      <c r="D90" s="39" t="s">
        <v>448</v>
      </c>
      <c r="E90" s="39" t="s">
        <v>449</v>
      </c>
      <c r="F90" s="39" t="s">
        <v>878</v>
      </c>
    </row>
    <row r="91" spans="1:6" s="405" customFormat="1" ht="12" customHeight="1" thickBot="1">
      <c r="A91" s="32">
        <v>1</v>
      </c>
      <c r="B91" s="33">
        <v>2</v>
      </c>
      <c r="C91" s="34">
        <v>3</v>
      </c>
      <c r="D91" s="34">
        <v>4</v>
      </c>
      <c r="E91" s="34">
        <v>5</v>
      </c>
      <c r="F91" s="34">
        <v>6</v>
      </c>
    </row>
    <row r="92" spans="1:6" ht="12" customHeight="1" thickBot="1">
      <c r="A92" s="22" t="s">
        <v>542</v>
      </c>
      <c r="B92" s="31" t="s">
        <v>68</v>
      </c>
      <c r="C92" s="297">
        <f>C93+C94+C95+C96+C97</f>
        <v>626926195</v>
      </c>
      <c r="D92" s="297">
        <f>C92*102%</f>
        <v>639464718.9</v>
      </c>
      <c r="E92" s="297">
        <f>C92*104%</f>
        <v>652003242.8000001</v>
      </c>
      <c r="F92" s="297">
        <f>C92*106%</f>
        <v>664541766.7</v>
      </c>
    </row>
    <row r="93" spans="1:6" ht="12" customHeight="1">
      <c r="A93" s="17" t="s">
        <v>625</v>
      </c>
      <c r="B93" s="10" t="s">
        <v>572</v>
      </c>
      <c r="C93" s="1000">
        <v>207127000</v>
      </c>
      <c r="D93" s="979">
        <f aca="true" t="shared" si="6" ref="D93:D148">C93*102%</f>
        <v>211269540</v>
      </c>
      <c r="E93" s="978">
        <f aca="true" t="shared" si="7" ref="E93:E146">C93*104%</f>
        <v>215412080</v>
      </c>
      <c r="F93" s="978">
        <f aca="true" t="shared" si="8" ref="F93:F146">C93*106%</f>
        <v>219554620</v>
      </c>
    </row>
    <row r="94" spans="1:6" ht="12" customHeight="1">
      <c r="A94" s="14" t="s">
        <v>626</v>
      </c>
      <c r="B94" s="8" t="s">
        <v>705</v>
      </c>
      <c r="C94" s="1001">
        <v>49032554</v>
      </c>
      <c r="D94" s="980">
        <f t="shared" si="6"/>
        <v>50013205.08</v>
      </c>
      <c r="E94" s="981">
        <f t="shared" si="7"/>
        <v>50993856.160000004</v>
      </c>
      <c r="F94" s="981">
        <f t="shared" si="8"/>
        <v>51974507.24</v>
      </c>
    </row>
    <row r="95" spans="1:6" ht="12" customHeight="1">
      <c r="A95" s="14" t="s">
        <v>627</v>
      </c>
      <c r="B95" s="8" t="s">
        <v>662</v>
      </c>
      <c r="C95" s="1002">
        <v>217013000</v>
      </c>
      <c r="D95" s="980">
        <f t="shared" si="6"/>
        <v>221353260</v>
      </c>
      <c r="E95" s="981">
        <f t="shared" si="7"/>
        <v>225693520</v>
      </c>
      <c r="F95" s="981">
        <f t="shared" si="8"/>
        <v>230033780</v>
      </c>
    </row>
    <row r="96" spans="1:6" ht="12" customHeight="1">
      <c r="A96" s="14" t="s">
        <v>628</v>
      </c>
      <c r="B96" s="11" t="s">
        <v>706</v>
      </c>
      <c r="C96" s="1002">
        <v>9611000</v>
      </c>
      <c r="D96" s="980">
        <f t="shared" si="6"/>
        <v>9803220</v>
      </c>
      <c r="E96" s="981">
        <f t="shared" si="7"/>
        <v>9995440</v>
      </c>
      <c r="F96" s="981">
        <f t="shared" si="8"/>
        <v>10187660</v>
      </c>
    </row>
    <row r="97" spans="1:6" ht="12" customHeight="1">
      <c r="A97" s="14" t="s">
        <v>639</v>
      </c>
      <c r="B97" s="19" t="s">
        <v>707</v>
      </c>
      <c r="C97" s="1002">
        <v>144142641</v>
      </c>
      <c r="D97" s="980">
        <f t="shared" si="6"/>
        <v>147025493.82</v>
      </c>
      <c r="E97" s="981">
        <f t="shared" si="7"/>
        <v>149908346.64000002</v>
      </c>
      <c r="F97" s="981">
        <f t="shared" si="8"/>
        <v>152791199.46</v>
      </c>
    </row>
    <row r="98" spans="1:6" ht="12" customHeight="1">
      <c r="A98" s="14" t="s">
        <v>629</v>
      </c>
      <c r="B98" s="8" t="s">
        <v>69</v>
      </c>
      <c r="C98" s="1002"/>
      <c r="D98" s="980">
        <f t="shared" si="6"/>
        <v>0</v>
      </c>
      <c r="E98" s="981">
        <f t="shared" si="7"/>
        <v>0</v>
      </c>
      <c r="F98" s="981">
        <f t="shared" si="8"/>
        <v>0</v>
      </c>
    </row>
    <row r="99" spans="1:6" ht="12" customHeight="1">
      <c r="A99" s="14" t="s">
        <v>630</v>
      </c>
      <c r="B99" s="141" t="s">
        <v>70</v>
      </c>
      <c r="C99" s="1002"/>
      <c r="D99" s="980">
        <f t="shared" si="6"/>
        <v>0</v>
      </c>
      <c r="E99" s="981">
        <f t="shared" si="7"/>
        <v>0</v>
      </c>
      <c r="F99" s="981">
        <f t="shared" si="8"/>
        <v>0</v>
      </c>
    </row>
    <row r="100" spans="1:6" ht="12" customHeight="1">
      <c r="A100" s="14" t="s">
        <v>640</v>
      </c>
      <c r="B100" s="142" t="s">
        <v>71</v>
      </c>
      <c r="C100" s="1002"/>
      <c r="D100" s="980">
        <f t="shared" si="6"/>
        <v>0</v>
      </c>
      <c r="E100" s="981">
        <f t="shared" si="7"/>
        <v>0</v>
      </c>
      <c r="F100" s="981">
        <f t="shared" si="8"/>
        <v>0</v>
      </c>
    </row>
    <row r="101" spans="1:6" ht="12" customHeight="1">
      <c r="A101" s="14" t="s">
        <v>641</v>
      </c>
      <c r="B101" s="142" t="s">
        <v>72</v>
      </c>
      <c r="C101" s="1002"/>
      <c r="D101" s="980">
        <f t="shared" si="6"/>
        <v>0</v>
      </c>
      <c r="E101" s="981">
        <f t="shared" si="7"/>
        <v>0</v>
      </c>
      <c r="F101" s="981">
        <f t="shared" si="8"/>
        <v>0</v>
      </c>
    </row>
    <row r="102" spans="1:6" ht="12" customHeight="1">
      <c r="A102" s="14" t="s">
        <v>642</v>
      </c>
      <c r="B102" s="141" t="s">
        <v>267</v>
      </c>
      <c r="C102" s="1002">
        <v>138942641</v>
      </c>
      <c r="D102" s="980">
        <f t="shared" si="6"/>
        <v>141721493.82</v>
      </c>
      <c r="E102" s="981">
        <f t="shared" si="7"/>
        <v>144500346.64000002</v>
      </c>
      <c r="F102" s="981">
        <f t="shared" si="8"/>
        <v>147279199.46</v>
      </c>
    </row>
    <row r="103" spans="1:6" ht="12" customHeight="1">
      <c r="A103" s="14" t="s">
        <v>643</v>
      </c>
      <c r="B103" s="141" t="s">
        <v>355</v>
      </c>
      <c r="C103" s="1002">
        <v>2000000</v>
      </c>
      <c r="D103" s="980">
        <f t="shared" si="6"/>
        <v>2040000</v>
      </c>
      <c r="E103" s="981">
        <f t="shared" si="7"/>
        <v>2080000</v>
      </c>
      <c r="F103" s="981">
        <f t="shared" si="8"/>
        <v>2120000</v>
      </c>
    </row>
    <row r="104" spans="1:6" ht="12" customHeight="1">
      <c r="A104" s="14" t="s">
        <v>645</v>
      </c>
      <c r="B104" s="142" t="s">
        <v>75</v>
      </c>
      <c r="C104" s="1002"/>
      <c r="D104" s="980">
        <f t="shared" si="6"/>
        <v>0</v>
      </c>
      <c r="E104" s="981">
        <f t="shared" si="7"/>
        <v>0</v>
      </c>
      <c r="F104" s="981">
        <f t="shared" si="8"/>
        <v>0</v>
      </c>
    </row>
    <row r="105" spans="1:6" ht="12" customHeight="1">
      <c r="A105" s="13" t="s">
        <v>708</v>
      </c>
      <c r="B105" s="143" t="s">
        <v>76</v>
      </c>
      <c r="C105" s="1002"/>
      <c r="D105" s="980">
        <f t="shared" si="6"/>
        <v>0</v>
      </c>
      <c r="E105" s="981">
        <f t="shared" si="7"/>
        <v>0</v>
      </c>
      <c r="F105" s="981">
        <f t="shared" si="8"/>
        <v>0</v>
      </c>
    </row>
    <row r="106" spans="1:6" ht="12" customHeight="1">
      <c r="A106" s="14" t="s">
        <v>66</v>
      </c>
      <c r="B106" s="142" t="s">
        <v>345</v>
      </c>
      <c r="C106" s="1002"/>
      <c r="D106" s="980">
        <f t="shared" si="6"/>
        <v>0</v>
      </c>
      <c r="E106" s="981">
        <f t="shared" si="7"/>
        <v>0</v>
      </c>
      <c r="F106" s="981">
        <f t="shared" si="8"/>
        <v>0</v>
      </c>
    </row>
    <row r="107" spans="1:6" ht="12" customHeight="1" thickBot="1">
      <c r="A107" s="18" t="s">
        <v>67</v>
      </c>
      <c r="B107" s="678" t="s">
        <v>78</v>
      </c>
      <c r="C107" s="1003">
        <v>3200000</v>
      </c>
      <c r="D107" s="982">
        <f t="shared" si="6"/>
        <v>3264000</v>
      </c>
      <c r="E107" s="983">
        <f t="shared" si="7"/>
        <v>3328000</v>
      </c>
      <c r="F107" s="983">
        <f t="shared" si="8"/>
        <v>3392000</v>
      </c>
    </row>
    <row r="108" spans="1:6" ht="12" customHeight="1" thickBot="1">
      <c r="A108" s="20" t="s">
        <v>543</v>
      </c>
      <c r="B108" s="30" t="s">
        <v>79</v>
      </c>
      <c r="C108" s="304">
        <f>+C109+C111+C113</f>
        <v>321411285</v>
      </c>
      <c r="D108" s="297">
        <f t="shared" si="6"/>
        <v>327839510.7</v>
      </c>
      <c r="E108" s="297">
        <f t="shared" si="7"/>
        <v>334267736.40000004</v>
      </c>
      <c r="F108" s="297">
        <f t="shared" si="8"/>
        <v>340695962.1</v>
      </c>
    </row>
    <row r="109" spans="1:6" ht="12" customHeight="1">
      <c r="A109" s="15" t="s">
        <v>631</v>
      </c>
      <c r="B109" s="8" t="s">
        <v>356</v>
      </c>
      <c r="C109" s="1004">
        <v>140411285</v>
      </c>
      <c r="D109" s="979">
        <f t="shared" si="6"/>
        <v>143219510.7</v>
      </c>
      <c r="E109" s="979">
        <f t="shared" si="7"/>
        <v>146027736.4</v>
      </c>
      <c r="F109" s="979">
        <f t="shared" si="8"/>
        <v>148835962.1</v>
      </c>
    </row>
    <row r="110" spans="1:6" ht="12" customHeight="1">
      <c r="A110" s="15" t="s">
        <v>632</v>
      </c>
      <c r="B110" s="12" t="s">
        <v>83</v>
      </c>
      <c r="C110" s="1004"/>
      <c r="D110" s="980">
        <f t="shared" si="6"/>
        <v>0</v>
      </c>
      <c r="E110" s="980">
        <f t="shared" si="7"/>
        <v>0</v>
      </c>
      <c r="F110" s="980">
        <f t="shared" si="8"/>
        <v>0</v>
      </c>
    </row>
    <row r="111" spans="1:6" ht="12" customHeight="1">
      <c r="A111" s="15" t="s">
        <v>633</v>
      </c>
      <c r="B111" s="12" t="s">
        <v>709</v>
      </c>
      <c r="C111" s="1001">
        <v>181000000</v>
      </c>
      <c r="D111" s="980">
        <f t="shared" si="6"/>
        <v>184620000</v>
      </c>
      <c r="E111" s="980">
        <f t="shared" si="7"/>
        <v>188240000</v>
      </c>
      <c r="F111" s="980">
        <f t="shared" si="8"/>
        <v>191860000</v>
      </c>
    </row>
    <row r="112" spans="1:6" ht="12" customHeight="1">
      <c r="A112" s="15" t="s">
        <v>634</v>
      </c>
      <c r="B112" s="12" t="s">
        <v>84</v>
      </c>
      <c r="C112" s="1005"/>
      <c r="D112" s="980">
        <f t="shared" si="6"/>
        <v>0</v>
      </c>
      <c r="E112" s="980">
        <f t="shared" si="7"/>
        <v>0</v>
      </c>
      <c r="F112" s="980">
        <f t="shared" si="8"/>
        <v>0</v>
      </c>
    </row>
    <row r="113" spans="1:6" ht="12" customHeight="1">
      <c r="A113" s="15" t="s">
        <v>635</v>
      </c>
      <c r="B113" s="295" t="s">
        <v>757</v>
      </c>
      <c r="C113" s="1005"/>
      <c r="D113" s="980">
        <f t="shared" si="6"/>
        <v>0</v>
      </c>
      <c r="E113" s="980">
        <f t="shared" si="7"/>
        <v>0</v>
      </c>
      <c r="F113" s="980">
        <f t="shared" si="8"/>
        <v>0</v>
      </c>
    </row>
    <row r="114" spans="1:6" ht="12" customHeight="1">
      <c r="A114" s="15" t="s">
        <v>644</v>
      </c>
      <c r="B114" s="294" t="s">
        <v>197</v>
      </c>
      <c r="C114" s="1005"/>
      <c r="D114" s="980">
        <f t="shared" si="6"/>
        <v>0</v>
      </c>
      <c r="E114" s="980">
        <f t="shared" si="7"/>
        <v>0</v>
      </c>
      <c r="F114" s="980">
        <f t="shared" si="8"/>
        <v>0</v>
      </c>
    </row>
    <row r="115" spans="1:6" ht="12" customHeight="1">
      <c r="A115" s="15" t="s">
        <v>646</v>
      </c>
      <c r="B115" s="403" t="s">
        <v>89</v>
      </c>
      <c r="C115" s="1005"/>
      <c r="D115" s="980">
        <f t="shared" si="6"/>
        <v>0</v>
      </c>
      <c r="E115" s="980">
        <f t="shared" si="7"/>
        <v>0</v>
      </c>
      <c r="F115" s="980">
        <f t="shared" si="8"/>
        <v>0</v>
      </c>
    </row>
    <row r="116" spans="1:6" ht="15.75">
      <c r="A116" s="15" t="s">
        <v>710</v>
      </c>
      <c r="B116" s="142" t="s">
        <v>387</v>
      </c>
      <c r="C116" s="1005"/>
      <c r="D116" s="980">
        <f t="shared" si="6"/>
        <v>0</v>
      </c>
      <c r="E116" s="980">
        <f t="shared" si="7"/>
        <v>0</v>
      </c>
      <c r="F116" s="980">
        <f t="shared" si="8"/>
        <v>0</v>
      </c>
    </row>
    <row r="117" spans="1:6" ht="12" customHeight="1">
      <c r="A117" s="15" t="s">
        <v>711</v>
      </c>
      <c r="B117" s="142" t="s">
        <v>352</v>
      </c>
      <c r="C117" s="1005"/>
      <c r="D117" s="980">
        <f t="shared" si="6"/>
        <v>0</v>
      </c>
      <c r="E117" s="980">
        <f t="shared" si="7"/>
        <v>0</v>
      </c>
      <c r="F117" s="980">
        <f t="shared" si="8"/>
        <v>0</v>
      </c>
    </row>
    <row r="118" spans="1:6" ht="12" customHeight="1">
      <c r="A118" s="15" t="s">
        <v>712</v>
      </c>
      <c r="B118" s="142" t="s">
        <v>87</v>
      </c>
      <c r="C118" s="1005"/>
      <c r="D118" s="980">
        <f t="shared" si="6"/>
        <v>0</v>
      </c>
      <c r="E118" s="980">
        <f t="shared" si="7"/>
        <v>0</v>
      </c>
      <c r="F118" s="980">
        <f t="shared" si="8"/>
        <v>0</v>
      </c>
    </row>
    <row r="119" spans="1:6" ht="12" customHeight="1">
      <c r="A119" s="15" t="s">
        <v>80</v>
      </c>
      <c r="B119" s="142" t="s">
        <v>75</v>
      </c>
      <c r="C119" s="1005"/>
      <c r="D119" s="980">
        <f t="shared" si="6"/>
        <v>0</v>
      </c>
      <c r="E119" s="980">
        <f t="shared" si="7"/>
        <v>0</v>
      </c>
      <c r="F119" s="980">
        <f t="shared" si="8"/>
        <v>0</v>
      </c>
    </row>
    <row r="120" spans="1:6" ht="12" customHeight="1">
      <c r="A120" s="15" t="s">
        <v>81</v>
      </c>
      <c r="B120" s="142" t="s">
        <v>86</v>
      </c>
      <c r="C120" s="1005"/>
      <c r="D120" s="980">
        <f t="shared" si="6"/>
        <v>0</v>
      </c>
      <c r="E120" s="980">
        <f t="shared" si="7"/>
        <v>0</v>
      </c>
      <c r="F120" s="980">
        <f t="shared" si="8"/>
        <v>0</v>
      </c>
    </row>
    <row r="121" spans="1:6" ht="16.5" thickBot="1">
      <c r="A121" s="13" t="s">
        <v>82</v>
      </c>
      <c r="B121" s="142" t="s">
        <v>268</v>
      </c>
      <c r="C121" s="1006"/>
      <c r="D121" s="982">
        <f t="shared" si="6"/>
        <v>0</v>
      </c>
      <c r="E121" s="982">
        <f t="shared" si="7"/>
        <v>0</v>
      </c>
      <c r="F121" s="982">
        <f t="shared" si="8"/>
        <v>0</v>
      </c>
    </row>
    <row r="122" spans="1:6" ht="12" customHeight="1" thickBot="1">
      <c r="A122" s="20" t="s">
        <v>544</v>
      </c>
      <c r="B122" s="124" t="s">
        <v>90</v>
      </c>
      <c r="C122" s="304">
        <f>+C123+C124</f>
        <v>369260504</v>
      </c>
      <c r="D122" s="297">
        <f t="shared" si="6"/>
        <v>376645714.08</v>
      </c>
      <c r="E122" s="297">
        <f t="shared" si="7"/>
        <v>384030924.16</v>
      </c>
      <c r="F122" s="297">
        <f t="shared" si="8"/>
        <v>391416134.24</v>
      </c>
    </row>
    <row r="123" spans="1:6" ht="12" customHeight="1">
      <c r="A123" s="15" t="s">
        <v>614</v>
      </c>
      <c r="B123" s="9" t="s">
        <v>583</v>
      </c>
      <c r="C123" s="1000">
        <v>38342762</v>
      </c>
      <c r="D123" s="978">
        <f t="shared" si="6"/>
        <v>39109617.24</v>
      </c>
      <c r="E123" s="978">
        <f t="shared" si="7"/>
        <v>39876472.480000004</v>
      </c>
      <c r="F123" s="978">
        <f t="shared" si="8"/>
        <v>40643327.72</v>
      </c>
    </row>
    <row r="124" spans="1:6" ht="12" customHeight="1" thickBot="1">
      <c r="A124" s="16" t="s">
        <v>615</v>
      </c>
      <c r="B124" s="12" t="s">
        <v>584</v>
      </c>
      <c r="C124" s="1003">
        <v>330917742</v>
      </c>
      <c r="D124" s="983">
        <f t="shared" si="6"/>
        <v>337536096.84000003</v>
      </c>
      <c r="E124" s="983">
        <f t="shared" si="7"/>
        <v>344154451.68</v>
      </c>
      <c r="F124" s="983">
        <f t="shared" si="8"/>
        <v>350772806.52000004</v>
      </c>
    </row>
    <row r="125" spans="1:6" ht="12" customHeight="1" thickBot="1">
      <c r="A125" s="20" t="s">
        <v>545</v>
      </c>
      <c r="B125" s="124" t="s">
        <v>91</v>
      </c>
      <c r="C125" s="298">
        <f>+C92+C108+C122</f>
        <v>1317597984</v>
      </c>
      <c r="D125" s="297">
        <f t="shared" si="6"/>
        <v>1343949943.68</v>
      </c>
      <c r="E125" s="297">
        <f t="shared" si="7"/>
        <v>1370301903.3600001</v>
      </c>
      <c r="F125" s="297">
        <f t="shared" si="8"/>
        <v>1396653863.04</v>
      </c>
    </row>
    <row r="126" spans="1:6" ht="12" customHeight="1" thickBot="1">
      <c r="A126" s="20" t="s">
        <v>546</v>
      </c>
      <c r="B126" s="124" t="s">
        <v>92</v>
      </c>
      <c r="C126" s="298">
        <f>+C127+C128+C129</f>
        <v>0</v>
      </c>
      <c r="D126" s="297">
        <f t="shared" si="6"/>
        <v>0</v>
      </c>
      <c r="E126" s="297">
        <f t="shared" si="7"/>
        <v>0</v>
      </c>
      <c r="F126" s="297">
        <f t="shared" si="8"/>
        <v>0</v>
      </c>
    </row>
    <row r="127" spans="1:6" ht="12" customHeight="1">
      <c r="A127" s="15" t="s">
        <v>618</v>
      </c>
      <c r="B127" s="9" t="s">
        <v>93</v>
      </c>
      <c r="C127" s="271"/>
      <c r="D127" s="979">
        <f t="shared" si="6"/>
        <v>0</v>
      </c>
      <c r="E127" s="978">
        <f t="shared" si="7"/>
        <v>0</v>
      </c>
      <c r="F127" s="978">
        <f t="shared" si="8"/>
        <v>0</v>
      </c>
    </row>
    <row r="128" spans="1:6" ht="12" customHeight="1">
      <c r="A128" s="15" t="s">
        <v>619</v>
      </c>
      <c r="B128" s="9" t="s">
        <v>94</v>
      </c>
      <c r="C128" s="271"/>
      <c r="D128" s="980">
        <f t="shared" si="6"/>
        <v>0</v>
      </c>
      <c r="E128" s="981">
        <f t="shared" si="7"/>
        <v>0</v>
      </c>
      <c r="F128" s="981">
        <f t="shared" si="8"/>
        <v>0</v>
      </c>
    </row>
    <row r="129" spans="1:6" ht="12" customHeight="1" thickBot="1">
      <c r="A129" s="13" t="s">
        <v>620</v>
      </c>
      <c r="B129" s="7" t="s">
        <v>95</v>
      </c>
      <c r="C129" s="271"/>
      <c r="D129" s="982">
        <f t="shared" si="6"/>
        <v>0</v>
      </c>
      <c r="E129" s="983">
        <f t="shared" si="7"/>
        <v>0</v>
      </c>
      <c r="F129" s="983">
        <f t="shared" si="8"/>
        <v>0</v>
      </c>
    </row>
    <row r="130" spans="1:6" ht="12" customHeight="1" thickBot="1">
      <c r="A130" s="20" t="s">
        <v>547</v>
      </c>
      <c r="B130" s="124" t="s">
        <v>156</v>
      </c>
      <c r="C130" s="298">
        <f>+C131+C132+C133+C134</f>
        <v>0</v>
      </c>
      <c r="D130" s="297">
        <f t="shared" si="6"/>
        <v>0</v>
      </c>
      <c r="E130" s="297">
        <f t="shared" si="7"/>
        <v>0</v>
      </c>
      <c r="F130" s="297">
        <f t="shared" si="8"/>
        <v>0</v>
      </c>
    </row>
    <row r="131" spans="1:6" ht="12" customHeight="1">
      <c r="A131" s="15" t="s">
        <v>621</v>
      </c>
      <c r="B131" s="9" t="s">
        <v>96</v>
      </c>
      <c r="C131" s="271"/>
      <c r="D131" s="979">
        <f t="shared" si="6"/>
        <v>0</v>
      </c>
      <c r="E131" s="978">
        <f t="shared" si="7"/>
        <v>0</v>
      </c>
      <c r="F131" s="978">
        <f t="shared" si="8"/>
        <v>0</v>
      </c>
    </row>
    <row r="132" spans="1:6" ht="12" customHeight="1">
      <c r="A132" s="15" t="s">
        <v>622</v>
      </c>
      <c r="B132" s="9" t="s">
        <v>97</v>
      </c>
      <c r="C132" s="271"/>
      <c r="D132" s="980">
        <f t="shared" si="6"/>
        <v>0</v>
      </c>
      <c r="E132" s="981">
        <f t="shared" si="7"/>
        <v>0</v>
      </c>
      <c r="F132" s="981">
        <f t="shared" si="8"/>
        <v>0</v>
      </c>
    </row>
    <row r="133" spans="1:6" ht="12" customHeight="1">
      <c r="A133" s="14" t="s">
        <v>828</v>
      </c>
      <c r="B133" s="8" t="s">
        <v>98</v>
      </c>
      <c r="C133" s="271"/>
      <c r="D133" s="980">
        <f t="shared" si="6"/>
        <v>0</v>
      </c>
      <c r="E133" s="981">
        <f t="shared" si="7"/>
        <v>0</v>
      </c>
      <c r="F133" s="981">
        <f t="shared" si="8"/>
        <v>0</v>
      </c>
    </row>
    <row r="134" spans="1:6" ht="12" customHeight="1" thickBot="1">
      <c r="A134" s="1008" t="s">
        <v>829</v>
      </c>
      <c r="B134" s="1009" t="s">
        <v>99</v>
      </c>
      <c r="C134" s="1010"/>
      <c r="D134" s="982">
        <f t="shared" si="6"/>
        <v>0</v>
      </c>
      <c r="E134" s="983">
        <f t="shared" si="7"/>
        <v>0</v>
      </c>
      <c r="F134" s="983">
        <f t="shared" si="8"/>
        <v>0</v>
      </c>
    </row>
    <row r="135" spans="1:6" ht="12" customHeight="1" thickBot="1">
      <c r="A135" s="20" t="s">
        <v>548</v>
      </c>
      <c r="B135" s="124" t="s">
        <v>100</v>
      </c>
      <c r="C135" s="304">
        <f>+C136+C137+C138+C139</f>
        <v>0</v>
      </c>
      <c r="D135" s="297">
        <f t="shared" si="6"/>
        <v>0</v>
      </c>
      <c r="E135" s="297">
        <f t="shared" si="7"/>
        <v>0</v>
      </c>
      <c r="F135" s="297">
        <f t="shared" si="8"/>
        <v>0</v>
      </c>
    </row>
    <row r="136" spans="1:6" ht="12" customHeight="1">
      <c r="A136" s="15" t="s">
        <v>623</v>
      </c>
      <c r="B136" s="9" t="s">
        <v>101</v>
      </c>
      <c r="C136" s="271"/>
      <c r="D136" s="979">
        <f t="shared" si="6"/>
        <v>0</v>
      </c>
      <c r="E136" s="979">
        <f t="shared" si="7"/>
        <v>0</v>
      </c>
      <c r="F136" s="979">
        <f t="shared" si="8"/>
        <v>0</v>
      </c>
    </row>
    <row r="137" spans="1:6" ht="12" customHeight="1">
      <c r="A137" s="15" t="s">
        <v>624</v>
      </c>
      <c r="B137" s="9" t="s">
        <v>111</v>
      </c>
      <c r="C137" s="271"/>
      <c r="D137" s="980">
        <f t="shared" si="6"/>
        <v>0</v>
      </c>
      <c r="E137" s="980">
        <f t="shared" si="7"/>
        <v>0</v>
      </c>
      <c r="F137" s="980">
        <f t="shared" si="8"/>
        <v>0</v>
      </c>
    </row>
    <row r="138" spans="1:6" ht="12" customHeight="1">
      <c r="A138" s="15" t="s">
        <v>840</v>
      </c>
      <c r="B138" s="9" t="s">
        <v>102</v>
      </c>
      <c r="C138" s="271"/>
      <c r="D138" s="980">
        <f t="shared" si="6"/>
        <v>0</v>
      </c>
      <c r="E138" s="980">
        <f t="shared" si="7"/>
        <v>0</v>
      </c>
      <c r="F138" s="980">
        <f t="shared" si="8"/>
        <v>0</v>
      </c>
    </row>
    <row r="139" spans="1:6" ht="12" customHeight="1" thickBot="1">
      <c r="A139" s="13" t="s">
        <v>841</v>
      </c>
      <c r="B139" s="7" t="s">
        <v>103</v>
      </c>
      <c r="C139" s="271"/>
      <c r="D139" s="982">
        <f t="shared" si="6"/>
        <v>0</v>
      </c>
      <c r="E139" s="982">
        <f t="shared" si="7"/>
        <v>0</v>
      </c>
      <c r="F139" s="982">
        <f t="shared" si="8"/>
        <v>0</v>
      </c>
    </row>
    <row r="140" spans="1:6" ht="12" customHeight="1" thickBot="1">
      <c r="A140" s="20" t="s">
        <v>549</v>
      </c>
      <c r="B140" s="124" t="s">
        <v>104</v>
      </c>
      <c r="C140" s="307">
        <f>+C141+C142+C143+C144</f>
        <v>0</v>
      </c>
      <c r="D140" s="297">
        <f t="shared" si="6"/>
        <v>0</v>
      </c>
      <c r="E140" s="297">
        <f t="shared" si="7"/>
        <v>0</v>
      </c>
      <c r="F140" s="297">
        <f t="shared" si="8"/>
        <v>0</v>
      </c>
    </row>
    <row r="141" spans="1:6" ht="12" customHeight="1">
      <c r="A141" s="15" t="s">
        <v>703</v>
      </c>
      <c r="B141" s="9" t="s">
        <v>105</v>
      </c>
      <c r="C141" s="271"/>
      <c r="D141" s="984">
        <f t="shared" si="6"/>
        <v>0</v>
      </c>
      <c r="E141" s="985">
        <f t="shared" si="7"/>
        <v>0</v>
      </c>
      <c r="F141" s="978">
        <f t="shared" si="8"/>
        <v>0</v>
      </c>
    </row>
    <row r="142" spans="1:6" ht="12" customHeight="1">
      <c r="A142" s="15" t="s">
        <v>704</v>
      </c>
      <c r="B142" s="9" t="s">
        <v>106</v>
      </c>
      <c r="C142" s="271"/>
      <c r="D142" s="986">
        <f t="shared" si="6"/>
        <v>0</v>
      </c>
      <c r="E142" s="987">
        <f t="shared" si="7"/>
        <v>0</v>
      </c>
      <c r="F142" s="981">
        <f t="shared" si="8"/>
        <v>0</v>
      </c>
    </row>
    <row r="143" spans="1:6" ht="12" customHeight="1">
      <c r="A143" s="15" t="s">
        <v>756</v>
      </c>
      <c r="B143" s="9" t="s">
        <v>107</v>
      </c>
      <c r="C143" s="271"/>
      <c r="D143" s="986">
        <f t="shared" si="6"/>
        <v>0</v>
      </c>
      <c r="E143" s="987">
        <f t="shared" si="7"/>
        <v>0</v>
      </c>
      <c r="F143" s="981">
        <f t="shared" si="8"/>
        <v>0</v>
      </c>
    </row>
    <row r="144" spans="1:6" ht="12" customHeight="1" thickBot="1">
      <c r="A144" s="15" t="s">
        <v>843</v>
      </c>
      <c r="B144" s="9" t="s">
        <v>108</v>
      </c>
      <c r="C144" s="271"/>
      <c r="D144" s="988">
        <f t="shared" si="6"/>
        <v>0</v>
      </c>
      <c r="E144" s="989">
        <f t="shared" si="7"/>
        <v>0</v>
      </c>
      <c r="F144" s="983">
        <f t="shared" si="8"/>
        <v>0</v>
      </c>
    </row>
    <row r="145" spans="1:9" ht="15" customHeight="1" thickBot="1">
      <c r="A145" s="20" t="s">
        <v>550</v>
      </c>
      <c r="B145" s="124" t="s">
        <v>109</v>
      </c>
      <c r="C145" s="419">
        <f>+C126+C130+C135+C140</f>
        <v>0</v>
      </c>
      <c r="D145" s="297">
        <f t="shared" si="6"/>
        <v>0</v>
      </c>
      <c r="E145" s="297">
        <f t="shared" si="7"/>
        <v>0</v>
      </c>
      <c r="F145" s="297">
        <f t="shared" si="8"/>
        <v>0</v>
      </c>
      <c r="G145" s="421"/>
      <c r="H145" s="421"/>
      <c r="I145" s="421"/>
    </row>
    <row r="146" spans="1:6" s="406" customFormat="1" ht="12.75" customHeight="1" thickBot="1">
      <c r="A146" s="296" t="s">
        <v>551</v>
      </c>
      <c r="B146" s="380" t="s">
        <v>110</v>
      </c>
      <c r="C146" s="419">
        <f>+C125+C145</f>
        <v>1317597984</v>
      </c>
      <c r="D146" s="297">
        <f t="shared" si="6"/>
        <v>1343949943.68</v>
      </c>
      <c r="E146" s="297">
        <f t="shared" si="7"/>
        <v>1370301903.3600001</v>
      </c>
      <c r="F146" s="297">
        <f t="shared" si="8"/>
        <v>1396653863.04</v>
      </c>
    </row>
    <row r="147" spans="4:6" ht="7.5" customHeight="1">
      <c r="D147" s="997">
        <f t="shared" si="6"/>
        <v>0</v>
      </c>
      <c r="E147" s="998"/>
      <c r="F147" s="998"/>
    </row>
    <row r="148" spans="1:6" ht="15.75">
      <c r="A148" s="1064" t="s">
        <v>112</v>
      </c>
      <c r="B148" s="1064"/>
      <c r="C148" s="1064"/>
      <c r="D148" s="999">
        <f t="shared" si="6"/>
        <v>0</v>
      </c>
      <c r="E148" s="422"/>
      <c r="F148" s="422"/>
    </row>
    <row r="149" spans="1:6" ht="15" customHeight="1" thickBot="1">
      <c r="A149" s="1061" t="s">
        <v>676</v>
      </c>
      <c r="B149" s="1061"/>
      <c r="C149" s="308"/>
      <c r="D149" s="308"/>
      <c r="E149" s="308"/>
      <c r="F149" s="308"/>
    </row>
    <row r="150" spans="1:6" ht="13.5" customHeight="1" thickBot="1">
      <c r="A150" s="20">
        <v>1</v>
      </c>
      <c r="B150" s="30" t="s">
        <v>113</v>
      </c>
      <c r="C150" s="298">
        <f>+C62-C125</f>
        <v>-494880000</v>
      </c>
      <c r="D150" s="298">
        <f>+D62-D125</f>
        <v>-504777600</v>
      </c>
      <c r="E150" s="298">
        <f>+E62-E125</f>
        <v>-514675200.0000001</v>
      </c>
      <c r="F150" s="298">
        <f>+F62-F125</f>
        <v>-524572799.9999999</v>
      </c>
    </row>
    <row r="151" spans="1:6" ht="18" customHeight="1" thickBot="1">
      <c r="A151" s="20" t="s">
        <v>543</v>
      </c>
      <c r="B151" s="30" t="s">
        <v>114</v>
      </c>
      <c r="C151" s="298">
        <f>+C85-C145</f>
        <v>494880000</v>
      </c>
      <c r="D151" s="298">
        <f>+D85-D145</f>
        <v>504777600</v>
      </c>
      <c r="E151" s="298">
        <f>+E85-E145</f>
        <v>514675200</v>
      </c>
      <c r="F151" s="298">
        <f>+F85-F145</f>
        <v>524572800</v>
      </c>
    </row>
  </sheetData>
  <sheetProtection/>
  <mergeCells count="6">
    <mergeCell ref="A149:B149"/>
    <mergeCell ref="A88:C88"/>
    <mergeCell ref="A1:C1"/>
    <mergeCell ref="A2:B2"/>
    <mergeCell ref="A89:B89"/>
    <mergeCell ref="A148:C14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landscape" paperSize="9" scale="39" r:id="rId1"/>
  <headerFooter alignWithMargins="0">
    <oddHeader>&amp;C&amp;"Times New Roman CE,Félkövér"&amp;12
Tát Város Önkormányzat
&amp;10
&amp;R&amp;"Times New Roman CE,Félkövér dőlt"&amp;11 10.tájékoztató tábla</oddHeader>
  </headerFooter>
  <rowBreaks count="1" manualBreakCount="1">
    <brk id="87" max="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view="pageBreakPreview" zoomScaleNormal="115" zoomScaleSheetLayoutView="100" zoomScalePageLayoutView="0" workbookViewId="0" topLeftCell="A4">
      <selection activeCell="E6" sqref="E6"/>
    </sheetView>
  </sheetViews>
  <sheetFormatPr defaultColWidth="9.00390625" defaultRowHeight="12.75"/>
  <cols>
    <col min="1" max="1" width="6.875" style="56" customWidth="1"/>
    <col min="2" max="2" width="55.125" style="195" customWidth="1"/>
    <col min="3" max="3" width="16.375" style="56" customWidth="1"/>
    <col min="4" max="4" width="55.125" style="56" customWidth="1"/>
    <col min="5" max="5" width="16.375" style="56" customWidth="1"/>
    <col min="6" max="6" width="4.875" style="56" customWidth="1"/>
    <col min="7" max="16384" width="9.375" style="56" customWidth="1"/>
  </cols>
  <sheetData>
    <row r="1" spans="2:6" ht="39.75" customHeight="1">
      <c r="B1" s="320" t="s">
        <v>128</v>
      </c>
      <c r="C1" s="321"/>
      <c r="D1" s="321"/>
      <c r="E1" s="321"/>
      <c r="F1" s="1060"/>
    </row>
    <row r="2" spans="5:6" ht="14.25" thickBot="1">
      <c r="E2" s="322"/>
      <c r="F2" s="1060"/>
    </row>
    <row r="3" spans="1:6" ht="18" customHeight="1" thickBot="1">
      <c r="A3" s="1058" t="s">
        <v>595</v>
      </c>
      <c r="B3" s="323" t="s">
        <v>579</v>
      </c>
      <c r="C3" s="324"/>
      <c r="D3" s="323" t="s">
        <v>581</v>
      </c>
      <c r="E3" s="325"/>
      <c r="F3" s="1060"/>
    </row>
    <row r="4" spans="1:6" s="326" customFormat="1" ht="35.25" customHeight="1" thickBot="1">
      <c r="A4" s="1059"/>
      <c r="B4" s="196" t="s">
        <v>587</v>
      </c>
      <c r="C4" s="197" t="s">
        <v>447</v>
      </c>
      <c r="D4" s="196" t="s">
        <v>587</v>
      </c>
      <c r="E4" s="52" t="s">
        <v>447</v>
      </c>
      <c r="F4" s="1060"/>
    </row>
    <row r="5" spans="1:6" s="331" customFormat="1" ht="12" customHeight="1" thickBot="1">
      <c r="A5" s="327">
        <v>1</v>
      </c>
      <c r="B5" s="328">
        <v>2</v>
      </c>
      <c r="C5" s="329" t="s">
        <v>544</v>
      </c>
      <c r="D5" s="328" t="s">
        <v>545</v>
      </c>
      <c r="E5" s="330" t="s">
        <v>546</v>
      </c>
      <c r="F5" s="1060"/>
    </row>
    <row r="6" spans="1:6" ht="12.75" customHeight="1">
      <c r="A6" s="332" t="s">
        <v>542</v>
      </c>
      <c r="B6" s="333" t="s">
        <v>115</v>
      </c>
      <c r="C6" s="1018">
        <f>'1.1.melléklet'!C5</f>
        <v>393077057</v>
      </c>
      <c r="D6" s="333" t="s">
        <v>588</v>
      </c>
      <c r="E6" s="1020">
        <f>'1.1.melléklet'!C92</f>
        <v>207127000</v>
      </c>
      <c r="F6" s="1060"/>
    </row>
    <row r="7" spans="1:6" ht="12.75" customHeight="1">
      <c r="A7" s="334" t="s">
        <v>543</v>
      </c>
      <c r="B7" s="335" t="s">
        <v>116</v>
      </c>
      <c r="C7" s="1019">
        <f>'1.1.melléklet'!C12</f>
        <v>10280000</v>
      </c>
      <c r="D7" s="335" t="s">
        <v>705</v>
      </c>
      <c r="E7" s="1021">
        <f>'1.1.melléklet'!C93</f>
        <v>49032554</v>
      </c>
      <c r="F7" s="1060"/>
    </row>
    <row r="8" spans="1:6" ht="12.75" customHeight="1">
      <c r="A8" s="334" t="s">
        <v>544</v>
      </c>
      <c r="B8" s="335" t="s">
        <v>158</v>
      </c>
      <c r="C8" s="310">
        <f>'1.1.melléklet'!C18</f>
        <v>0</v>
      </c>
      <c r="D8" s="335" t="s">
        <v>760</v>
      </c>
      <c r="E8" s="1021">
        <f>'1.1.melléklet'!C94</f>
        <v>217013000</v>
      </c>
      <c r="F8" s="1060"/>
    </row>
    <row r="9" spans="1:6" ht="12.75" customHeight="1">
      <c r="A9" s="334" t="s">
        <v>545</v>
      </c>
      <c r="B9" s="335" t="s">
        <v>696</v>
      </c>
      <c r="C9" s="1019">
        <f>'1.1.melléklet'!C26</f>
        <v>145800000</v>
      </c>
      <c r="D9" s="335" t="s">
        <v>706</v>
      </c>
      <c r="E9" s="1021">
        <f>'1.1.melléklet'!C95</f>
        <v>9611000</v>
      </c>
      <c r="F9" s="1060"/>
    </row>
    <row r="10" spans="1:6" ht="12.75" customHeight="1">
      <c r="A10" s="334" t="s">
        <v>546</v>
      </c>
      <c r="B10" s="336" t="s">
        <v>117</v>
      </c>
      <c r="C10" s="310"/>
      <c r="D10" s="335" t="s">
        <v>707</v>
      </c>
      <c r="E10" s="1021">
        <f>'1.1.melléklet'!C96</f>
        <v>144142641</v>
      </c>
      <c r="F10" s="1060"/>
    </row>
    <row r="11" spans="1:6" ht="12.75" customHeight="1">
      <c r="A11" s="334" t="s">
        <v>547</v>
      </c>
      <c r="B11" s="335" t="s">
        <v>118</v>
      </c>
      <c r="C11" s="311">
        <f>'1.1.melléklet'!C52</f>
        <v>0</v>
      </c>
      <c r="D11" s="335" t="s">
        <v>573</v>
      </c>
      <c r="E11" s="1021">
        <f>'1.1.melléklet'!C122</f>
        <v>38342762</v>
      </c>
      <c r="F11" s="1060"/>
    </row>
    <row r="12" spans="1:6" ht="12.75" customHeight="1">
      <c r="A12" s="334" t="s">
        <v>548</v>
      </c>
      <c r="B12" s="335" t="s">
        <v>826</v>
      </c>
      <c r="C12" s="1019">
        <f>'1.1.melléklet'!C34</f>
        <v>116111900</v>
      </c>
      <c r="D12" s="333" t="s">
        <v>754</v>
      </c>
      <c r="E12" s="1020">
        <f>'2.2.melléklet '!E6</f>
        <v>140411285</v>
      </c>
      <c r="F12" s="1060"/>
    </row>
    <row r="13" spans="1:6" ht="12.75" customHeight="1">
      <c r="A13" s="334" t="s">
        <v>549</v>
      </c>
      <c r="B13" s="333" t="s">
        <v>127</v>
      </c>
      <c r="C13" s="1018">
        <v>157449027</v>
      </c>
      <c r="D13" s="335" t="s">
        <v>136</v>
      </c>
      <c r="E13" s="315">
        <f>'2.2.melléklet '!E7</f>
        <v>0</v>
      </c>
      <c r="F13" s="1060"/>
    </row>
    <row r="14" spans="1:6" ht="12.75" customHeight="1">
      <c r="A14" s="334" t="s">
        <v>550</v>
      </c>
      <c r="B14" s="335" t="s">
        <v>131</v>
      </c>
      <c r="C14" s="310">
        <f>'1.1.melléklet'!C25</f>
        <v>0</v>
      </c>
      <c r="D14" s="335" t="s">
        <v>709</v>
      </c>
      <c r="E14" s="1020">
        <f>'2.2.melléklet '!E8</f>
        <v>181000000</v>
      </c>
      <c r="F14" s="1060"/>
    </row>
    <row r="15" spans="1:6" ht="12.75" customHeight="1">
      <c r="A15" s="334" t="s">
        <v>551</v>
      </c>
      <c r="B15" s="335" t="s">
        <v>536</v>
      </c>
      <c r="C15" s="310"/>
      <c r="D15" s="335" t="s">
        <v>137</v>
      </c>
      <c r="E15" s="315"/>
      <c r="F15" s="1060"/>
    </row>
    <row r="16" spans="1:6" ht="12.75" customHeight="1">
      <c r="A16" s="334" t="s">
        <v>552</v>
      </c>
      <c r="B16" s="335" t="s">
        <v>132</v>
      </c>
      <c r="C16" s="310">
        <f>'1.1.melléklet'!C59</f>
        <v>0</v>
      </c>
      <c r="D16" s="335" t="s">
        <v>757</v>
      </c>
      <c r="E16" s="1020">
        <f>'1.1.melléklet'!C112</f>
        <v>0</v>
      </c>
      <c r="F16" s="1060"/>
    </row>
    <row r="17" spans="1:6" ht="12.75" customHeight="1">
      <c r="A17" s="334" t="s">
        <v>553</v>
      </c>
      <c r="B17" s="335" t="s">
        <v>133</v>
      </c>
      <c r="C17" s="310"/>
      <c r="D17" s="46" t="s">
        <v>583</v>
      </c>
      <c r="E17" s="316"/>
      <c r="F17" s="1060"/>
    </row>
    <row r="18" spans="1:6" ht="12.75" customHeight="1" thickBot="1">
      <c r="A18" s="334" t="s">
        <v>554</v>
      </c>
      <c r="B18" s="335" t="s">
        <v>134</v>
      </c>
      <c r="C18" s="312"/>
      <c r="D18" s="46" t="s">
        <v>584</v>
      </c>
      <c r="E18" s="1021">
        <f>'2.2.melléklet '!E12</f>
        <v>330917742</v>
      </c>
      <c r="F18" s="1060"/>
    </row>
    <row r="19" spans="1:6" ht="15.75" customHeight="1" thickBot="1">
      <c r="A19" s="337" t="s">
        <v>555</v>
      </c>
      <c r="B19" s="126" t="s">
        <v>379</v>
      </c>
      <c r="C19" s="313">
        <f>+C6+C7+C9+C10+C12+C13+C14+C15+C16+C17+C18</f>
        <v>822717984</v>
      </c>
      <c r="D19" s="126" t="s">
        <v>378</v>
      </c>
      <c r="E19" s="318">
        <f>SUM(E6:E18)</f>
        <v>1317597984</v>
      </c>
      <c r="F19" s="1060"/>
    </row>
    <row r="20" spans="1:6" ht="15.75" customHeight="1">
      <c r="A20" s="338" t="s">
        <v>556</v>
      </c>
      <c r="B20" s="347" t="s">
        <v>380</v>
      </c>
      <c r="C20" s="743">
        <f>C21</f>
        <v>199880000</v>
      </c>
      <c r="D20" s="745" t="s">
        <v>713</v>
      </c>
      <c r="E20" s="744"/>
      <c r="F20" s="1060"/>
    </row>
    <row r="21" spans="1:6" ht="15.75" customHeight="1">
      <c r="A21" s="338" t="s">
        <v>557</v>
      </c>
      <c r="B21" s="348" t="s">
        <v>764</v>
      </c>
      <c r="C21" s="747">
        <f>'2.2.melléklet '!C19</f>
        <v>199880000</v>
      </c>
      <c r="D21" s="746" t="s">
        <v>125</v>
      </c>
      <c r="E21" s="748"/>
      <c r="F21" s="1060"/>
    </row>
    <row r="22" spans="1:6" ht="15.75" customHeight="1">
      <c r="A22" s="338" t="s">
        <v>558</v>
      </c>
      <c r="B22" s="348" t="s">
        <v>765</v>
      </c>
      <c r="C22" s="748"/>
      <c r="D22" s="340" t="s">
        <v>678</v>
      </c>
      <c r="E22" s="744"/>
      <c r="F22" s="1060"/>
    </row>
    <row r="23" spans="1:6" ht="15.75" customHeight="1">
      <c r="A23" s="338" t="s">
        <v>559</v>
      </c>
      <c r="B23" s="348" t="s">
        <v>766</v>
      </c>
      <c r="C23" s="748"/>
      <c r="D23" s="340" t="s">
        <v>679</v>
      </c>
      <c r="E23" s="748"/>
      <c r="F23" s="1060"/>
    </row>
    <row r="24" spans="1:6" ht="15.75" customHeight="1">
      <c r="A24" s="338" t="s">
        <v>560</v>
      </c>
      <c r="B24" s="348" t="s">
        <v>767</v>
      </c>
      <c r="C24" s="743">
        <v>295000000</v>
      </c>
      <c r="D24" s="339" t="s">
        <v>761</v>
      </c>
      <c r="E24" s="748"/>
      <c r="F24" s="1060"/>
    </row>
    <row r="25" spans="1:6" ht="15.75" customHeight="1">
      <c r="A25" s="338" t="s">
        <v>561</v>
      </c>
      <c r="B25" s="349" t="s">
        <v>768</v>
      </c>
      <c r="C25" s="748"/>
      <c r="D25" s="340" t="s">
        <v>714</v>
      </c>
      <c r="E25" s="744"/>
      <c r="F25" s="1060"/>
    </row>
    <row r="26" spans="1:6" ht="15.75" customHeight="1">
      <c r="A26" s="338" t="s">
        <v>562</v>
      </c>
      <c r="B26" s="350" t="s">
        <v>381</v>
      </c>
      <c r="C26" s="748"/>
      <c r="D26" s="333" t="s">
        <v>715</v>
      </c>
      <c r="E26" s="748"/>
      <c r="F26" s="1060"/>
    </row>
    <row r="27" spans="1:6" ht="15.75" customHeight="1">
      <c r="A27" s="338" t="s">
        <v>563</v>
      </c>
      <c r="B27" s="349" t="s">
        <v>770</v>
      </c>
      <c r="C27" s="748"/>
      <c r="D27" s="742"/>
      <c r="E27" s="749"/>
      <c r="F27" s="1060"/>
    </row>
    <row r="28" spans="1:6" ht="12.75" customHeight="1">
      <c r="A28" s="338" t="s">
        <v>564</v>
      </c>
      <c r="B28" s="349" t="s">
        <v>771</v>
      </c>
      <c r="C28" s="354"/>
      <c r="D28" s="340"/>
      <c r="E28" s="78"/>
      <c r="F28" s="1060"/>
    </row>
    <row r="29" spans="1:6" ht="12.75" customHeight="1">
      <c r="A29" s="341" t="s">
        <v>450</v>
      </c>
      <c r="B29" s="348" t="s">
        <v>772</v>
      </c>
      <c r="C29" s="80"/>
      <c r="D29" s="340"/>
      <c r="E29" s="81"/>
      <c r="F29" s="1060"/>
    </row>
    <row r="30" spans="1:6" ht="12.75" customHeight="1">
      <c r="A30" s="341" t="s">
        <v>566</v>
      </c>
      <c r="B30" s="352" t="s">
        <v>773</v>
      </c>
      <c r="C30" s="80"/>
      <c r="D30" s="340"/>
      <c r="E30" s="81"/>
      <c r="F30" s="1060"/>
    </row>
    <row r="31" spans="1:6" ht="12.75" customHeight="1" thickBot="1">
      <c r="A31" s="341" t="s">
        <v>567</v>
      </c>
      <c r="B31" s="353" t="s">
        <v>774</v>
      </c>
      <c r="C31" s="80"/>
      <c r="D31" s="340"/>
      <c r="E31" s="81"/>
      <c r="F31" s="1060"/>
    </row>
    <row r="32" spans="1:6" ht="15.75" customHeight="1" thickBot="1">
      <c r="A32" s="337" t="s">
        <v>568</v>
      </c>
      <c r="B32" s="126" t="s">
        <v>382</v>
      </c>
      <c r="C32" s="313">
        <f>C21+C24</f>
        <v>494880000</v>
      </c>
      <c r="D32" s="126" t="s">
        <v>383</v>
      </c>
      <c r="E32" s="318">
        <f>SUM(E28:E31)</f>
        <v>0</v>
      </c>
      <c r="F32" s="1060"/>
    </row>
    <row r="33" spans="1:6" ht="13.5" thickBot="1">
      <c r="A33" s="337" t="s">
        <v>569</v>
      </c>
      <c r="B33" s="343" t="s">
        <v>384</v>
      </c>
      <c r="C33" s="344">
        <f>+C19+C32</f>
        <v>1317597984</v>
      </c>
      <c r="D33" s="343" t="s">
        <v>385</v>
      </c>
      <c r="E33" s="344">
        <f>+E19+E32</f>
        <v>1317597984</v>
      </c>
      <c r="F33" s="1060"/>
    </row>
    <row r="34" spans="2:4" ht="18.75">
      <c r="B34" s="1057"/>
      <c r="C34" s="1057"/>
      <c r="D34" s="1057"/>
    </row>
  </sheetData>
  <sheetProtection/>
  <mergeCells count="3">
    <mergeCell ref="A3:A4"/>
    <mergeCell ref="F1:F33"/>
    <mergeCell ref="B34:D3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93" r:id="rId1"/>
  <headerFooter alignWithMargins="0">
    <oddHeader xml:space="preserve">&amp;R&amp;"Times New Roman CE,Félkövér dőlt"&amp;11 11. tájékoztató tábla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B1">
      <selection activeCell="C94" sqref="C94"/>
    </sheetView>
  </sheetViews>
  <sheetFormatPr defaultColWidth="9.00390625" defaultRowHeight="12.75"/>
  <cols>
    <col min="1" max="1" width="9.50390625" style="381" customWidth="1"/>
    <col min="2" max="2" width="91.625" style="381" customWidth="1"/>
    <col min="3" max="3" width="21.625" style="382" customWidth="1"/>
    <col min="4" max="4" width="9.00390625" style="404" customWidth="1"/>
    <col min="5" max="16384" width="9.375" style="404" customWidth="1"/>
  </cols>
  <sheetData>
    <row r="1" spans="1:3" ht="15.75" customHeight="1">
      <c r="A1" s="1062" t="s">
        <v>539</v>
      </c>
      <c r="B1" s="1062"/>
      <c r="C1" s="1062"/>
    </row>
    <row r="2" spans="1:3" ht="15.75" customHeight="1" thickBot="1">
      <c r="A2" s="1061" t="s">
        <v>674</v>
      </c>
      <c r="B2" s="1061"/>
      <c r="C2" s="308"/>
    </row>
    <row r="3" spans="1:3" ht="37.5" customHeight="1" thickBot="1">
      <c r="A3" s="23" t="s">
        <v>595</v>
      </c>
      <c r="B3" s="24" t="s">
        <v>541</v>
      </c>
      <c r="C3" s="39" t="s">
        <v>447</v>
      </c>
    </row>
    <row r="4" spans="1:3" s="405" customFormat="1" ht="12" customHeight="1" thickBot="1">
      <c r="A4" s="399">
        <v>1</v>
      </c>
      <c r="B4" s="400">
        <v>2</v>
      </c>
      <c r="C4" s="401">
        <v>3</v>
      </c>
    </row>
    <row r="5" spans="1:3" s="406" customFormat="1" ht="12" customHeight="1" thickBot="1">
      <c r="A5" s="20" t="s">
        <v>542</v>
      </c>
      <c r="B5" s="21" t="s">
        <v>784</v>
      </c>
      <c r="C5" s="298">
        <f>+C6+C7+C8+C9+C10+C11</f>
        <v>99877528</v>
      </c>
    </row>
    <row r="6" spans="1:3" s="406" customFormat="1" ht="12" customHeight="1">
      <c r="A6" s="15" t="s">
        <v>625</v>
      </c>
      <c r="B6" s="407" t="s">
        <v>785</v>
      </c>
      <c r="C6" s="301">
        <v>99877528</v>
      </c>
    </row>
    <row r="7" spans="1:3" s="406" customFormat="1" ht="12" customHeight="1">
      <c r="A7" s="14" t="s">
        <v>626</v>
      </c>
      <c r="B7" s="408" t="s">
        <v>786</v>
      </c>
      <c r="C7" s="300"/>
    </row>
    <row r="8" spans="1:3" s="406" customFormat="1" ht="12" customHeight="1">
      <c r="A8" s="14" t="s">
        <v>627</v>
      </c>
      <c r="B8" s="408" t="s">
        <v>787</v>
      </c>
      <c r="C8" s="300"/>
    </row>
    <row r="9" spans="1:3" s="406" customFormat="1" ht="12" customHeight="1">
      <c r="A9" s="14" t="s">
        <v>628</v>
      </c>
      <c r="B9" s="408" t="s">
        <v>788</v>
      </c>
      <c r="C9" s="300"/>
    </row>
    <row r="10" spans="1:3" s="406" customFormat="1" ht="12" customHeight="1">
      <c r="A10" s="14" t="s">
        <v>670</v>
      </c>
      <c r="B10" s="408" t="s">
        <v>789</v>
      </c>
      <c r="C10" s="300"/>
    </row>
    <row r="11" spans="1:3" s="406" customFormat="1" ht="12" customHeight="1" thickBot="1">
      <c r="A11" s="16" t="s">
        <v>629</v>
      </c>
      <c r="B11" s="409" t="s">
        <v>790</v>
      </c>
      <c r="C11" s="300"/>
    </row>
    <row r="12" spans="1:3" s="406" customFormat="1" ht="12" customHeight="1" thickBot="1">
      <c r="A12" s="20" t="s">
        <v>543</v>
      </c>
      <c r="B12" s="293" t="s">
        <v>791</v>
      </c>
      <c r="C12" s="298">
        <f>+C13+C14+C15+C16+C17</f>
        <v>0</v>
      </c>
    </row>
    <row r="13" spans="1:3" s="406" customFormat="1" ht="12" customHeight="1">
      <c r="A13" s="15" t="s">
        <v>631</v>
      </c>
      <c r="B13" s="407" t="s">
        <v>792</v>
      </c>
      <c r="C13" s="301"/>
    </row>
    <row r="14" spans="1:3" s="406" customFormat="1" ht="12" customHeight="1">
      <c r="A14" s="14" t="s">
        <v>632</v>
      </c>
      <c r="B14" s="408" t="s">
        <v>793</v>
      </c>
      <c r="C14" s="300"/>
    </row>
    <row r="15" spans="1:3" s="406" customFormat="1" ht="12" customHeight="1">
      <c r="A15" s="14" t="s">
        <v>633</v>
      </c>
      <c r="B15" s="408" t="s">
        <v>191</v>
      </c>
      <c r="C15" s="300"/>
    </row>
    <row r="16" spans="1:3" s="406" customFormat="1" ht="12" customHeight="1">
      <c r="A16" s="14" t="s">
        <v>634</v>
      </c>
      <c r="B16" s="408" t="s">
        <v>192</v>
      </c>
      <c r="C16" s="300"/>
    </row>
    <row r="17" spans="1:3" s="406" customFormat="1" ht="12" customHeight="1">
      <c r="A17" s="14" t="s">
        <v>635</v>
      </c>
      <c r="B17" s="408" t="s">
        <v>794</v>
      </c>
      <c r="C17" s="300"/>
    </row>
    <row r="18" spans="1:3" s="406" customFormat="1" ht="12" customHeight="1" thickBot="1">
      <c r="A18" s="16" t="s">
        <v>644</v>
      </c>
      <c r="B18" s="409" t="s">
        <v>795</v>
      </c>
      <c r="C18" s="302"/>
    </row>
    <row r="19" spans="1:3" s="406" customFormat="1" ht="12" customHeight="1" thickBot="1">
      <c r="A19" s="20" t="s">
        <v>544</v>
      </c>
      <c r="B19" s="21" t="s">
        <v>796</v>
      </c>
      <c r="C19" s="298">
        <f>+C20+C21+C22+C23+C24</f>
        <v>0</v>
      </c>
    </row>
    <row r="20" spans="1:3" s="406" customFormat="1" ht="12" customHeight="1">
      <c r="A20" s="15" t="s">
        <v>614</v>
      </c>
      <c r="B20" s="407" t="s">
        <v>797</v>
      </c>
      <c r="C20" s="301"/>
    </row>
    <row r="21" spans="1:3" s="406" customFormat="1" ht="12" customHeight="1">
      <c r="A21" s="14" t="s">
        <v>615</v>
      </c>
      <c r="B21" s="408" t="s">
        <v>798</v>
      </c>
      <c r="C21" s="300"/>
    </row>
    <row r="22" spans="1:3" s="406" customFormat="1" ht="12" customHeight="1">
      <c r="A22" s="14" t="s">
        <v>616</v>
      </c>
      <c r="B22" s="408" t="s">
        <v>193</v>
      </c>
      <c r="C22" s="300"/>
    </row>
    <row r="23" spans="1:3" s="406" customFormat="1" ht="12" customHeight="1">
      <c r="A23" s="14" t="s">
        <v>617</v>
      </c>
      <c r="B23" s="408" t="s">
        <v>194</v>
      </c>
      <c r="C23" s="300"/>
    </row>
    <row r="24" spans="1:3" s="406" customFormat="1" ht="12" customHeight="1">
      <c r="A24" s="14" t="s">
        <v>693</v>
      </c>
      <c r="B24" s="408" t="s">
        <v>799</v>
      </c>
      <c r="C24" s="300"/>
    </row>
    <row r="25" spans="1:3" s="406" customFormat="1" ht="12" customHeight="1" thickBot="1">
      <c r="A25" s="16" t="s">
        <v>694</v>
      </c>
      <c r="B25" s="409" t="s">
        <v>800</v>
      </c>
      <c r="C25" s="302"/>
    </row>
    <row r="26" spans="1:3" s="406" customFormat="1" ht="12" customHeight="1" thickBot="1">
      <c r="A26" s="20" t="s">
        <v>695</v>
      </c>
      <c r="B26" s="21" t="s">
        <v>801</v>
      </c>
      <c r="C26" s="304">
        <f>+C27+C30+C31+C32</f>
        <v>0</v>
      </c>
    </row>
    <row r="27" spans="1:3" s="406" customFormat="1" ht="12" customHeight="1">
      <c r="A27" s="15" t="s">
        <v>802</v>
      </c>
      <c r="B27" s="407" t="s">
        <v>808</v>
      </c>
      <c r="C27" s="402">
        <f>+C28+C29</f>
        <v>0</v>
      </c>
    </row>
    <row r="28" spans="1:3" s="406" customFormat="1" ht="12" customHeight="1">
      <c r="A28" s="14" t="s">
        <v>803</v>
      </c>
      <c r="B28" s="408" t="s">
        <v>809</v>
      </c>
      <c r="C28" s="300"/>
    </row>
    <row r="29" spans="1:3" s="406" customFormat="1" ht="12" customHeight="1">
      <c r="A29" s="14" t="s">
        <v>804</v>
      </c>
      <c r="B29" s="408" t="s">
        <v>810</v>
      </c>
      <c r="C29" s="300"/>
    </row>
    <row r="30" spans="1:3" s="406" customFormat="1" ht="12" customHeight="1">
      <c r="A30" s="14" t="s">
        <v>805</v>
      </c>
      <c r="B30" s="408" t="s">
        <v>811</v>
      </c>
      <c r="C30" s="300"/>
    </row>
    <row r="31" spans="1:3" s="406" customFormat="1" ht="12" customHeight="1">
      <c r="A31" s="14" t="s">
        <v>806</v>
      </c>
      <c r="B31" s="408" t="s">
        <v>812</v>
      </c>
      <c r="C31" s="300"/>
    </row>
    <row r="32" spans="1:3" s="406" customFormat="1" ht="12" customHeight="1" thickBot="1">
      <c r="A32" s="16" t="s">
        <v>807</v>
      </c>
      <c r="B32" s="409" t="s">
        <v>813</v>
      </c>
      <c r="C32" s="302"/>
    </row>
    <row r="33" spans="1:3" s="406" customFormat="1" ht="12" customHeight="1" thickBot="1">
      <c r="A33" s="20" t="s">
        <v>546</v>
      </c>
      <c r="B33" s="21" t="s">
        <v>814</v>
      </c>
      <c r="C33" s="298">
        <f>SUM(C34:C43)</f>
        <v>0</v>
      </c>
    </row>
    <row r="34" spans="1:3" s="406" customFormat="1" ht="12" customHeight="1">
      <c r="A34" s="15" t="s">
        <v>618</v>
      </c>
      <c r="B34" s="407" t="s">
        <v>817</v>
      </c>
      <c r="C34" s="301"/>
    </row>
    <row r="35" spans="1:3" s="406" customFormat="1" ht="12" customHeight="1">
      <c r="A35" s="14" t="s">
        <v>619</v>
      </c>
      <c r="B35" s="408" t="s">
        <v>818</v>
      </c>
      <c r="C35" s="300"/>
    </row>
    <row r="36" spans="1:3" s="406" customFormat="1" ht="12" customHeight="1">
      <c r="A36" s="14" t="s">
        <v>620</v>
      </c>
      <c r="B36" s="408" t="s">
        <v>819</v>
      </c>
      <c r="C36" s="300"/>
    </row>
    <row r="37" spans="1:3" s="406" customFormat="1" ht="12" customHeight="1">
      <c r="A37" s="14" t="s">
        <v>697</v>
      </c>
      <c r="B37" s="408" t="s">
        <v>820</v>
      </c>
      <c r="C37" s="300"/>
    </row>
    <row r="38" spans="1:3" s="406" customFormat="1" ht="12" customHeight="1">
      <c r="A38" s="14" t="s">
        <v>698</v>
      </c>
      <c r="B38" s="408" t="s">
        <v>821</v>
      </c>
      <c r="C38" s="300"/>
    </row>
    <row r="39" spans="1:3" s="406" customFormat="1" ht="12" customHeight="1">
      <c r="A39" s="14" t="s">
        <v>699</v>
      </c>
      <c r="B39" s="408" t="s">
        <v>822</v>
      </c>
      <c r="C39" s="300"/>
    </row>
    <row r="40" spans="1:3" s="406" customFormat="1" ht="12" customHeight="1">
      <c r="A40" s="14" t="s">
        <v>700</v>
      </c>
      <c r="B40" s="408" t="s">
        <v>823</v>
      </c>
      <c r="C40" s="300"/>
    </row>
    <row r="41" spans="1:3" s="406" customFormat="1" ht="12" customHeight="1">
      <c r="A41" s="14" t="s">
        <v>701</v>
      </c>
      <c r="B41" s="408" t="s">
        <v>824</v>
      </c>
      <c r="C41" s="300"/>
    </row>
    <row r="42" spans="1:3" s="406" customFormat="1" ht="12" customHeight="1">
      <c r="A42" s="14" t="s">
        <v>815</v>
      </c>
      <c r="B42" s="408" t="s">
        <v>825</v>
      </c>
      <c r="C42" s="303"/>
    </row>
    <row r="43" spans="1:3" s="406" customFormat="1" ht="12" customHeight="1" thickBot="1">
      <c r="A43" s="16" t="s">
        <v>816</v>
      </c>
      <c r="B43" s="409" t="s">
        <v>826</v>
      </c>
      <c r="C43" s="396"/>
    </row>
    <row r="44" spans="1:3" s="406" customFormat="1" ht="12" customHeight="1" thickBot="1">
      <c r="A44" s="20" t="s">
        <v>547</v>
      </c>
      <c r="B44" s="21" t="s">
        <v>827</v>
      </c>
      <c r="C44" s="298">
        <f>SUM(C45:C49)</f>
        <v>0</v>
      </c>
    </row>
    <row r="45" spans="1:3" s="406" customFormat="1" ht="12" customHeight="1">
      <c r="A45" s="15" t="s">
        <v>621</v>
      </c>
      <c r="B45" s="407" t="s">
        <v>831</v>
      </c>
      <c r="C45" s="451"/>
    </row>
    <row r="46" spans="1:3" s="406" customFormat="1" ht="12" customHeight="1">
      <c r="A46" s="14" t="s">
        <v>622</v>
      </c>
      <c r="B46" s="408" t="s">
        <v>832</v>
      </c>
      <c r="C46" s="303"/>
    </row>
    <row r="47" spans="1:3" s="406" customFormat="1" ht="12" customHeight="1">
      <c r="A47" s="14" t="s">
        <v>828</v>
      </c>
      <c r="B47" s="408" t="s">
        <v>833</v>
      </c>
      <c r="C47" s="303"/>
    </row>
    <row r="48" spans="1:3" s="406" customFormat="1" ht="12" customHeight="1">
      <c r="A48" s="14" t="s">
        <v>829</v>
      </c>
      <c r="B48" s="408" t="s">
        <v>834</v>
      </c>
      <c r="C48" s="303"/>
    </row>
    <row r="49" spans="1:3" s="406" customFormat="1" ht="12" customHeight="1" thickBot="1">
      <c r="A49" s="16" t="s">
        <v>830</v>
      </c>
      <c r="B49" s="409" t="s">
        <v>835</v>
      </c>
      <c r="C49" s="396"/>
    </row>
    <row r="50" spans="1:3" s="406" customFormat="1" ht="12" customHeight="1" thickBot="1">
      <c r="A50" s="20" t="s">
        <v>702</v>
      </c>
      <c r="B50" s="21" t="s">
        <v>836</v>
      </c>
      <c r="C50" s="298">
        <f>SUM(C51:C53)</f>
        <v>0</v>
      </c>
    </row>
    <row r="51" spans="1:3" s="406" customFormat="1" ht="12" customHeight="1">
      <c r="A51" s="15" t="s">
        <v>623</v>
      </c>
      <c r="B51" s="407" t="s">
        <v>837</v>
      </c>
      <c r="C51" s="301"/>
    </row>
    <row r="52" spans="1:3" s="406" customFormat="1" ht="12" customHeight="1">
      <c r="A52" s="14" t="s">
        <v>624</v>
      </c>
      <c r="B52" s="408" t="s">
        <v>195</v>
      </c>
      <c r="C52" s="300"/>
    </row>
    <row r="53" spans="1:3" s="406" customFormat="1" ht="12" customHeight="1">
      <c r="A53" s="14" t="s">
        <v>840</v>
      </c>
      <c r="B53" s="408" t="s">
        <v>838</v>
      </c>
      <c r="C53" s="300"/>
    </row>
    <row r="54" spans="1:3" s="406" customFormat="1" ht="12" customHeight="1" thickBot="1">
      <c r="A54" s="16" t="s">
        <v>841</v>
      </c>
      <c r="B54" s="409" t="s">
        <v>839</v>
      </c>
      <c r="C54" s="302"/>
    </row>
    <row r="55" spans="1:3" s="406" customFormat="1" ht="12" customHeight="1" thickBot="1">
      <c r="A55" s="20" t="s">
        <v>549</v>
      </c>
      <c r="B55" s="293" t="s">
        <v>842</v>
      </c>
      <c r="C55" s="298">
        <f>SUM(C56:C58)</f>
        <v>0</v>
      </c>
    </row>
    <row r="56" spans="1:3" s="406" customFormat="1" ht="12" customHeight="1">
      <c r="A56" s="15" t="s">
        <v>703</v>
      </c>
      <c r="B56" s="407" t="s">
        <v>844</v>
      </c>
      <c r="C56" s="303"/>
    </row>
    <row r="57" spans="1:3" s="406" customFormat="1" ht="12" customHeight="1">
      <c r="A57" s="14" t="s">
        <v>704</v>
      </c>
      <c r="B57" s="408" t="s">
        <v>196</v>
      </c>
      <c r="C57" s="303"/>
    </row>
    <row r="58" spans="1:3" s="406" customFormat="1" ht="12" customHeight="1">
      <c r="A58" s="14" t="s">
        <v>756</v>
      </c>
      <c r="B58" s="408" t="s">
        <v>845</v>
      </c>
      <c r="C58" s="303"/>
    </row>
    <row r="59" spans="1:3" s="406" customFormat="1" ht="12" customHeight="1" thickBot="1">
      <c r="A59" s="16" t="s">
        <v>843</v>
      </c>
      <c r="B59" s="409" t="s">
        <v>846</v>
      </c>
      <c r="C59" s="303"/>
    </row>
    <row r="60" spans="1:3" s="406" customFormat="1" ht="12" customHeight="1" thickBot="1">
      <c r="A60" s="20" t="s">
        <v>550</v>
      </c>
      <c r="B60" s="21" t="s">
        <v>847</v>
      </c>
      <c r="C60" s="304">
        <f>+C5+C12+C19+C26+C33+C44+C50+C55</f>
        <v>99877528</v>
      </c>
    </row>
    <row r="61" spans="1:3" s="406" customFormat="1" ht="12" customHeight="1" thickBot="1">
      <c r="A61" s="410" t="s">
        <v>848</v>
      </c>
      <c r="B61" s="293" t="s">
        <v>849</v>
      </c>
      <c r="C61" s="298">
        <f>SUM(C62:C64)</f>
        <v>0</v>
      </c>
    </row>
    <row r="62" spans="1:3" s="406" customFormat="1" ht="12" customHeight="1">
      <c r="A62" s="15" t="s">
        <v>54</v>
      </c>
      <c r="B62" s="407" t="s">
        <v>850</v>
      </c>
      <c r="C62" s="303"/>
    </row>
    <row r="63" spans="1:3" s="406" customFormat="1" ht="12" customHeight="1">
      <c r="A63" s="14" t="s">
        <v>63</v>
      </c>
      <c r="B63" s="408" t="s">
        <v>851</v>
      </c>
      <c r="C63" s="303"/>
    </row>
    <row r="64" spans="1:3" s="406" customFormat="1" ht="12" customHeight="1" thickBot="1">
      <c r="A64" s="16" t="s">
        <v>64</v>
      </c>
      <c r="B64" s="411" t="s">
        <v>852</v>
      </c>
      <c r="C64" s="303"/>
    </row>
    <row r="65" spans="1:3" s="406" customFormat="1" ht="12" customHeight="1" thickBot="1">
      <c r="A65" s="410" t="s">
        <v>853</v>
      </c>
      <c r="B65" s="293" t="s">
        <v>854</v>
      </c>
      <c r="C65" s="298">
        <f>SUM(C66:C69)</f>
        <v>0</v>
      </c>
    </row>
    <row r="66" spans="1:3" s="406" customFormat="1" ht="12" customHeight="1">
      <c r="A66" s="15" t="s">
        <v>671</v>
      </c>
      <c r="B66" s="407" t="s">
        <v>855</v>
      </c>
      <c r="C66" s="303"/>
    </row>
    <row r="67" spans="1:3" s="406" customFormat="1" ht="12" customHeight="1">
      <c r="A67" s="14" t="s">
        <v>672</v>
      </c>
      <c r="B67" s="408" t="s">
        <v>856</v>
      </c>
      <c r="C67" s="303"/>
    </row>
    <row r="68" spans="1:3" s="406" customFormat="1" ht="12" customHeight="1">
      <c r="A68" s="14" t="s">
        <v>55</v>
      </c>
      <c r="B68" s="408" t="s">
        <v>857</v>
      </c>
      <c r="C68" s="303"/>
    </row>
    <row r="69" spans="1:3" s="406" customFormat="1" ht="12" customHeight="1" thickBot="1">
      <c r="A69" s="16" t="s">
        <v>56</v>
      </c>
      <c r="B69" s="409" t="s">
        <v>858</v>
      </c>
      <c r="C69" s="303"/>
    </row>
    <row r="70" spans="1:3" s="406" customFormat="1" ht="12" customHeight="1" thickBot="1">
      <c r="A70" s="410" t="s">
        <v>859</v>
      </c>
      <c r="B70" s="293" t="s">
        <v>860</v>
      </c>
      <c r="C70" s="298">
        <f>SUM(C71:C72)</f>
        <v>0</v>
      </c>
    </row>
    <row r="71" spans="1:3" s="406" customFormat="1" ht="12" customHeight="1">
      <c r="A71" s="15" t="s">
        <v>57</v>
      </c>
      <c r="B71" s="407" t="s">
        <v>861</v>
      </c>
      <c r="C71" s="303"/>
    </row>
    <row r="72" spans="1:3" s="406" customFormat="1" ht="12" customHeight="1" thickBot="1">
      <c r="A72" s="16" t="s">
        <v>58</v>
      </c>
      <c r="B72" s="409" t="s">
        <v>862</v>
      </c>
      <c r="C72" s="303"/>
    </row>
    <row r="73" spans="1:3" s="406" customFormat="1" ht="12" customHeight="1" thickBot="1">
      <c r="A73" s="410" t="s">
        <v>863</v>
      </c>
      <c r="B73" s="293" t="s">
        <v>864</v>
      </c>
      <c r="C73" s="298">
        <f>SUM(C74:C76)</f>
        <v>0</v>
      </c>
    </row>
    <row r="74" spans="1:3" s="406" customFormat="1" ht="12" customHeight="1">
      <c r="A74" s="15" t="s">
        <v>59</v>
      </c>
      <c r="B74" s="407" t="s">
        <v>865</v>
      </c>
      <c r="C74" s="303"/>
    </row>
    <row r="75" spans="1:3" s="406" customFormat="1" ht="12" customHeight="1">
      <c r="A75" s="14" t="s">
        <v>60</v>
      </c>
      <c r="B75" s="408" t="s">
        <v>866</v>
      </c>
      <c r="C75" s="303"/>
    </row>
    <row r="76" spans="1:3" s="406" customFormat="1" ht="12" customHeight="1" thickBot="1">
      <c r="A76" s="16" t="s">
        <v>61</v>
      </c>
      <c r="B76" s="409" t="s">
        <v>867</v>
      </c>
      <c r="C76" s="303"/>
    </row>
    <row r="77" spans="1:3" s="406" customFormat="1" ht="12" customHeight="1" thickBot="1">
      <c r="A77" s="410" t="s">
        <v>868</v>
      </c>
      <c r="B77" s="293" t="s">
        <v>62</v>
      </c>
      <c r="C77" s="298">
        <f>SUM(C78:C81)</f>
        <v>0</v>
      </c>
    </row>
    <row r="78" spans="1:3" s="406" customFormat="1" ht="12" customHeight="1">
      <c r="A78" s="412" t="s">
        <v>869</v>
      </c>
      <c r="B78" s="407" t="s">
        <v>42</v>
      </c>
      <c r="C78" s="303"/>
    </row>
    <row r="79" spans="1:3" s="406" customFormat="1" ht="12" customHeight="1">
      <c r="A79" s="413" t="s">
        <v>43</v>
      </c>
      <c r="B79" s="408" t="s">
        <v>44</v>
      </c>
      <c r="C79" s="303"/>
    </row>
    <row r="80" spans="1:3" s="406" customFormat="1" ht="12" customHeight="1">
      <c r="A80" s="413" t="s">
        <v>45</v>
      </c>
      <c r="B80" s="408" t="s">
        <v>46</v>
      </c>
      <c r="C80" s="303"/>
    </row>
    <row r="81" spans="1:3" s="406" customFormat="1" ht="12" customHeight="1" thickBot="1">
      <c r="A81" s="414" t="s">
        <v>47</v>
      </c>
      <c r="B81" s="409" t="s">
        <v>48</v>
      </c>
      <c r="C81" s="303"/>
    </row>
    <row r="82" spans="1:3" s="406" customFormat="1" ht="13.5" customHeight="1" thickBot="1">
      <c r="A82" s="410" t="s">
        <v>49</v>
      </c>
      <c r="B82" s="293" t="s">
        <v>50</v>
      </c>
      <c r="C82" s="452"/>
    </row>
    <row r="83" spans="1:3" s="406" customFormat="1" ht="15.75" customHeight="1" thickBot="1">
      <c r="A83" s="410" t="s">
        <v>51</v>
      </c>
      <c r="B83" s="415" t="s">
        <v>52</v>
      </c>
      <c r="C83" s="304">
        <f>+C61+C65+C70+C73+C77+C82</f>
        <v>0</v>
      </c>
    </row>
    <row r="84" spans="1:3" s="406" customFormat="1" ht="16.5" customHeight="1" thickBot="1">
      <c r="A84" s="416" t="s">
        <v>65</v>
      </c>
      <c r="B84" s="417" t="s">
        <v>53</v>
      </c>
      <c r="C84" s="304">
        <f>+C60+C83</f>
        <v>99877528</v>
      </c>
    </row>
    <row r="85" spans="1:3" s="406" customFormat="1" ht="83.25" customHeight="1">
      <c r="A85" s="5"/>
      <c r="B85" s="6"/>
      <c r="C85" s="305"/>
    </row>
    <row r="86" spans="1:3" ht="16.5" customHeight="1">
      <c r="A86" s="1062" t="s">
        <v>570</v>
      </c>
      <c r="B86" s="1062"/>
      <c r="C86" s="1062"/>
    </row>
    <row r="87" spans="1:3" s="418" customFormat="1" ht="16.5" customHeight="1" thickBot="1">
      <c r="A87" s="1063" t="s">
        <v>675</v>
      </c>
      <c r="B87" s="1063"/>
      <c r="C87" s="139" t="s">
        <v>755</v>
      </c>
    </row>
    <row r="88" spans="1:3" ht="37.5" customHeight="1" thickBot="1">
      <c r="A88" s="23" t="s">
        <v>595</v>
      </c>
      <c r="B88" s="24" t="s">
        <v>571</v>
      </c>
      <c r="C88" s="39" t="s">
        <v>447</v>
      </c>
    </row>
    <row r="89" spans="1:3" s="405" customFormat="1" ht="12" customHeight="1" thickBot="1">
      <c r="A89" s="32">
        <v>1</v>
      </c>
      <c r="B89" s="33">
        <v>2</v>
      </c>
      <c r="C89" s="34">
        <v>3</v>
      </c>
    </row>
    <row r="90" spans="1:3" ht="12" customHeight="1" thickBot="1">
      <c r="A90" s="22" t="s">
        <v>542</v>
      </c>
      <c r="B90" s="31" t="s">
        <v>68</v>
      </c>
      <c r="C90" s="297">
        <f>SUM(C91:C95)</f>
        <v>99877528</v>
      </c>
    </row>
    <row r="91" spans="1:3" ht="12" customHeight="1">
      <c r="A91" s="17" t="s">
        <v>625</v>
      </c>
      <c r="B91" s="10" t="s">
        <v>572</v>
      </c>
      <c r="C91" s="299">
        <v>71069000</v>
      </c>
    </row>
    <row r="92" spans="1:3" ht="12" customHeight="1">
      <c r="A92" s="14" t="s">
        <v>626</v>
      </c>
      <c r="B92" s="8" t="s">
        <v>705</v>
      </c>
      <c r="C92" s="300">
        <v>15918528</v>
      </c>
    </row>
    <row r="93" spans="1:3" ht="12" customHeight="1">
      <c r="A93" s="14" t="s">
        <v>627</v>
      </c>
      <c r="B93" s="8" t="s">
        <v>662</v>
      </c>
      <c r="C93" s="302">
        <v>12890000</v>
      </c>
    </row>
    <row r="94" spans="1:3" ht="12" customHeight="1">
      <c r="A94" s="14" t="s">
        <v>628</v>
      </c>
      <c r="B94" s="11" t="s">
        <v>706</v>
      </c>
      <c r="C94" s="300"/>
    </row>
    <row r="95" spans="1:3" ht="12" customHeight="1">
      <c r="A95" s="14" t="s">
        <v>639</v>
      </c>
      <c r="B95" s="19" t="s">
        <v>707</v>
      </c>
      <c r="C95" s="302"/>
    </row>
    <row r="96" spans="1:3" ht="12" customHeight="1">
      <c r="A96" s="14" t="s">
        <v>629</v>
      </c>
      <c r="B96" s="8" t="s">
        <v>69</v>
      </c>
      <c r="C96" s="302"/>
    </row>
    <row r="97" spans="1:3" ht="12" customHeight="1">
      <c r="A97" s="14" t="s">
        <v>630</v>
      </c>
      <c r="B97" s="141" t="s">
        <v>70</v>
      </c>
      <c r="C97" s="302"/>
    </row>
    <row r="98" spans="1:3" ht="12" customHeight="1">
      <c r="A98" s="14" t="s">
        <v>640</v>
      </c>
      <c r="B98" s="142" t="s">
        <v>71</v>
      </c>
      <c r="C98" s="302"/>
    </row>
    <row r="99" spans="1:3" ht="12" customHeight="1">
      <c r="A99" s="14" t="s">
        <v>641</v>
      </c>
      <c r="B99" s="142" t="s">
        <v>72</v>
      </c>
      <c r="C99" s="302"/>
    </row>
    <row r="100" spans="1:3" ht="12" customHeight="1">
      <c r="A100" s="14" t="s">
        <v>642</v>
      </c>
      <c r="B100" s="141" t="s">
        <v>73</v>
      </c>
      <c r="C100" s="302"/>
    </row>
    <row r="101" spans="1:3" ht="12" customHeight="1">
      <c r="A101" s="14" t="s">
        <v>643</v>
      </c>
      <c r="B101" s="141" t="s">
        <v>74</v>
      </c>
      <c r="C101" s="302"/>
    </row>
    <row r="102" spans="1:3" ht="12" customHeight="1">
      <c r="A102" s="14" t="s">
        <v>645</v>
      </c>
      <c r="B102" s="142" t="s">
        <v>75</v>
      </c>
      <c r="C102" s="302"/>
    </row>
    <row r="103" spans="1:3" ht="12" customHeight="1">
      <c r="A103" s="13" t="s">
        <v>708</v>
      </c>
      <c r="B103" s="143" t="s">
        <v>76</v>
      </c>
      <c r="C103" s="302"/>
    </row>
    <row r="104" spans="1:3" ht="12" customHeight="1">
      <c r="A104" s="14" t="s">
        <v>66</v>
      </c>
      <c r="B104" s="143" t="s">
        <v>77</v>
      </c>
      <c r="C104" s="302"/>
    </row>
    <row r="105" spans="1:3" ht="12" customHeight="1" thickBot="1">
      <c r="A105" s="18" t="s">
        <v>67</v>
      </c>
      <c r="B105" s="144" t="s">
        <v>78</v>
      </c>
      <c r="C105" s="306"/>
    </row>
    <row r="106" spans="1:3" ht="12" customHeight="1" thickBot="1">
      <c r="A106" s="20" t="s">
        <v>543</v>
      </c>
      <c r="B106" s="30" t="s">
        <v>79</v>
      </c>
      <c r="C106" s="298">
        <f>+C107+C109+C111</f>
        <v>0</v>
      </c>
    </row>
    <row r="107" spans="1:3" ht="12" customHeight="1">
      <c r="A107" s="15" t="s">
        <v>631</v>
      </c>
      <c r="B107" s="8" t="s">
        <v>754</v>
      </c>
      <c r="C107" s="301"/>
    </row>
    <row r="108" spans="1:3" ht="12" customHeight="1">
      <c r="A108" s="15" t="s">
        <v>632</v>
      </c>
      <c r="B108" s="12" t="s">
        <v>83</v>
      </c>
      <c r="C108" s="301"/>
    </row>
    <row r="109" spans="1:3" ht="12" customHeight="1">
      <c r="A109" s="15" t="s">
        <v>633</v>
      </c>
      <c r="B109" s="12" t="s">
        <v>709</v>
      </c>
      <c r="C109" s="300"/>
    </row>
    <row r="110" spans="1:3" ht="12" customHeight="1">
      <c r="A110" s="15" t="s">
        <v>634</v>
      </c>
      <c r="B110" s="12" t="s">
        <v>84</v>
      </c>
      <c r="C110" s="271"/>
    </row>
    <row r="111" spans="1:3" ht="12" customHeight="1">
      <c r="A111" s="15" t="s">
        <v>635</v>
      </c>
      <c r="B111" s="295" t="s">
        <v>757</v>
      </c>
      <c r="C111" s="271"/>
    </row>
    <row r="112" spans="1:3" ht="12" customHeight="1">
      <c r="A112" s="15" t="s">
        <v>644</v>
      </c>
      <c r="B112" s="294" t="s">
        <v>197</v>
      </c>
      <c r="C112" s="271"/>
    </row>
    <row r="113" spans="1:3" ht="12" customHeight="1">
      <c r="A113" s="15" t="s">
        <v>646</v>
      </c>
      <c r="B113" s="403" t="s">
        <v>89</v>
      </c>
      <c r="C113" s="271"/>
    </row>
    <row r="114" spans="1:3" ht="15.75">
      <c r="A114" s="15" t="s">
        <v>710</v>
      </c>
      <c r="B114" s="142" t="s">
        <v>72</v>
      </c>
      <c r="C114" s="271"/>
    </row>
    <row r="115" spans="1:3" ht="12" customHeight="1">
      <c r="A115" s="15" t="s">
        <v>711</v>
      </c>
      <c r="B115" s="142" t="s">
        <v>88</v>
      </c>
      <c r="C115" s="271"/>
    </row>
    <row r="116" spans="1:3" ht="12" customHeight="1">
      <c r="A116" s="15" t="s">
        <v>712</v>
      </c>
      <c r="B116" s="142" t="s">
        <v>87</v>
      </c>
      <c r="C116" s="271"/>
    </row>
    <row r="117" spans="1:3" ht="12" customHeight="1">
      <c r="A117" s="15" t="s">
        <v>80</v>
      </c>
      <c r="B117" s="142" t="s">
        <v>75</v>
      </c>
      <c r="C117" s="271"/>
    </row>
    <row r="118" spans="1:3" ht="12" customHeight="1">
      <c r="A118" s="15" t="s">
        <v>81</v>
      </c>
      <c r="B118" s="142" t="s">
        <v>86</v>
      </c>
      <c r="C118" s="271"/>
    </row>
    <row r="119" spans="1:3" ht="16.5" thickBot="1">
      <c r="A119" s="13" t="s">
        <v>82</v>
      </c>
      <c r="B119" s="142" t="s">
        <v>85</v>
      </c>
      <c r="C119" s="272"/>
    </row>
    <row r="120" spans="1:3" ht="12" customHeight="1" thickBot="1">
      <c r="A120" s="20" t="s">
        <v>544</v>
      </c>
      <c r="B120" s="124" t="s">
        <v>90</v>
      </c>
      <c r="C120" s="298">
        <f>+C121+C122</f>
        <v>0</v>
      </c>
    </row>
    <row r="121" spans="1:3" ht="12" customHeight="1">
      <c r="A121" s="15" t="s">
        <v>614</v>
      </c>
      <c r="B121" s="9" t="s">
        <v>583</v>
      </c>
      <c r="C121" s="301"/>
    </row>
    <row r="122" spans="1:3" ht="12" customHeight="1" thickBot="1">
      <c r="A122" s="16" t="s">
        <v>615</v>
      </c>
      <c r="B122" s="12" t="s">
        <v>584</v>
      </c>
      <c r="C122" s="302"/>
    </row>
    <row r="123" spans="1:3" ht="12" customHeight="1" thickBot="1">
      <c r="A123" s="20" t="s">
        <v>545</v>
      </c>
      <c r="B123" s="124" t="s">
        <v>91</v>
      </c>
      <c r="C123" s="298">
        <f>+C90+C106+C120</f>
        <v>99877528</v>
      </c>
    </row>
    <row r="124" spans="1:3" ht="12" customHeight="1" thickBot="1">
      <c r="A124" s="20" t="s">
        <v>546</v>
      </c>
      <c r="B124" s="124" t="s">
        <v>92</v>
      </c>
      <c r="C124" s="298">
        <f>+C125+C126+C127</f>
        <v>0</v>
      </c>
    </row>
    <row r="125" spans="1:3" ht="12" customHeight="1">
      <c r="A125" s="15" t="s">
        <v>618</v>
      </c>
      <c r="B125" s="9" t="s">
        <v>93</v>
      </c>
      <c r="C125" s="271"/>
    </row>
    <row r="126" spans="1:3" ht="12" customHeight="1">
      <c r="A126" s="15" t="s">
        <v>619</v>
      </c>
      <c r="B126" s="9" t="s">
        <v>94</v>
      </c>
      <c r="C126" s="271"/>
    </row>
    <row r="127" spans="1:3" ht="12" customHeight="1" thickBot="1">
      <c r="A127" s="13" t="s">
        <v>620</v>
      </c>
      <c r="B127" s="7" t="s">
        <v>95</v>
      </c>
      <c r="C127" s="271"/>
    </row>
    <row r="128" spans="1:3" ht="12" customHeight="1" thickBot="1">
      <c r="A128" s="20" t="s">
        <v>547</v>
      </c>
      <c r="B128" s="124" t="s">
        <v>156</v>
      </c>
      <c r="C128" s="298">
        <f>+C129+C130+C131+C132</f>
        <v>0</v>
      </c>
    </row>
    <row r="129" spans="1:3" ht="12" customHeight="1">
      <c r="A129" s="15" t="s">
        <v>621</v>
      </c>
      <c r="B129" s="9" t="s">
        <v>96</v>
      </c>
      <c r="C129" s="271"/>
    </row>
    <row r="130" spans="1:3" ht="12" customHeight="1">
      <c r="A130" s="15" t="s">
        <v>622</v>
      </c>
      <c r="B130" s="9" t="s">
        <v>97</v>
      </c>
      <c r="C130" s="271"/>
    </row>
    <row r="131" spans="1:3" ht="12" customHeight="1">
      <c r="A131" s="15" t="s">
        <v>828</v>
      </c>
      <c r="B131" s="9" t="s">
        <v>98</v>
      </c>
      <c r="C131" s="271"/>
    </row>
    <row r="132" spans="1:3" ht="12" customHeight="1" thickBot="1">
      <c r="A132" s="13" t="s">
        <v>829</v>
      </c>
      <c r="B132" s="7" t="s">
        <v>99</v>
      </c>
      <c r="C132" s="271"/>
    </row>
    <row r="133" spans="1:3" ht="12" customHeight="1" thickBot="1">
      <c r="A133" s="20" t="s">
        <v>548</v>
      </c>
      <c r="B133" s="124" t="s">
        <v>100</v>
      </c>
      <c r="C133" s="304">
        <f>+C134+C135+C136+C137</f>
        <v>0</v>
      </c>
    </row>
    <row r="134" spans="1:3" ht="12" customHeight="1">
      <c r="A134" s="15" t="s">
        <v>623</v>
      </c>
      <c r="B134" s="9" t="s">
        <v>101</v>
      </c>
      <c r="C134" s="271"/>
    </row>
    <row r="135" spans="1:3" ht="12" customHeight="1">
      <c r="A135" s="15" t="s">
        <v>624</v>
      </c>
      <c r="B135" s="9" t="s">
        <v>111</v>
      </c>
      <c r="C135" s="271"/>
    </row>
    <row r="136" spans="1:3" ht="12" customHeight="1">
      <c r="A136" s="15" t="s">
        <v>840</v>
      </c>
      <c r="B136" s="9" t="s">
        <v>102</v>
      </c>
      <c r="C136" s="271"/>
    </row>
    <row r="137" spans="1:3" ht="12" customHeight="1" thickBot="1">
      <c r="A137" s="13" t="s">
        <v>841</v>
      </c>
      <c r="B137" s="7" t="s">
        <v>103</v>
      </c>
      <c r="C137" s="271"/>
    </row>
    <row r="138" spans="1:3" ht="12" customHeight="1" thickBot="1">
      <c r="A138" s="20" t="s">
        <v>549</v>
      </c>
      <c r="B138" s="124" t="s">
        <v>104</v>
      </c>
      <c r="C138" s="307">
        <f>+C139+C140+C141+C142</f>
        <v>0</v>
      </c>
    </row>
    <row r="139" spans="1:3" ht="12" customHeight="1">
      <c r="A139" s="15" t="s">
        <v>703</v>
      </c>
      <c r="B139" s="9" t="s">
        <v>105</v>
      </c>
      <c r="C139" s="271"/>
    </row>
    <row r="140" spans="1:3" ht="12" customHeight="1">
      <c r="A140" s="15" t="s">
        <v>704</v>
      </c>
      <c r="B140" s="9" t="s">
        <v>106</v>
      </c>
      <c r="C140" s="271"/>
    </row>
    <row r="141" spans="1:3" ht="12" customHeight="1">
      <c r="A141" s="15" t="s">
        <v>756</v>
      </c>
      <c r="B141" s="9" t="s">
        <v>107</v>
      </c>
      <c r="C141" s="271"/>
    </row>
    <row r="142" spans="1:3" ht="12" customHeight="1" thickBot="1">
      <c r="A142" s="15" t="s">
        <v>843</v>
      </c>
      <c r="B142" s="9" t="s">
        <v>108</v>
      </c>
      <c r="C142" s="271"/>
    </row>
    <row r="143" spans="1:9" ht="15" customHeight="1" thickBot="1">
      <c r="A143" s="20" t="s">
        <v>550</v>
      </c>
      <c r="B143" s="124" t="s">
        <v>109</v>
      </c>
      <c r="C143" s="419">
        <f>+C124+C128+C133+C138</f>
        <v>0</v>
      </c>
      <c r="F143" s="420"/>
      <c r="G143" s="421"/>
      <c r="H143" s="421"/>
      <c r="I143" s="421"/>
    </row>
    <row r="144" spans="1:3" s="406" customFormat="1" ht="12.75" customHeight="1" thickBot="1">
      <c r="A144" s="296" t="s">
        <v>551</v>
      </c>
      <c r="B144" s="380" t="s">
        <v>110</v>
      </c>
      <c r="C144" s="419">
        <f>+C123+C143</f>
        <v>99877528</v>
      </c>
    </row>
    <row r="145" ht="7.5" customHeight="1"/>
    <row r="146" spans="1:3" ht="15.75">
      <c r="A146" s="1064" t="s">
        <v>112</v>
      </c>
      <c r="B146" s="1064"/>
      <c r="C146" s="1064"/>
    </row>
    <row r="147" spans="1:3" ht="15" customHeight="1" thickBot="1">
      <c r="A147" s="1061" t="s">
        <v>676</v>
      </c>
      <c r="B147" s="1061"/>
      <c r="C147" s="308"/>
    </row>
    <row r="148" spans="1:4" ht="13.5" customHeight="1" thickBot="1">
      <c r="A148" s="20">
        <v>1</v>
      </c>
      <c r="B148" s="30" t="s">
        <v>113</v>
      </c>
      <c r="C148" s="298">
        <f>+C60-C123</f>
        <v>0</v>
      </c>
      <c r="D148" s="422"/>
    </row>
    <row r="149" spans="1:3" ht="27.75" customHeight="1" thickBot="1">
      <c r="A149" s="20" t="s">
        <v>543</v>
      </c>
      <c r="B149" s="30" t="s">
        <v>114</v>
      </c>
      <c r="C149" s="298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Tát Város Önkormányzat
2016. ÉVI KÖLTSÉGVETÉS
ÁLLAMI (ÁLLAMIGAZGATÁSI) FELADATOK MÉRLEGE
&amp;R&amp;"Times New Roman CE,Félkövér dőlt"&amp;11 1.4. melléklet az  1/2017. (II.07.) önkormányzati rendelethez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view="pageBreakPreview" zoomScaleNormal="115" zoomScaleSheetLayoutView="100" workbookViewId="0" topLeftCell="A1">
      <selection activeCell="F1" sqref="F1:F30"/>
    </sheetView>
  </sheetViews>
  <sheetFormatPr defaultColWidth="9.00390625" defaultRowHeight="12.75"/>
  <cols>
    <col min="1" max="1" width="6.875" style="56" customWidth="1"/>
    <col min="2" max="2" width="55.125" style="195" customWidth="1"/>
    <col min="3" max="3" width="16.375" style="56" customWidth="1"/>
    <col min="4" max="4" width="55.125" style="56" customWidth="1"/>
    <col min="5" max="5" width="16.375" style="56" customWidth="1"/>
    <col min="6" max="6" width="4.875" style="56" customWidth="1"/>
    <col min="7" max="16384" width="9.375" style="56" customWidth="1"/>
  </cols>
  <sheetData>
    <row r="1" spans="2:6" ht="39.75" customHeight="1">
      <c r="B1" s="320" t="s">
        <v>680</v>
      </c>
      <c r="C1" s="321"/>
      <c r="D1" s="321"/>
      <c r="E1" s="321"/>
      <c r="F1" s="1060" t="s">
        <v>24</v>
      </c>
    </row>
    <row r="2" spans="5:6" ht="14.25" thickBot="1">
      <c r="E2" s="322"/>
      <c r="F2" s="1060"/>
    </row>
    <row r="3" spans="1:6" ht="18" customHeight="1" thickBot="1">
      <c r="A3" s="1058" t="s">
        <v>595</v>
      </c>
      <c r="B3" s="323" t="s">
        <v>579</v>
      </c>
      <c r="C3" s="324"/>
      <c r="D3" s="323" t="s">
        <v>581</v>
      </c>
      <c r="E3" s="325"/>
      <c r="F3" s="1060"/>
    </row>
    <row r="4" spans="1:6" s="326" customFormat="1" ht="35.25" customHeight="1" thickBot="1">
      <c r="A4" s="1059"/>
      <c r="B4" s="196" t="s">
        <v>587</v>
      </c>
      <c r="C4" s="197" t="s">
        <v>447</v>
      </c>
      <c r="D4" s="196" t="s">
        <v>587</v>
      </c>
      <c r="E4" s="52" t="s">
        <v>447</v>
      </c>
      <c r="F4" s="1060"/>
    </row>
    <row r="5" spans="1:6" s="331" customFormat="1" ht="12" customHeight="1" thickBot="1">
      <c r="A5" s="327">
        <v>1</v>
      </c>
      <c r="B5" s="328">
        <v>2</v>
      </c>
      <c r="C5" s="329" t="s">
        <v>544</v>
      </c>
      <c r="D5" s="328" t="s">
        <v>545</v>
      </c>
      <c r="E5" s="330" t="s">
        <v>546</v>
      </c>
      <c r="F5" s="1060"/>
    </row>
    <row r="6" spans="1:6" ht="12.75" customHeight="1">
      <c r="A6" s="332" t="s">
        <v>542</v>
      </c>
      <c r="B6" s="333" t="s">
        <v>115</v>
      </c>
      <c r="C6" s="309">
        <f>'1.1.melléklet'!C5</f>
        <v>393077057</v>
      </c>
      <c r="D6" s="333" t="s">
        <v>588</v>
      </c>
      <c r="E6" s="315">
        <f>'1.1.melléklet'!C92</f>
        <v>207127000</v>
      </c>
      <c r="F6" s="1060"/>
    </row>
    <row r="7" spans="1:6" ht="12.75" customHeight="1">
      <c r="A7" s="334" t="s">
        <v>543</v>
      </c>
      <c r="B7" s="335" t="s">
        <v>116</v>
      </c>
      <c r="C7" s="310">
        <f>'1.1.melléklet'!C12</f>
        <v>10280000</v>
      </c>
      <c r="D7" s="335" t="s">
        <v>705</v>
      </c>
      <c r="E7" s="316">
        <f>'1.1.melléklet'!C93</f>
        <v>49032554</v>
      </c>
      <c r="F7" s="1060"/>
    </row>
    <row r="8" spans="1:6" ht="12.75" customHeight="1">
      <c r="A8" s="334" t="s">
        <v>544</v>
      </c>
      <c r="B8" s="335" t="s">
        <v>158</v>
      </c>
      <c r="C8" s="310">
        <f>'1.1.melléklet'!C18</f>
        <v>0</v>
      </c>
      <c r="D8" s="335" t="s">
        <v>760</v>
      </c>
      <c r="E8" s="316">
        <f>'1.1.melléklet'!C94</f>
        <v>217013000</v>
      </c>
      <c r="F8" s="1060"/>
    </row>
    <row r="9" spans="1:6" ht="12.75" customHeight="1">
      <c r="A9" s="334" t="s">
        <v>545</v>
      </c>
      <c r="B9" s="335" t="s">
        <v>696</v>
      </c>
      <c r="C9" s="310">
        <f>'1.1.melléklet'!C26</f>
        <v>145800000</v>
      </c>
      <c r="D9" s="335" t="s">
        <v>706</v>
      </c>
      <c r="E9" s="316">
        <f>'1.1.melléklet'!C95</f>
        <v>9611000</v>
      </c>
      <c r="F9" s="1060"/>
    </row>
    <row r="10" spans="1:6" ht="12.75" customHeight="1">
      <c r="A10" s="334" t="s">
        <v>546</v>
      </c>
      <c r="B10" s="336" t="s">
        <v>117</v>
      </c>
      <c r="C10" s="310"/>
      <c r="D10" s="335" t="s">
        <v>707</v>
      </c>
      <c r="E10" s="316">
        <f>'1.1.melléklet'!C96</f>
        <v>144142641</v>
      </c>
      <c r="F10" s="1060"/>
    </row>
    <row r="11" spans="1:6" ht="12.75" customHeight="1">
      <c r="A11" s="334" t="s">
        <v>547</v>
      </c>
      <c r="B11" s="335" t="s">
        <v>118</v>
      </c>
      <c r="C11" s="311">
        <f>'1.1.melléklet'!C52</f>
        <v>0</v>
      </c>
      <c r="D11" s="335" t="s">
        <v>573</v>
      </c>
      <c r="E11" s="316">
        <v>38342762</v>
      </c>
      <c r="F11" s="1060"/>
    </row>
    <row r="12" spans="1:6" ht="12.75" customHeight="1">
      <c r="A12" s="334" t="s">
        <v>548</v>
      </c>
      <c r="B12" s="335" t="s">
        <v>826</v>
      </c>
      <c r="C12" s="310">
        <f>'1.1.melléklet'!C34</f>
        <v>116111900</v>
      </c>
      <c r="D12" s="46"/>
      <c r="E12" s="316"/>
      <c r="F12" s="1060"/>
    </row>
    <row r="13" spans="1:6" ht="12.75" customHeight="1">
      <c r="A13" s="334" t="s">
        <v>549</v>
      </c>
      <c r="B13" s="46"/>
      <c r="C13" s="310"/>
      <c r="D13" s="46"/>
      <c r="E13" s="316"/>
      <c r="F13" s="1060"/>
    </row>
    <row r="14" spans="1:6" ht="12.75" customHeight="1">
      <c r="A14" s="334" t="s">
        <v>550</v>
      </c>
      <c r="B14" s="423"/>
      <c r="C14" s="311"/>
      <c r="D14" s="46"/>
      <c r="E14" s="316"/>
      <c r="F14" s="1060"/>
    </row>
    <row r="15" spans="1:6" ht="12.75" customHeight="1">
      <c r="A15" s="334" t="s">
        <v>551</v>
      </c>
      <c r="B15" s="46"/>
      <c r="C15" s="310"/>
      <c r="D15" s="46"/>
      <c r="E15" s="316"/>
      <c r="F15" s="1060"/>
    </row>
    <row r="16" spans="1:6" ht="12.75" customHeight="1">
      <c r="A16" s="334" t="s">
        <v>552</v>
      </c>
      <c r="B16" s="46"/>
      <c r="C16" s="310"/>
      <c r="D16" s="46"/>
      <c r="E16" s="316"/>
      <c r="F16" s="1060"/>
    </row>
    <row r="17" spans="1:6" ht="12.75" customHeight="1" thickBot="1">
      <c r="A17" s="334" t="s">
        <v>553</v>
      </c>
      <c r="B17" s="57"/>
      <c r="C17" s="312"/>
      <c r="D17" s="46"/>
      <c r="E17" s="317"/>
      <c r="F17" s="1060"/>
    </row>
    <row r="18" spans="1:6" ht="15.75" customHeight="1" thickBot="1">
      <c r="A18" s="337" t="s">
        <v>554</v>
      </c>
      <c r="B18" s="126" t="s">
        <v>159</v>
      </c>
      <c r="C18" s="313">
        <f>+C6+C7+C9+C10+C12+C13+C14+C15+C16+C17</f>
        <v>665268957</v>
      </c>
      <c r="D18" s="126" t="s">
        <v>126</v>
      </c>
      <c r="E18" s="318">
        <f>SUM(E6:E17)</f>
        <v>665268957</v>
      </c>
      <c r="F18" s="1060"/>
    </row>
    <row r="19" spans="1:6" ht="12.75" customHeight="1">
      <c r="A19" s="338" t="s">
        <v>555</v>
      </c>
      <c r="B19" s="339" t="s">
        <v>121</v>
      </c>
      <c r="C19" s="468">
        <f>+C20+C21+C22+C23</f>
        <v>0</v>
      </c>
      <c r="D19" s="340" t="s">
        <v>713</v>
      </c>
      <c r="E19" s="319"/>
      <c r="F19" s="1060"/>
    </row>
    <row r="20" spans="1:6" ht="12.75" customHeight="1">
      <c r="A20" s="341" t="s">
        <v>556</v>
      </c>
      <c r="B20" s="340" t="s">
        <v>752</v>
      </c>
      <c r="C20" s="80"/>
      <c r="D20" s="340" t="s">
        <v>125</v>
      </c>
      <c r="E20" s="81"/>
      <c r="F20" s="1060"/>
    </row>
    <row r="21" spans="1:6" ht="12.75" customHeight="1">
      <c r="A21" s="341" t="s">
        <v>557</v>
      </c>
      <c r="B21" s="340" t="s">
        <v>753</v>
      </c>
      <c r="C21" s="80"/>
      <c r="D21" s="340" t="s">
        <v>678</v>
      </c>
      <c r="E21" s="81"/>
      <c r="F21" s="1060"/>
    </row>
    <row r="22" spans="1:6" ht="12.75" customHeight="1">
      <c r="A22" s="341" t="s">
        <v>558</v>
      </c>
      <c r="B22" s="340" t="s">
        <v>758</v>
      </c>
      <c r="C22" s="80"/>
      <c r="D22" s="340" t="s">
        <v>679</v>
      </c>
      <c r="E22" s="81"/>
      <c r="F22" s="1060"/>
    </row>
    <row r="23" spans="1:6" ht="12.75" customHeight="1">
      <c r="A23" s="341" t="s">
        <v>559</v>
      </c>
      <c r="B23" s="340" t="s">
        <v>759</v>
      </c>
      <c r="C23" s="80"/>
      <c r="D23" s="339" t="s">
        <v>761</v>
      </c>
      <c r="E23" s="81"/>
      <c r="F23" s="1060"/>
    </row>
    <row r="24" spans="1:6" ht="12.75" customHeight="1">
      <c r="A24" s="341" t="s">
        <v>560</v>
      </c>
      <c r="B24" s="340" t="s">
        <v>122</v>
      </c>
      <c r="C24" s="342">
        <f>+C25+C26</f>
        <v>0</v>
      </c>
      <c r="D24" s="340" t="s">
        <v>714</v>
      </c>
      <c r="E24" s="81"/>
      <c r="F24" s="1060"/>
    </row>
    <row r="25" spans="1:6" ht="12.75" customHeight="1">
      <c r="A25" s="338" t="s">
        <v>561</v>
      </c>
      <c r="B25" s="339" t="s">
        <v>119</v>
      </c>
      <c r="C25" s="314"/>
      <c r="D25" s="333" t="s">
        <v>715</v>
      </c>
      <c r="E25" s="319"/>
      <c r="F25" s="1060"/>
    </row>
    <row r="26" spans="1:6" ht="12.75" customHeight="1" thickBot="1">
      <c r="A26" s="341" t="s">
        <v>562</v>
      </c>
      <c r="B26" s="340" t="s">
        <v>120</v>
      </c>
      <c r="C26" s="80"/>
      <c r="D26" s="46"/>
      <c r="E26" s="81"/>
      <c r="F26" s="1060"/>
    </row>
    <row r="27" spans="1:6" ht="15.75" customHeight="1" thickBot="1">
      <c r="A27" s="337" t="s">
        <v>563</v>
      </c>
      <c r="B27" s="126" t="s">
        <v>123</v>
      </c>
      <c r="C27" s="313">
        <f>+C19+C24</f>
        <v>0</v>
      </c>
      <c r="D27" s="126" t="s">
        <v>129</v>
      </c>
      <c r="E27" s="318">
        <f>SUM(E19:E26)</f>
        <v>0</v>
      </c>
      <c r="F27" s="1060"/>
    </row>
    <row r="28" spans="1:6" ht="13.5" thickBot="1">
      <c r="A28" s="337" t="s">
        <v>564</v>
      </c>
      <c r="B28" s="343" t="s">
        <v>124</v>
      </c>
      <c r="C28" s="344">
        <f>+C18+C27</f>
        <v>665268957</v>
      </c>
      <c r="D28" s="343" t="s">
        <v>130</v>
      </c>
      <c r="E28" s="344">
        <f>+E18+E27</f>
        <v>665268957</v>
      </c>
      <c r="F28" s="1060"/>
    </row>
    <row r="29" spans="1:6" ht="13.5" thickBot="1">
      <c r="A29" s="337" t="s">
        <v>565</v>
      </c>
      <c r="B29" s="343" t="s">
        <v>691</v>
      </c>
      <c r="C29" s="344" t="str">
        <f>IF(C18-E18&lt;0,E18-C18,"-")</f>
        <v>-</v>
      </c>
      <c r="D29" s="343" t="s">
        <v>692</v>
      </c>
      <c r="E29" s="344" t="str">
        <f>IF(C18-E18&gt;0,C18-E18,"-")</f>
        <v>-</v>
      </c>
      <c r="F29" s="1060"/>
    </row>
    <row r="30" spans="1:6" ht="13.5" thickBot="1">
      <c r="A30" s="337" t="s">
        <v>566</v>
      </c>
      <c r="B30" s="343" t="s">
        <v>762</v>
      </c>
      <c r="C30" s="344" t="str">
        <f>IF(C18+C19-E28&lt;0,E28-(C18+C19),"-")</f>
        <v>-</v>
      </c>
      <c r="D30" s="343" t="s">
        <v>763</v>
      </c>
      <c r="E30" s="344" t="str">
        <f>IF(C18+C19-E28&gt;0,C18+C19-E28,"-")</f>
        <v>-</v>
      </c>
      <c r="F30" s="1060"/>
    </row>
    <row r="31" spans="2:4" ht="18.75">
      <c r="B31" s="1057"/>
      <c r="C31" s="1057"/>
      <c r="D31" s="1057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BreakPreview" zoomScale="115" zoomScaleSheetLayoutView="115" workbookViewId="0" topLeftCell="A1">
      <selection activeCell="F1" sqref="F1:F33"/>
    </sheetView>
  </sheetViews>
  <sheetFormatPr defaultColWidth="9.00390625" defaultRowHeight="12.75"/>
  <cols>
    <col min="1" max="1" width="6.875" style="56" customWidth="1"/>
    <col min="2" max="2" width="55.125" style="195" customWidth="1"/>
    <col min="3" max="3" width="16.375" style="56" customWidth="1"/>
    <col min="4" max="4" width="55.125" style="56" customWidth="1"/>
    <col min="5" max="5" width="16.375" style="56" customWidth="1"/>
    <col min="6" max="6" width="4.875" style="56" customWidth="1"/>
    <col min="7" max="16384" width="9.375" style="56" customWidth="1"/>
  </cols>
  <sheetData>
    <row r="1" spans="2:6" ht="31.5">
      <c r="B1" s="320" t="s">
        <v>681</v>
      </c>
      <c r="C1" s="321"/>
      <c r="D1" s="321"/>
      <c r="E1" s="321"/>
      <c r="F1" s="1060" t="s">
        <v>25</v>
      </c>
    </row>
    <row r="2" spans="5:6" ht="14.25" thickBot="1">
      <c r="E2" s="322"/>
      <c r="F2" s="1060"/>
    </row>
    <row r="3" spans="1:6" ht="13.5" thickBot="1">
      <c r="A3" s="1052" t="s">
        <v>595</v>
      </c>
      <c r="B3" s="323" t="s">
        <v>579</v>
      </c>
      <c r="C3" s="324"/>
      <c r="D3" s="323" t="s">
        <v>581</v>
      </c>
      <c r="E3" s="325"/>
      <c r="F3" s="1060"/>
    </row>
    <row r="4" spans="1:6" s="326" customFormat="1" ht="24.75" thickBot="1">
      <c r="A4" s="1053"/>
      <c r="B4" s="196" t="s">
        <v>587</v>
      </c>
      <c r="C4" s="197" t="s">
        <v>447</v>
      </c>
      <c r="D4" s="196" t="s">
        <v>587</v>
      </c>
      <c r="E4" s="197" t="s">
        <v>447</v>
      </c>
      <c r="F4" s="1060"/>
    </row>
    <row r="5" spans="1:6" s="326" customFormat="1" ht="13.5" thickBot="1">
      <c r="A5" s="327">
        <v>1</v>
      </c>
      <c r="B5" s="328">
        <v>2</v>
      </c>
      <c r="C5" s="329">
        <v>3</v>
      </c>
      <c r="D5" s="328">
        <v>4</v>
      </c>
      <c r="E5" s="330">
        <v>5</v>
      </c>
      <c r="F5" s="1060"/>
    </row>
    <row r="6" spans="1:6" ht="25.5" customHeight="1">
      <c r="A6" s="332" t="s">
        <v>542</v>
      </c>
      <c r="B6" s="333" t="s">
        <v>19</v>
      </c>
      <c r="C6" s="309">
        <f>'1.1.melléklet'!C19</f>
        <v>157449027</v>
      </c>
      <c r="D6" s="333" t="s">
        <v>754</v>
      </c>
      <c r="E6" s="315">
        <f>'1.1.melléklet'!C108</f>
        <v>140411285</v>
      </c>
      <c r="F6" s="1060"/>
    </row>
    <row r="7" spans="1:6" ht="12.75">
      <c r="A7" s="334" t="s">
        <v>543</v>
      </c>
      <c r="B7" s="335" t="s">
        <v>131</v>
      </c>
      <c r="C7" s="310">
        <f>'1.1.melléklet'!C18</f>
        <v>0</v>
      </c>
      <c r="D7" s="335" t="s">
        <v>136</v>
      </c>
      <c r="E7" s="316">
        <f>'1.1.melléklet'!C109</f>
        <v>0</v>
      </c>
      <c r="F7" s="1060"/>
    </row>
    <row r="8" spans="1:6" ht="12.75" customHeight="1">
      <c r="A8" s="334" t="s">
        <v>544</v>
      </c>
      <c r="B8" s="335" t="s">
        <v>536</v>
      </c>
      <c r="C8" s="310"/>
      <c r="D8" s="335" t="s">
        <v>709</v>
      </c>
      <c r="E8" s="316">
        <f>'1.1.melléklet'!C110</f>
        <v>181000000</v>
      </c>
      <c r="F8" s="1060"/>
    </row>
    <row r="9" spans="1:6" ht="12.75" customHeight="1">
      <c r="A9" s="334" t="s">
        <v>545</v>
      </c>
      <c r="B9" s="335" t="s">
        <v>132</v>
      </c>
      <c r="C9" s="310">
        <f>'1.1.melléklet'!C52</f>
        <v>0</v>
      </c>
      <c r="D9" s="335" t="s">
        <v>137</v>
      </c>
      <c r="E9" s="316">
        <f>'1.1.melléklet'!C111</f>
        <v>0</v>
      </c>
      <c r="F9" s="1060"/>
    </row>
    <row r="10" spans="1:6" ht="12.75" customHeight="1">
      <c r="A10" s="334" t="s">
        <v>546</v>
      </c>
      <c r="B10" s="335" t="s">
        <v>133</v>
      </c>
      <c r="C10" s="310"/>
      <c r="D10" s="335" t="s">
        <v>757</v>
      </c>
      <c r="E10" s="316">
        <f>'1.1.melléklet'!C112</f>
        <v>0</v>
      </c>
      <c r="F10" s="1060"/>
    </row>
    <row r="11" spans="1:6" ht="12.75" customHeight="1">
      <c r="A11" s="334" t="s">
        <v>547</v>
      </c>
      <c r="B11" s="335" t="s">
        <v>134</v>
      </c>
      <c r="C11" s="311"/>
      <c r="D11" s="46" t="s">
        <v>583</v>
      </c>
      <c r="E11" s="316"/>
      <c r="F11" s="1060"/>
    </row>
    <row r="12" spans="1:6" ht="12.75" customHeight="1">
      <c r="A12" s="334" t="s">
        <v>548</v>
      </c>
      <c r="B12" s="46"/>
      <c r="C12" s="310"/>
      <c r="D12" s="46" t="s">
        <v>584</v>
      </c>
      <c r="E12" s="316">
        <v>330917742</v>
      </c>
      <c r="F12" s="1060"/>
    </row>
    <row r="13" spans="1:6" ht="12.75" customHeight="1">
      <c r="A13" s="334" t="s">
        <v>549</v>
      </c>
      <c r="B13" s="46"/>
      <c r="C13" s="310"/>
      <c r="D13" s="46"/>
      <c r="E13" s="316"/>
      <c r="F13" s="1060"/>
    </row>
    <row r="14" spans="1:6" ht="12.75" customHeight="1">
      <c r="A14" s="334" t="s">
        <v>550</v>
      </c>
      <c r="B14" s="46"/>
      <c r="C14" s="311"/>
      <c r="D14" s="46"/>
      <c r="E14" s="316"/>
      <c r="F14" s="1060"/>
    </row>
    <row r="15" spans="1:6" ht="12.75">
      <c r="A15" s="334" t="s">
        <v>551</v>
      </c>
      <c r="B15" s="46"/>
      <c r="C15" s="311"/>
      <c r="D15" s="46"/>
      <c r="E15" s="316"/>
      <c r="F15" s="1060"/>
    </row>
    <row r="16" spans="1:6" ht="12.75" customHeight="1" thickBot="1">
      <c r="A16" s="393" t="s">
        <v>552</v>
      </c>
      <c r="B16" s="424"/>
      <c r="C16" s="395"/>
      <c r="D16" s="394" t="s">
        <v>573</v>
      </c>
      <c r="E16" s="366"/>
      <c r="F16" s="1060"/>
    </row>
    <row r="17" spans="1:6" ht="15.75" customHeight="1" thickBot="1">
      <c r="A17" s="337" t="s">
        <v>553</v>
      </c>
      <c r="B17" s="126" t="s">
        <v>160</v>
      </c>
      <c r="C17" s="313">
        <f>+C6+C8+C9+C11+C12+C13+C14+C15+C16</f>
        <v>157449027</v>
      </c>
      <c r="D17" s="126" t="s">
        <v>161</v>
      </c>
      <c r="E17" s="318">
        <f>+E6+E8+E10+E11+E12+E13+E14+E15+E16</f>
        <v>652329027</v>
      </c>
      <c r="F17" s="1060"/>
    </row>
    <row r="18" spans="1:6" ht="12.75" customHeight="1">
      <c r="A18" s="332" t="s">
        <v>554</v>
      </c>
      <c r="B18" s="347" t="s">
        <v>775</v>
      </c>
      <c r="C18" s="354">
        <f>C19+C20+C21+C22+C23</f>
        <v>494880000</v>
      </c>
      <c r="D18" s="340" t="s">
        <v>713</v>
      </c>
      <c r="E18" s="78"/>
      <c r="F18" s="1060"/>
    </row>
    <row r="19" spans="1:6" ht="12.75" customHeight="1">
      <c r="A19" s="334" t="s">
        <v>555</v>
      </c>
      <c r="B19" s="348" t="s">
        <v>764</v>
      </c>
      <c r="C19" s="80">
        <f>'1.1.melléklet'!C73</f>
        <v>199880000</v>
      </c>
      <c r="D19" s="340" t="s">
        <v>716</v>
      </c>
      <c r="E19" s="81"/>
      <c r="F19" s="1060"/>
    </row>
    <row r="20" spans="1:6" ht="12.75" customHeight="1">
      <c r="A20" s="332" t="s">
        <v>556</v>
      </c>
      <c r="B20" s="348" t="s">
        <v>765</v>
      </c>
      <c r="C20" s="80"/>
      <c r="D20" s="340" t="s">
        <v>678</v>
      </c>
      <c r="E20" s="81"/>
      <c r="F20" s="1060"/>
    </row>
    <row r="21" spans="1:6" ht="12.75" customHeight="1">
      <c r="A21" s="334" t="s">
        <v>557</v>
      </c>
      <c r="B21" s="348" t="s">
        <v>766</v>
      </c>
      <c r="C21" s="80"/>
      <c r="D21" s="340" t="s">
        <v>679</v>
      </c>
      <c r="E21" s="81"/>
      <c r="F21" s="1060"/>
    </row>
    <row r="22" spans="1:6" ht="12.75" customHeight="1">
      <c r="A22" s="332" t="s">
        <v>558</v>
      </c>
      <c r="B22" s="348" t="s">
        <v>767</v>
      </c>
      <c r="C22" s="80">
        <v>295000000</v>
      </c>
      <c r="D22" s="339" t="s">
        <v>761</v>
      </c>
      <c r="E22" s="81"/>
      <c r="F22" s="1060"/>
    </row>
    <row r="23" spans="1:6" ht="12.75" customHeight="1">
      <c r="A23" s="334" t="s">
        <v>559</v>
      </c>
      <c r="B23" s="349" t="s">
        <v>768</v>
      </c>
      <c r="C23" s="80"/>
      <c r="D23" s="340" t="s">
        <v>717</v>
      </c>
      <c r="E23" s="81"/>
      <c r="F23" s="1060"/>
    </row>
    <row r="24" spans="1:6" ht="12.75" customHeight="1">
      <c r="A24" s="332" t="s">
        <v>560</v>
      </c>
      <c r="B24" s="350" t="s">
        <v>769</v>
      </c>
      <c r="C24" s="342">
        <f>+C25+C26+C27+C28+C29</f>
        <v>0</v>
      </c>
      <c r="D24" s="351" t="s">
        <v>715</v>
      </c>
      <c r="E24" s="81"/>
      <c r="F24" s="1060"/>
    </row>
    <row r="25" spans="1:6" ht="12.75" customHeight="1">
      <c r="A25" s="334" t="s">
        <v>561</v>
      </c>
      <c r="B25" s="349" t="s">
        <v>770</v>
      </c>
      <c r="C25" s="80"/>
      <c r="D25" s="351" t="s">
        <v>138</v>
      </c>
      <c r="E25" s="81"/>
      <c r="F25" s="1060"/>
    </row>
    <row r="26" spans="1:6" ht="12.75" customHeight="1">
      <c r="A26" s="332" t="s">
        <v>562</v>
      </c>
      <c r="B26" s="349" t="s">
        <v>771</v>
      </c>
      <c r="C26" s="80"/>
      <c r="D26" s="346"/>
      <c r="E26" s="81"/>
      <c r="F26" s="1060"/>
    </row>
    <row r="27" spans="1:6" ht="12.75" customHeight="1">
      <c r="A27" s="334" t="s">
        <v>563</v>
      </c>
      <c r="B27" s="348" t="s">
        <v>772</v>
      </c>
      <c r="C27" s="80"/>
      <c r="D27" s="122"/>
      <c r="E27" s="81"/>
      <c r="F27" s="1060"/>
    </row>
    <row r="28" spans="1:6" ht="12.75" customHeight="1">
      <c r="A28" s="332" t="s">
        <v>564</v>
      </c>
      <c r="B28" s="352" t="s">
        <v>773</v>
      </c>
      <c r="C28" s="80"/>
      <c r="D28" s="46"/>
      <c r="E28" s="81"/>
      <c r="F28" s="1060"/>
    </row>
    <row r="29" spans="1:6" ht="12.75" customHeight="1" thickBot="1">
      <c r="A29" s="334" t="s">
        <v>565</v>
      </c>
      <c r="B29" s="353" t="s">
        <v>774</v>
      </c>
      <c r="C29" s="80"/>
      <c r="D29" s="122"/>
      <c r="E29" s="81"/>
      <c r="F29" s="1060"/>
    </row>
    <row r="30" spans="1:6" ht="21.75" customHeight="1" thickBot="1">
      <c r="A30" s="337" t="s">
        <v>566</v>
      </c>
      <c r="B30" s="126" t="s">
        <v>135</v>
      </c>
      <c r="C30" s="313">
        <f>+C18+C24</f>
        <v>494880000</v>
      </c>
      <c r="D30" s="126" t="s">
        <v>139</v>
      </c>
      <c r="E30" s="318">
        <f>SUM(E18:E29)</f>
        <v>0</v>
      </c>
      <c r="F30" s="1060"/>
    </row>
    <row r="31" spans="1:6" ht="13.5" thickBot="1">
      <c r="A31" s="337" t="s">
        <v>567</v>
      </c>
      <c r="B31" s="343" t="s">
        <v>140</v>
      </c>
      <c r="C31" s="344">
        <f>+C17+C30</f>
        <v>652329027</v>
      </c>
      <c r="D31" s="343" t="s">
        <v>141</v>
      </c>
      <c r="E31" s="344">
        <f>+E17+E30</f>
        <v>652329027</v>
      </c>
      <c r="F31" s="1060"/>
    </row>
    <row r="32" spans="1:6" ht="13.5" thickBot="1">
      <c r="A32" s="337" t="s">
        <v>568</v>
      </c>
      <c r="B32" s="343" t="s">
        <v>691</v>
      </c>
      <c r="C32" s="344">
        <f>IF(C17-E17&lt;0,E17-C17,"-")</f>
        <v>494880000</v>
      </c>
      <c r="D32" s="343" t="s">
        <v>692</v>
      </c>
      <c r="E32" s="344" t="str">
        <f>IF(C17-E17&gt;0,C17-E17,"-")</f>
        <v>-</v>
      </c>
      <c r="F32" s="1060"/>
    </row>
    <row r="33" spans="1:6" ht="13.5" thickBot="1">
      <c r="A33" s="337" t="s">
        <v>569</v>
      </c>
      <c r="B33" s="343" t="s">
        <v>762</v>
      </c>
      <c r="C33" s="344" t="str">
        <f>IF(C17+C18-E31&lt;0,E31-(C17+C18),"-")</f>
        <v>-</v>
      </c>
      <c r="D33" s="343" t="s">
        <v>763</v>
      </c>
      <c r="E33" s="344" t="str">
        <f>IF(C17+C18-E31&gt;0,C17+C18-E31,"-")</f>
        <v>-</v>
      </c>
      <c r="F33" s="1060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27" t="s">
        <v>673</v>
      </c>
      <c r="E1" s="130" t="s">
        <v>677</v>
      </c>
    </row>
    <row r="3" spans="1:5" ht="12.75">
      <c r="A3" s="135"/>
      <c r="B3" s="136"/>
      <c r="C3" s="135"/>
      <c r="D3" s="138"/>
      <c r="E3" s="136"/>
    </row>
    <row r="4" spans="1:5" ht="15.75">
      <c r="A4" s="88" t="s">
        <v>22</v>
      </c>
      <c r="B4" s="137"/>
      <c r="C4" s="145"/>
      <c r="D4" s="138"/>
      <c r="E4" s="136"/>
    </row>
    <row r="5" spans="1:5" ht="12.75">
      <c r="A5" s="135"/>
      <c r="B5" s="136"/>
      <c r="C5" s="135"/>
      <c r="D5" s="138"/>
      <c r="E5" s="136"/>
    </row>
    <row r="6" spans="1:5" ht="12.75">
      <c r="A6" s="135" t="s">
        <v>142</v>
      </c>
      <c r="B6" s="136">
        <f>+'1.1.melléklet'!C62</f>
        <v>822717984</v>
      </c>
      <c r="C6" s="135" t="s">
        <v>143</v>
      </c>
      <c r="D6" s="138">
        <f>+'2.1.melléklet '!C18+'2.2.melléklet '!C17</f>
        <v>822717984</v>
      </c>
      <c r="E6" s="136">
        <f aca="true" t="shared" si="0" ref="E6:E15">+B6-D6</f>
        <v>0</v>
      </c>
    </row>
    <row r="7" spans="1:5" ht="12.75">
      <c r="A7" s="135" t="s">
        <v>144</v>
      </c>
      <c r="B7" s="136">
        <f>+'1.1.melléklet'!C85</f>
        <v>494880000</v>
      </c>
      <c r="C7" s="135" t="s">
        <v>145</v>
      </c>
      <c r="D7" s="138">
        <f>+'2.1.melléklet '!C27+'2.2.melléklet '!C30</f>
        <v>494880000</v>
      </c>
      <c r="E7" s="136">
        <f t="shared" si="0"/>
        <v>0</v>
      </c>
    </row>
    <row r="8" spans="1:5" ht="12.75">
      <c r="A8" s="135" t="s">
        <v>146</v>
      </c>
      <c r="B8" s="136">
        <f>+'1.1.melléklet'!C86</f>
        <v>1317597984</v>
      </c>
      <c r="C8" s="135" t="s">
        <v>147</v>
      </c>
      <c r="D8" s="138">
        <f>+'2.1.melléklet '!C28+'2.2.melléklet '!C31</f>
        <v>1317597984</v>
      </c>
      <c r="E8" s="136">
        <f t="shared" si="0"/>
        <v>0</v>
      </c>
    </row>
    <row r="9" spans="1:5" ht="12.75">
      <c r="A9" s="135"/>
      <c r="B9" s="136"/>
      <c r="C9" s="135"/>
      <c r="D9" s="138"/>
      <c r="E9" s="136"/>
    </row>
    <row r="10" spans="1:5" ht="12.75">
      <c r="A10" s="135"/>
      <c r="B10" s="136"/>
      <c r="C10" s="135"/>
      <c r="D10" s="138"/>
      <c r="E10" s="136"/>
    </row>
    <row r="11" spans="1:5" ht="15.75">
      <c r="A11" s="88" t="s">
        <v>23</v>
      </c>
      <c r="B11" s="137"/>
      <c r="C11" s="145"/>
      <c r="D11" s="138"/>
      <c r="E11" s="136"/>
    </row>
    <row r="12" spans="1:5" ht="12.75">
      <c r="A12" s="135"/>
      <c r="B12" s="136"/>
      <c r="C12" s="135"/>
      <c r="D12" s="138"/>
      <c r="E12" s="136"/>
    </row>
    <row r="13" spans="1:5" ht="12.75">
      <c r="A13" s="135" t="s">
        <v>153</v>
      </c>
      <c r="B13" s="136">
        <f>+'1.1.melléklet'!C124</f>
        <v>1317597984</v>
      </c>
      <c r="C13" s="135" t="s">
        <v>152</v>
      </c>
      <c r="D13" s="138">
        <f>+'2.1.melléklet '!E18+'2.2.melléklet '!E17</f>
        <v>1317597984</v>
      </c>
      <c r="E13" s="136">
        <f t="shared" si="0"/>
        <v>0</v>
      </c>
    </row>
    <row r="14" spans="1:5" ht="12.75">
      <c r="A14" s="135" t="s">
        <v>782</v>
      </c>
      <c r="B14" s="136">
        <f>+'1.1.melléklet'!C144</f>
        <v>0</v>
      </c>
      <c r="C14" s="135" t="s">
        <v>149</v>
      </c>
      <c r="D14" s="138">
        <f>+'2.1.melléklet '!E27+'2.2.melléklet '!E30</f>
        <v>0</v>
      </c>
      <c r="E14" s="136">
        <f t="shared" si="0"/>
        <v>0</v>
      </c>
    </row>
    <row r="15" spans="1:5" ht="12.75">
      <c r="A15" s="135" t="s">
        <v>154</v>
      </c>
      <c r="B15" s="136">
        <f>+'1.1.melléklet'!C145</f>
        <v>1317597984</v>
      </c>
      <c r="C15" s="135" t="s">
        <v>148</v>
      </c>
      <c r="D15" s="138">
        <f>+'2.1.melléklet '!E28+'2.2.melléklet '!E31</f>
        <v>1317597984</v>
      </c>
      <c r="E15" s="136">
        <f t="shared" si="0"/>
        <v>0</v>
      </c>
    </row>
    <row r="16" spans="1:5" ht="12.75">
      <c r="A16" s="128"/>
      <c r="B16" s="128"/>
      <c r="C16" s="135"/>
      <c r="D16" s="138"/>
      <c r="E16" s="129"/>
    </row>
    <row r="17" spans="1:5" ht="12.75">
      <c r="A17" s="128"/>
      <c r="B17" s="128"/>
      <c r="C17" s="128"/>
      <c r="D17" s="128"/>
      <c r="E17" s="128"/>
    </row>
    <row r="18" spans="1:5" ht="12.75">
      <c r="A18" s="128"/>
      <c r="B18" s="128"/>
      <c r="C18" s="128"/>
      <c r="D18" s="128"/>
      <c r="E18" s="128"/>
    </row>
    <row r="19" spans="1:5" ht="12.75">
      <c r="A19" s="128"/>
      <c r="B19" s="128"/>
      <c r="C19" s="128"/>
      <c r="D19" s="128"/>
      <c r="E19" s="128"/>
    </row>
  </sheetData>
  <sheetProtection/>
  <conditionalFormatting sqref="E3:E15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E2" sqref="E2:F2"/>
    </sheetView>
  </sheetViews>
  <sheetFormatPr defaultColWidth="9.00390625" defaultRowHeight="12.75"/>
  <cols>
    <col min="1" max="1" width="5.625" style="148" customWidth="1"/>
    <col min="2" max="2" width="35.625" style="148" customWidth="1"/>
    <col min="3" max="6" width="14.00390625" style="148" customWidth="1"/>
    <col min="7" max="16384" width="9.375" style="148" customWidth="1"/>
  </cols>
  <sheetData>
    <row r="1" spans="1:6" ht="33" customHeight="1">
      <c r="A1" s="1054" t="s">
        <v>204</v>
      </c>
      <c r="B1" s="1054"/>
      <c r="C1" s="1054"/>
      <c r="D1" s="1054"/>
      <c r="E1" s="1054"/>
      <c r="F1" s="1054"/>
    </row>
    <row r="2" spans="1:7" ht="15.75" customHeight="1" thickBot="1">
      <c r="A2" s="149"/>
      <c r="B2" s="149"/>
      <c r="C2" s="1055"/>
      <c r="D2" s="1055"/>
      <c r="E2" s="1067"/>
      <c r="F2" s="1067"/>
      <c r="G2" s="156"/>
    </row>
    <row r="3" spans="1:6" ht="63" customHeight="1">
      <c r="A3" s="1050" t="s">
        <v>540</v>
      </c>
      <c r="B3" s="1065" t="s">
        <v>720</v>
      </c>
      <c r="C3" s="1065" t="s">
        <v>783</v>
      </c>
      <c r="D3" s="1065"/>
      <c r="E3" s="1065"/>
      <c r="F3" s="1056" t="s">
        <v>778</v>
      </c>
    </row>
    <row r="4" spans="1:6" ht="15.75" thickBot="1">
      <c r="A4" s="1051"/>
      <c r="B4" s="1066"/>
      <c r="C4" s="151" t="s">
        <v>777</v>
      </c>
      <c r="D4" s="151" t="s">
        <v>155</v>
      </c>
      <c r="E4" s="151" t="s">
        <v>315</v>
      </c>
      <c r="F4" s="1049"/>
    </row>
    <row r="5" spans="1:6" ht="15.75" thickBot="1">
      <c r="A5" s="153">
        <v>1</v>
      </c>
      <c r="B5" s="154">
        <v>2</v>
      </c>
      <c r="C5" s="154">
        <v>3</v>
      </c>
      <c r="D5" s="154">
        <v>4</v>
      </c>
      <c r="E5" s="154">
        <v>5</v>
      </c>
      <c r="F5" s="155">
        <v>6</v>
      </c>
    </row>
    <row r="6" spans="1:6" ht="15">
      <c r="A6" s="152" t="s">
        <v>542</v>
      </c>
      <c r="B6" s="173" t="s">
        <v>412</v>
      </c>
      <c r="C6" s="174"/>
      <c r="D6" s="174"/>
      <c r="E6" s="174"/>
      <c r="F6" s="159">
        <f>SUM(C6:E6)</f>
        <v>0</v>
      </c>
    </row>
    <row r="7" spans="1:6" ht="15">
      <c r="A7" s="150" t="s">
        <v>543</v>
      </c>
      <c r="B7" s="175"/>
      <c r="C7" s="176"/>
      <c r="D7" s="176"/>
      <c r="E7" s="176"/>
      <c r="F7" s="160">
        <f>SUM(C7:E7)</f>
        <v>0</v>
      </c>
    </row>
    <row r="8" spans="1:6" ht="15">
      <c r="A8" s="150" t="s">
        <v>544</v>
      </c>
      <c r="B8" s="175"/>
      <c r="C8" s="176"/>
      <c r="D8" s="176"/>
      <c r="E8" s="176"/>
      <c r="F8" s="160">
        <f>SUM(C8:E8)</f>
        <v>0</v>
      </c>
    </row>
    <row r="9" spans="1:6" ht="15">
      <c r="A9" s="150" t="s">
        <v>545</v>
      </c>
      <c r="B9" s="175"/>
      <c r="C9" s="176"/>
      <c r="D9" s="176"/>
      <c r="E9" s="176"/>
      <c r="F9" s="160">
        <f>SUM(C9:E9)</f>
        <v>0</v>
      </c>
    </row>
    <row r="10" spans="1:6" ht="15.75" thickBot="1">
      <c r="A10" s="157" t="s">
        <v>546</v>
      </c>
      <c r="B10" s="177"/>
      <c r="C10" s="178"/>
      <c r="D10" s="178"/>
      <c r="E10" s="178"/>
      <c r="F10" s="160">
        <f>SUM(C10:E10)</f>
        <v>0</v>
      </c>
    </row>
    <row r="11" spans="1:6" s="456" customFormat="1" ht="15" thickBot="1">
      <c r="A11" s="453" t="s">
        <v>547</v>
      </c>
      <c r="B11" s="158" t="s">
        <v>721</v>
      </c>
      <c r="C11" s="454">
        <f>SUM(C6:C10)</f>
        <v>0</v>
      </c>
      <c r="D11" s="454">
        <f>SUM(D6:D10)</f>
        <v>0</v>
      </c>
      <c r="E11" s="454">
        <f>SUM(E6:E10)</f>
        <v>0</v>
      </c>
      <c r="F11" s="455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1/2017. (II.07.)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Vera</cp:lastModifiedBy>
  <cp:lastPrinted>2017-01-26T09:32:23Z</cp:lastPrinted>
  <dcterms:created xsi:type="dcterms:W3CDTF">1999-10-30T10:30:45Z</dcterms:created>
  <dcterms:modified xsi:type="dcterms:W3CDTF">2017-02-08T14:46:18Z</dcterms:modified>
  <cp:category/>
  <cp:version/>
  <cp:contentType/>
  <cp:contentStatus/>
</cp:coreProperties>
</file>