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55" windowWidth="12120" windowHeight="1980" tabRatio="803" activeTab="5"/>
  </bookViews>
  <sheets>
    <sheet name="önként2017." sheetId="1" r:id="rId1"/>
    <sheet name="kötelező2017." sheetId="2" r:id="rId2"/>
    <sheet name="önként2017.felh." sheetId="3" r:id="rId3"/>
    <sheet name="kötelező2017.felh." sheetId="4" r:id="rId4"/>
    <sheet name="önkét2017.finansz." sheetId="5" r:id="rId5"/>
    <sheet name="kötelező2017.finansz." sheetId="6" r:id="rId6"/>
  </sheets>
  <definedNames>
    <definedName name="Excel_BuiltIn_Print_Area_321">#REF!</definedName>
    <definedName name="Excel_BuiltIn_Print_Area_331">#REF!</definedName>
    <definedName name="Excel_BuiltIn_Print_Area_6">#REF!</definedName>
    <definedName name="_xlnm.Print_Area" localSheetId="1">'kötelező2017.'!$A$1:$M$45</definedName>
    <definedName name="_xlnm.Print_Area" localSheetId="3">'kötelező2017.felh.'!$A$1:$M$30</definedName>
    <definedName name="_xlnm.Print_Area" localSheetId="5">'kötelező2017.finansz.'!$A$1:$M$17</definedName>
    <definedName name="_xlnm.Print_Area" localSheetId="0">'önként2017.'!$A$1:$L$35</definedName>
    <definedName name="_xlnm.Print_Area" localSheetId="2">'önként2017.felh.'!$A$1:$L$43</definedName>
    <definedName name="_xlnm.Print_Area" localSheetId="4">'önkét2017.finansz.'!$A$1:$L$30</definedName>
  </definedNames>
  <calcPr fullCalcOnLoad="1"/>
</workbook>
</file>

<file path=xl/sharedStrings.xml><?xml version="1.0" encoding="utf-8"?>
<sst xmlns="http://schemas.openxmlformats.org/spreadsheetml/2006/main" count="230" uniqueCount="114">
  <si>
    <t>ezer Ft-ban</t>
  </si>
  <si>
    <t>Általános tartalék</t>
  </si>
  <si>
    <t>Életkezdési támogatás</t>
  </si>
  <si>
    <t>Megnevezés</t>
  </si>
  <si>
    <t>Települési igazgatási</t>
  </si>
  <si>
    <t>Szociális és gyermekjóléti ellátások (segélyek)</t>
  </si>
  <si>
    <t>Közművelődési, tevékenység</t>
  </si>
  <si>
    <t>Bölcsődei ellátás</t>
  </si>
  <si>
    <t>Időskorúak nappali ellátása</t>
  </si>
  <si>
    <t>Házi szociális gondozás</t>
  </si>
  <si>
    <t>Bentlakásos és átm.elh.nyújtó int. ellátás</t>
  </si>
  <si>
    <t>Szociális étkeztetés</t>
  </si>
  <si>
    <t>Közcélú foglalkoztatás</t>
  </si>
  <si>
    <t>Családsegítő és gyermekjóléti szolgálat</t>
  </si>
  <si>
    <t>Közösségi ellátás</t>
  </si>
  <si>
    <t>Háziorvosi szolgálat</t>
  </si>
  <si>
    <t>Park és zöldterület fenntartás</t>
  </si>
  <si>
    <t>Útfenntartás</t>
  </si>
  <si>
    <t>Egyéb település üzemeltetés</t>
  </si>
  <si>
    <t>Vagyonhasznosítás és kezelés</t>
  </si>
  <si>
    <t>Összesen:</t>
  </si>
  <si>
    <t>Működési célú támogatás</t>
  </si>
  <si>
    <t>Vagyongazd.összefüggő műk.kiadások</t>
  </si>
  <si>
    <t>Egynapos sebészet</t>
  </si>
  <si>
    <t>Képalkotó diag.szolg.</t>
  </si>
  <si>
    <t>Eü.laboratóriumi szolgáltatás</t>
  </si>
  <si>
    <t>Működési célú tartalék</t>
  </si>
  <si>
    <t>Szociális bolt engedm.elsz.</t>
  </si>
  <si>
    <t>Szociális és gyermekjóléti fa.</t>
  </si>
  <si>
    <t>Fogorvosi szolgálat gyermek(heti óra )</t>
  </si>
  <si>
    <t>Ügyeleti szolgálat (óra)</t>
  </si>
  <si>
    <t>Ifjúságeü.ellátás</t>
  </si>
  <si>
    <t>Közoktatási feladatok működési kiadásai</t>
  </si>
  <si>
    <t>3.számú melléklet</t>
  </si>
  <si>
    <t>4. számú melléklet</t>
  </si>
  <si>
    <t>Védőnők</t>
  </si>
  <si>
    <t>Járóbeteg szakellátás (napi óra)</t>
  </si>
  <si>
    <t>Foglalkozás-eü. ellátás (napi óra)</t>
  </si>
  <si>
    <t>Gondozók (napi óra)</t>
  </si>
  <si>
    <t>Települési igazgatás</t>
  </si>
  <si>
    <t>Nemzetiségi önkormányzatok támogatása</t>
  </si>
  <si>
    <t>2 Blesz összesen</t>
  </si>
  <si>
    <t>1 Önkormányzat összesen</t>
  </si>
  <si>
    <t>4 Polgármesteri Hivatal összesen</t>
  </si>
  <si>
    <t>5001 Egyesített bölcsődék</t>
  </si>
  <si>
    <t>5002 Egyesített Szociális Intézmény</t>
  </si>
  <si>
    <t>2 BLESZ összesen</t>
  </si>
  <si>
    <t>5003 Játékkal-mesével Óvoda</t>
  </si>
  <si>
    <t>5004 Tesz-vesz Óvoda</t>
  </si>
  <si>
    <t>5005 Bástya Óvoda</t>
  </si>
  <si>
    <t>5006 Balaton Óvoda</t>
  </si>
  <si>
    <t>Pénz-         maradvány fedezete %</t>
  </si>
  <si>
    <t>Állategészségügyi feladatok</t>
  </si>
  <si>
    <t>Közterület felügyeleti kiadások</t>
  </si>
  <si>
    <t>Parkolási feladatok</t>
  </si>
  <si>
    <t>3 Önálló Közterület-felügyelet összesen</t>
  </si>
  <si>
    <t>Parkolási tevékenység tárgyévi kiadásai</t>
  </si>
  <si>
    <t>Jelzőrendszeres házi segítségnyújtás</t>
  </si>
  <si>
    <t>Polgármesteri Hivatal</t>
  </si>
  <si>
    <t>Államigazgatási feladatok</t>
  </si>
  <si>
    <t>Önkorm.műk.kapcs.kiad.</t>
  </si>
  <si>
    <t>Önkorm.műk. kapcs. kiadások</t>
  </si>
  <si>
    <t>Kv.         maradvány</t>
  </si>
  <si>
    <t>Egészségügyi és Szoc. Biz. Kiad.</t>
  </si>
  <si>
    <t>Kulturális és tanácsnoki keret kiad.</t>
  </si>
  <si>
    <t xml:space="preserve">Állami támogatás </t>
  </si>
  <si>
    <t xml:space="preserve">Állami támogatás fedezete % </t>
  </si>
  <si>
    <t>Állami támogatás</t>
  </si>
  <si>
    <t>Intézm. bevételek fedezete %</t>
  </si>
  <si>
    <t>Saját intézményi bevételek</t>
  </si>
  <si>
    <t xml:space="preserve">Kiadási előirányzat 100% </t>
  </si>
  <si>
    <t>OEP fin. +átvett pe.</t>
  </si>
  <si>
    <t>Átvett pe.       fedezete %</t>
  </si>
  <si>
    <t>Önkorm. Hozzájárulás</t>
  </si>
  <si>
    <t>Önkormányzati hozzájárulás fedezete %</t>
  </si>
  <si>
    <t>Kiadási előirányzat 100%</t>
  </si>
  <si>
    <t xml:space="preserve">Intézm.         bevételek fedezete % </t>
  </si>
  <si>
    <t>Állami támogatás fedezete %</t>
  </si>
  <si>
    <t>Átvett pe. + tb.támogatás</t>
  </si>
  <si>
    <t xml:space="preserve">Átvett pe.       fedezete %  </t>
  </si>
  <si>
    <t xml:space="preserve">Önkorm.       hozzájárulás </t>
  </si>
  <si>
    <t xml:space="preserve">Önkormányzati hozzájárulás fedezete % </t>
  </si>
  <si>
    <t>Kv.       Maradvány és betétlekötés megszüntetése</t>
  </si>
  <si>
    <t>2017. Működési költségvetés -  Önként vállalt feladatkörök</t>
  </si>
  <si>
    <t>2017. Működési költségvetés  -  Kötelezően előírt feladatkörök</t>
  </si>
  <si>
    <t>2017. Felhalmozási költségvetés -  Önként vállalt feladatkörök</t>
  </si>
  <si>
    <t>Felújítási kiadások</t>
  </si>
  <si>
    <t xml:space="preserve"> áthúzódó kötelezettségek</t>
  </si>
  <si>
    <t xml:space="preserve"> tárgyévi terveztett kiadás</t>
  </si>
  <si>
    <t>Felhalmozási bevételek</t>
  </si>
  <si>
    <t xml:space="preserve">Támogatás és átvett pe. </t>
  </si>
  <si>
    <t>Felhalmozási kiadások</t>
  </si>
  <si>
    <t>Felhalmozási célú pénzeszközátadás</t>
  </si>
  <si>
    <t>Kölcsönnyújtás</t>
  </si>
  <si>
    <t>Felhalmozási célú tartalék</t>
  </si>
  <si>
    <t>2017. Felhalmozási költségvetés  -  Kötelezően előírt feladatkörök</t>
  </si>
  <si>
    <t>Közbiztonság kiadásai</t>
  </si>
  <si>
    <t>Oktatási Bizottság kiadásai</t>
  </si>
  <si>
    <t>Emberi jogi,Nemz.és Egyházügyi Biz.kiad.</t>
  </si>
  <si>
    <t>Egyesített Szociális Intézmény</t>
  </si>
  <si>
    <t>Játékkal-mesével Óvoda</t>
  </si>
  <si>
    <t>Bástya Óvoda</t>
  </si>
  <si>
    <t>Egyesített Bölcsődék</t>
  </si>
  <si>
    <t>Tesz-vesz Óvoda</t>
  </si>
  <si>
    <t>Balaton Óvoda</t>
  </si>
  <si>
    <t>2017. Finanszírozási kiadások -  Önként vállalt feladatkörök</t>
  </si>
  <si>
    <t>Belföldi értékpapírok kiadásai</t>
  </si>
  <si>
    <t>2017. Finanszírozási kiadások  -  Kötelezően előírt feladatkörök</t>
  </si>
  <si>
    <t>működési támogatás</t>
  </si>
  <si>
    <t>felhalmozási támogatás</t>
  </si>
  <si>
    <t>ÁH-n belüli megelőlegezés visszafizetése</t>
  </si>
  <si>
    <t>Irányító szervi támogatásként folyó.támogatás</t>
  </si>
  <si>
    <t>Családsegítő és gyermekjóléti központ</t>
  </si>
  <si>
    <t>Egyéb kiegészítő szolgáltatások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</si>
</sst>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%"/>
    <numFmt numFmtId="166" formatCode="_-* #,##0.000\ _F_t_-;\-* #,##0.000\ _F_t_-;_-* &quot;-&quot;??\ _F_t_-;_-@_-"/>
    <numFmt numFmtId="167" formatCode="_-* #,##0.0\ _F_t_-;\-* #,##0.0\ _F_t_-;_-* &quot;-&quot;??\ _F_t_-;_-@_-"/>
    <numFmt numFmtId="168" formatCode="_-* #,##0\ _F_t_-;\-* #,##0\ _F_t_-;_-* &quot;-&quot;??\ _F_t_-;_-@_-"/>
    <numFmt numFmtId="169" formatCode="_-* #,##0.0000\ _F_t_-;\-* #,##0.0000\ _F_t_-;_-* &quot;-&quot;??\ _F_t_-;_-@_-"/>
    <numFmt numFmtId="170" formatCode="0.000"/>
    <numFmt numFmtId="171" formatCode="0.0000"/>
    <numFmt numFmtId="172" formatCode="#,##0.00\ _F_t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8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shrinkToFit="1"/>
    </xf>
    <xf numFmtId="3" fontId="10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shrinkToFit="1"/>
    </xf>
    <xf numFmtId="3" fontId="10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 shrinkToFit="1"/>
    </xf>
    <xf numFmtId="3" fontId="10" fillId="0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 horizontal="right"/>
    </xf>
    <xf numFmtId="2" fontId="3" fillId="0" borderId="17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shrinkToFit="1"/>
    </xf>
    <xf numFmtId="3" fontId="9" fillId="0" borderId="19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 horizontal="right"/>
    </xf>
    <xf numFmtId="0" fontId="12" fillId="0" borderId="18" xfId="0" applyFont="1" applyFill="1" applyBorder="1" applyAlignment="1">
      <alignment shrinkToFit="1"/>
    </xf>
    <xf numFmtId="2" fontId="9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 horizontal="right"/>
    </xf>
    <xf numFmtId="2" fontId="12" fillId="0" borderId="19" xfId="0" applyNumberFormat="1" applyFont="1" applyFill="1" applyBorder="1" applyAlignment="1">
      <alignment horizontal="right"/>
    </xf>
    <xf numFmtId="2" fontId="12" fillId="0" borderId="21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3" fillId="0" borderId="22" xfId="0" applyFont="1" applyFill="1" applyBorder="1" applyAlignment="1">
      <alignment shrinkToFit="1"/>
    </xf>
    <xf numFmtId="3" fontId="10" fillId="0" borderId="23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 horizontal="right"/>
    </xf>
    <xf numFmtId="2" fontId="3" fillId="0" borderId="23" xfId="0" applyNumberFormat="1" applyFont="1" applyFill="1" applyBorder="1" applyAlignment="1">
      <alignment horizontal="right"/>
    </xf>
    <xf numFmtId="2" fontId="3" fillId="0" borderId="24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9" fillId="0" borderId="1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shrinkToFit="1"/>
    </xf>
    <xf numFmtId="2" fontId="3" fillId="0" borderId="20" xfId="0" applyNumberFormat="1" applyFont="1" applyFill="1" applyBorder="1" applyAlignment="1">
      <alignment horizontal="right"/>
    </xf>
    <xf numFmtId="2" fontId="3" fillId="0" borderId="26" xfId="0" applyNumberFormat="1" applyFont="1" applyFill="1" applyBorder="1" applyAlignment="1">
      <alignment/>
    </xf>
    <xf numFmtId="2" fontId="9" fillId="0" borderId="21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0" borderId="27" xfId="0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64" fontId="2" fillId="0" borderId="27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" fontId="9" fillId="0" borderId="19" xfId="0" applyNumberFormat="1" applyFont="1" applyFill="1" applyBorder="1" applyAlignment="1">
      <alignment horizontal="center" vertical="center" wrapText="1"/>
    </xf>
    <xf numFmtId="2" fontId="9" fillId="0" borderId="2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9" fillId="0" borderId="19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12" fillId="0" borderId="19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2" fontId="3" fillId="0" borderId="28" xfId="0" applyNumberFormat="1" applyFont="1" applyFill="1" applyBorder="1" applyAlignment="1">
      <alignment/>
    </xf>
    <xf numFmtId="4" fontId="9" fillId="0" borderId="21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 horizontal="right"/>
    </xf>
    <xf numFmtId="2" fontId="10" fillId="0" borderId="14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2" fontId="10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3" fontId="10" fillId="0" borderId="17" xfId="0" applyNumberFormat="1" applyFont="1" applyFill="1" applyBorder="1" applyAlignment="1">
      <alignment horizontal="right"/>
    </xf>
    <xf numFmtId="2" fontId="10" fillId="0" borderId="17" xfId="0" applyNumberFormat="1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 shrinkToFit="1"/>
    </xf>
    <xf numFmtId="3" fontId="10" fillId="0" borderId="30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 horizontal="right"/>
    </xf>
    <xf numFmtId="2" fontId="3" fillId="0" borderId="30" xfId="0" applyNumberFormat="1" applyFont="1" applyFill="1" applyBorder="1" applyAlignment="1">
      <alignment horizontal="right"/>
    </xf>
    <xf numFmtId="4" fontId="3" fillId="0" borderId="30" xfId="0" applyNumberFormat="1" applyFont="1" applyFill="1" applyBorder="1" applyAlignment="1">
      <alignment horizontal="right"/>
    </xf>
    <xf numFmtId="2" fontId="3" fillId="0" borderId="31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2" fillId="0" borderId="10" xfId="0" applyFont="1" applyFill="1" applyBorder="1" applyAlignment="1">
      <alignment shrinkToFit="1"/>
    </xf>
    <xf numFmtId="0" fontId="12" fillId="0" borderId="13" xfId="0" applyFont="1" applyFill="1" applyBorder="1" applyAlignment="1">
      <alignment shrinkToFit="1"/>
    </xf>
    <xf numFmtId="0" fontId="12" fillId="0" borderId="22" xfId="0" applyFont="1" applyFill="1" applyBorder="1" applyAlignment="1">
      <alignment shrinkToFit="1"/>
    </xf>
    <xf numFmtId="2" fontId="9" fillId="0" borderId="32" xfId="0" applyNumberFormat="1" applyFont="1" applyFill="1" applyBorder="1" applyAlignment="1">
      <alignment/>
    </xf>
    <xf numFmtId="172" fontId="10" fillId="0" borderId="11" xfId="0" applyNumberFormat="1" applyFont="1" applyFill="1" applyBorder="1" applyAlignment="1">
      <alignment/>
    </xf>
    <xf numFmtId="172" fontId="10" fillId="0" borderId="14" xfId="0" applyNumberFormat="1" applyFont="1" applyFill="1" applyBorder="1" applyAlignment="1">
      <alignment/>
    </xf>
    <xf numFmtId="172" fontId="10" fillId="0" borderId="23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172" fontId="10" fillId="0" borderId="20" xfId="0" applyNumberFormat="1" applyFont="1" applyFill="1" applyBorder="1" applyAlignment="1">
      <alignment/>
    </xf>
    <xf numFmtId="172" fontId="9" fillId="0" borderId="19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172" fontId="9" fillId="0" borderId="30" xfId="0" applyNumberFormat="1" applyFont="1" applyFill="1" applyBorder="1" applyAlignment="1">
      <alignment/>
    </xf>
    <xf numFmtId="2" fontId="9" fillId="0" borderId="30" xfId="0" applyNumberFormat="1" applyFont="1" applyFill="1" applyBorder="1" applyAlignment="1">
      <alignment/>
    </xf>
    <xf numFmtId="2" fontId="9" fillId="0" borderId="31" xfId="0" applyNumberFormat="1" applyFont="1" applyFill="1" applyBorder="1" applyAlignment="1">
      <alignment/>
    </xf>
    <xf numFmtId="0" fontId="12" fillId="0" borderId="18" xfId="0" applyFont="1" applyFill="1" applyBorder="1" applyAlignment="1">
      <alignment shrinkToFit="1"/>
    </xf>
    <xf numFmtId="3" fontId="9" fillId="0" borderId="20" xfId="0" applyNumberFormat="1" applyFont="1" applyFill="1" applyBorder="1" applyAlignment="1">
      <alignment/>
    </xf>
    <xf numFmtId="172" fontId="9" fillId="0" borderId="20" xfId="0" applyNumberFormat="1" applyFont="1" applyFill="1" applyBorder="1" applyAlignment="1">
      <alignment/>
    </xf>
    <xf numFmtId="2" fontId="9" fillId="0" borderId="20" xfId="0" applyNumberFormat="1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172" fontId="9" fillId="0" borderId="23" xfId="0" applyNumberFormat="1" applyFont="1" applyFill="1" applyBorder="1" applyAlignment="1">
      <alignment/>
    </xf>
    <xf numFmtId="2" fontId="9" fillId="0" borderId="23" xfId="0" applyNumberFormat="1" applyFont="1" applyFill="1" applyBorder="1" applyAlignment="1">
      <alignment/>
    </xf>
    <xf numFmtId="2" fontId="9" fillId="0" borderId="24" xfId="0" applyNumberFormat="1" applyFont="1" applyFill="1" applyBorder="1" applyAlignment="1">
      <alignment/>
    </xf>
    <xf numFmtId="0" fontId="3" fillId="0" borderId="33" xfId="0" applyFont="1" applyFill="1" applyBorder="1" applyAlignment="1">
      <alignment shrinkToFit="1"/>
    </xf>
    <xf numFmtId="0" fontId="12" fillId="0" borderId="33" xfId="0" applyFont="1" applyFill="1" applyBorder="1" applyAlignment="1">
      <alignment shrinkToFit="1"/>
    </xf>
    <xf numFmtId="3" fontId="9" fillId="0" borderId="17" xfId="0" applyNumberFormat="1" applyFont="1" applyFill="1" applyBorder="1" applyAlignment="1">
      <alignment/>
    </xf>
    <xf numFmtId="172" fontId="9" fillId="0" borderId="17" xfId="0" applyNumberFormat="1" applyFont="1" applyFill="1" applyBorder="1" applyAlignment="1">
      <alignment/>
    </xf>
    <xf numFmtId="2" fontId="9" fillId="0" borderId="17" xfId="0" applyNumberFormat="1" applyFont="1" applyFill="1" applyBorder="1" applyAlignment="1">
      <alignment/>
    </xf>
    <xf numFmtId="2" fontId="9" fillId="0" borderId="28" xfId="0" applyNumberFormat="1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4" fontId="9" fillId="0" borderId="30" xfId="0" applyNumberFormat="1" applyFont="1" applyFill="1" applyBorder="1" applyAlignment="1">
      <alignment/>
    </xf>
    <xf numFmtId="4" fontId="9" fillId="0" borderId="31" xfId="0" applyNumberFormat="1" applyFont="1" applyFill="1" applyBorder="1" applyAlignment="1">
      <alignment/>
    </xf>
    <xf numFmtId="4" fontId="9" fillId="0" borderId="20" xfId="0" applyNumberFormat="1" applyFont="1" applyFill="1" applyBorder="1" applyAlignment="1">
      <alignment/>
    </xf>
    <xf numFmtId="4" fontId="9" fillId="0" borderId="26" xfId="0" applyNumberFormat="1" applyFont="1" applyFill="1" applyBorder="1" applyAlignment="1">
      <alignment/>
    </xf>
    <xf numFmtId="0" fontId="12" fillId="0" borderId="16" xfId="0" applyFont="1" applyFill="1" applyBorder="1" applyAlignment="1">
      <alignment shrinkToFit="1"/>
    </xf>
    <xf numFmtId="0" fontId="10" fillId="0" borderId="10" xfId="0" applyFont="1" applyFill="1" applyBorder="1" applyAlignment="1">
      <alignment shrinkToFit="1"/>
    </xf>
    <xf numFmtId="0" fontId="10" fillId="0" borderId="13" xfId="0" applyFont="1" applyFill="1" applyBorder="1" applyAlignment="1">
      <alignment shrinkToFit="1"/>
    </xf>
    <xf numFmtId="0" fontId="10" fillId="0" borderId="16" xfId="0" applyFont="1" applyFill="1" applyBorder="1" applyAlignment="1">
      <alignment shrinkToFit="1"/>
    </xf>
    <xf numFmtId="4" fontId="3" fillId="0" borderId="14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shrinkToFit="1"/>
    </xf>
    <xf numFmtId="0" fontId="12" fillId="0" borderId="25" xfId="0" applyFont="1" applyFill="1" applyBorder="1" applyAlignment="1">
      <alignment shrinkToFit="1"/>
    </xf>
    <xf numFmtId="0" fontId="3" fillId="0" borderId="34" xfId="0" applyFont="1" applyFill="1" applyBorder="1" applyAlignment="1">
      <alignment shrinkToFit="1"/>
    </xf>
    <xf numFmtId="0" fontId="12" fillId="0" borderId="22" xfId="0" applyFont="1" applyFill="1" applyBorder="1" applyAlignment="1">
      <alignment shrinkToFit="1"/>
    </xf>
    <xf numFmtId="3" fontId="12" fillId="0" borderId="23" xfId="0" applyNumberFormat="1" applyFont="1" applyFill="1" applyBorder="1" applyAlignment="1">
      <alignment horizontal="right"/>
    </xf>
    <xf numFmtId="2" fontId="12" fillId="0" borderId="23" xfId="0" applyNumberFormat="1" applyFont="1" applyFill="1" applyBorder="1" applyAlignment="1">
      <alignment horizontal="right"/>
    </xf>
    <xf numFmtId="4" fontId="12" fillId="0" borderId="23" xfId="0" applyNumberFormat="1" applyFont="1" applyFill="1" applyBorder="1" applyAlignment="1">
      <alignment horizontal="right"/>
    </xf>
    <xf numFmtId="2" fontId="12" fillId="0" borderId="24" xfId="0" applyNumberFormat="1" applyFont="1" applyFill="1" applyBorder="1" applyAlignment="1">
      <alignment/>
    </xf>
    <xf numFmtId="2" fontId="12" fillId="0" borderId="35" xfId="0" applyNumberFormat="1" applyFont="1" applyFill="1" applyBorder="1" applyAlignment="1">
      <alignment horizontal="right"/>
    </xf>
    <xf numFmtId="3" fontId="12" fillId="0" borderId="36" xfId="0" applyNumberFormat="1" applyFont="1" applyFill="1" applyBorder="1" applyAlignment="1">
      <alignment horizontal="right"/>
    </xf>
    <xf numFmtId="2" fontId="12" fillId="0" borderId="37" xfId="0" applyNumberFormat="1" applyFont="1" applyFill="1" applyBorder="1" applyAlignment="1">
      <alignment/>
    </xf>
    <xf numFmtId="172" fontId="10" fillId="0" borderId="11" xfId="0" applyNumberFormat="1" applyFont="1" applyFill="1" applyBorder="1" applyAlignment="1">
      <alignment horizontal="right"/>
    </xf>
    <xf numFmtId="172" fontId="10" fillId="0" borderId="14" xfId="0" applyNumberFormat="1" applyFont="1" applyFill="1" applyBorder="1" applyAlignment="1">
      <alignment horizontal="right"/>
    </xf>
    <xf numFmtId="4" fontId="9" fillId="0" borderId="19" xfId="0" applyNumberFormat="1" applyFont="1" applyFill="1" applyBorder="1" applyAlignment="1">
      <alignment horizontal="right"/>
    </xf>
    <xf numFmtId="172" fontId="10" fillId="0" borderId="17" xfId="0" applyNumberFormat="1" applyFont="1" applyFill="1" applyBorder="1" applyAlignment="1">
      <alignment horizontal="right"/>
    </xf>
    <xf numFmtId="172" fontId="9" fillId="0" borderId="19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shrinkToFit="1"/>
    </xf>
    <xf numFmtId="172" fontId="10" fillId="0" borderId="23" xfId="0" applyNumberFormat="1" applyFont="1" applyFill="1" applyBorder="1" applyAlignment="1">
      <alignment horizontal="right"/>
    </xf>
    <xf numFmtId="172" fontId="10" fillId="0" borderId="2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 horizontal="right"/>
    </xf>
    <xf numFmtId="3" fontId="2" fillId="0" borderId="19" xfId="0" applyNumberFormat="1" applyFont="1" applyFill="1" applyBorder="1" applyAlignment="1">
      <alignment/>
    </xf>
    <xf numFmtId="4" fontId="0" fillId="0" borderId="21" xfId="0" applyNumberFormat="1" applyFill="1" applyBorder="1" applyAlignment="1">
      <alignment/>
    </xf>
    <xf numFmtId="0" fontId="3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justify"/>
    </xf>
    <xf numFmtId="164" fontId="3" fillId="0" borderId="0" xfId="0" applyNumberFormat="1" applyFont="1" applyFill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L54" sqref="L54"/>
    </sheetView>
  </sheetViews>
  <sheetFormatPr defaultColWidth="9.00390625" defaultRowHeight="12.75"/>
  <cols>
    <col min="1" max="1" width="25.00390625" style="1" customWidth="1"/>
    <col min="2" max="2" width="10.125" style="1" customWidth="1"/>
    <col min="3" max="3" width="10.75390625" style="1" customWidth="1"/>
    <col min="4" max="4" width="9.625" style="85" customWidth="1"/>
    <col min="5" max="5" width="11.375" style="1" customWidth="1"/>
    <col min="6" max="6" width="10.375" style="1" customWidth="1"/>
    <col min="7" max="7" width="11.875" style="1" customWidth="1"/>
    <col min="8" max="8" width="9.375" style="1" customWidth="1"/>
    <col min="9" max="9" width="9.875" style="1" customWidth="1"/>
    <col min="10" max="10" width="9.75390625" style="1" customWidth="1"/>
    <col min="11" max="11" width="11.75390625" style="1" customWidth="1"/>
    <col min="12" max="12" width="13.375" style="1" customWidth="1"/>
    <col min="13" max="16384" width="9.125" style="1" customWidth="1"/>
  </cols>
  <sheetData>
    <row r="1" spans="1:12" ht="12.75">
      <c r="A1" s="45"/>
      <c r="B1" s="45"/>
      <c r="C1" s="45"/>
      <c r="D1" s="82"/>
      <c r="E1" s="45"/>
      <c r="F1" s="45"/>
      <c r="G1" s="45"/>
      <c r="H1" s="45"/>
      <c r="I1" s="45"/>
      <c r="J1" s="45"/>
      <c r="K1" s="169" t="s">
        <v>34</v>
      </c>
      <c r="L1" s="169"/>
    </row>
    <row r="2" spans="1:12" ht="12.75">
      <c r="A2" s="170" t="s">
        <v>83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12.75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 ht="13.5" thickBot="1">
      <c r="A4" s="67"/>
      <c r="B4" s="67"/>
      <c r="C4" s="67"/>
      <c r="D4" s="83"/>
      <c r="E4" s="51"/>
      <c r="F4" s="52"/>
      <c r="G4" s="51"/>
      <c r="H4" s="52"/>
      <c r="I4" s="52"/>
      <c r="J4" s="52"/>
      <c r="K4" s="53"/>
      <c r="L4" s="62" t="s">
        <v>0</v>
      </c>
    </row>
    <row r="5" spans="1:12" ht="92.25" customHeight="1" thickBot="1">
      <c r="A5" s="46" t="s">
        <v>3</v>
      </c>
      <c r="B5" s="54" t="s">
        <v>75</v>
      </c>
      <c r="C5" s="54" t="s">
        <v>69</v>
      </c>
      <c r="D5" s="55" t="s">
        <v>76</v>
      </c>
      <c r="E5" s="54" t="s">
        <v>65</v>
      </c>
      <c r="F5" s="55" t="s">
        <v>77</v>
      </c>
      <c r="G5" s="54" t="s">
        <v>78</v>
      </c>
      <c r="H5" s="55" t="s">
        <v>79</v>
      </c>
      <c r="I5" s="55" t="s">
        <v>82</v>
      </c>
      <c r="J5" s="55" t="s">
        <v>51</v>
      </c>
      <c r="K5" s="56" t="s">
        <v>80</v>
      </c>
      <c r="L5" s="64" t="s">
        <v>81</v>
      </c>
    </row>
    <row r="6" spans="1:12" ht="12.75">
      <c r="A6" s="14" t="s">
        <v>21</v>
      </c>
      <c r="B6" s="15">
        <f>934340-265000-406581+43130+700+2444+1320+93853+560+1210+400</f>
        <v>406376</v>
      </c>
      <c r="C6" s="15"/>
      <c r="D6" s="155">
        <f>SUM(C6/B6)*100</f>
        <v>0</v>
      </c>
      <c r="E6" s="16"/>
      <c r="F6" s="17">
        <f aca="true" t="shared" si="0" ref="F6:F20">SUM(E6/B6)*100</f>
        <v>0</v>
      </c>
      <c r="G6" s="16"/>
      <c r="H6" s="17">
        <f>SUM(G6/B6*100)</f>
        <v>0</v>
      </c>
      <c r="I6" s="16">
        <f>1202+300+314+970</f>
        <v>2786</v>
      </c>
      <c r="J6" s="17">
        <f>SUM(I6/B6*100)</f>
        <v>0.6855719825973975</v>
      </c>
      <c r="K6" s="21">
        <f>SUM(B6-C6-E6-G6-I6)</f>
        <v>403590</v>
      </c>
      <c r="L6" s="18">
        <f>SUM(K6/B6)*100</f>
        <v>99.3144280174026</v>
      </c>
    </row>
    <row r="7" spans="1:12" ht="12.75">
      <c r="A7" s="14" t="s">
        <v>22</v>
      </c>
      <c r="B7" s="20">
        <f>1557911-57619+4384</f>
        <v>1504676</v>
      </c>
      <c r="C7" s="20">
        <f>5034752-22224-310180-1584926-3000000-60000+2000+98+333+7000+3000</f>
        <v>69853</v>
      </c>
      <c r="D7" s="156">
        <f>SUM(C7/B7)*100</f>
        <v>4.642394774689036</v>
      </c>
      <c r="E7" s="21"/>
      <c r="F7" s="22">
        <f t="shared" si="0"/>
        <v>0</v>
      </c>
      <c r="G7" s="21"/>
      <c r="H7" s="22">
        <f>SUM(G7/B7*100)</f>
        <v>0</v>
      </c>
      <c r="I7" s="21">
        <f>33405+16044-9000</f>
        <v>40449</v>
      </c>
      <c r="J7" s="17">
        <f aca="true" t="shared" si="1" ref="J7:J32">SUM(I7/B7*100)</f>
        <v>2.688219922428483</v>
      </c>
      <c r="K7" s="21">
        <f aca="true" t="shared" si="2" ref="K7:K20">SUM(B7-C7-E7-G7-I7)</f>
        <v>1394374</v>
      </c>
      <c r="L7" s="23">
        <f>SUM(K7/B7)*100</f>
        <v>92.66938530288247</v>
      </c>
    </row>
    <row r="8" spans="1:12" ht="12.75">
      <c r="A8" s="14" t="s">
        <v>1</v>
      </c>
      <c r="B8" s="20">
        <f>100000-69376+228</f>
        <v>30852</v>
      </c>
      <c r="C8" s="20"/>
      <c r="D8" s="156">
        <f>SUM(C8/B8)*100</f>
        <v>0</v>
      </c>
      <c r="E8" s="21"/>
      <c r="F8" s="22">
        <f t="shared" si="0"/>
        <v>0</v>
      </c>
      <c r="G8" s="21"/>
      <c r="H8" s="22">
        <f>SUM(G8/B8*100)</f>
        <v>0</v>
      </c>
      <c r="I8" s="21"/>
      <c r="J8" s="17">
        <f t="shared" si="1"/>
        <v>0</v>
      </c>
      <c r="K8" s="21">
        <f t="shared" si="2"/>
        <v>30852</v>
      </c>
      <c r="L8" s="23">
        <f>SUM(K8/B8)*100</f>
        <v>100</v>
      </c>
    </row>
    <row r="9" spans="1:12" ht="12.75">
      <c r="A9" s="19" t="s">
        <v>26</v>
      </c>
      <c r="B9" s="20">
        <f>716338-245804-155000+17892-46556-456</f>
        <v>286414</v>
      </c>
      <c r="C9" s="20"/>
      <c r="D9" s="156">
        <f aca="true" t="shared" si="3" ref="D9:D21">SUM(C9/B9)*100</f>
        <v>0</v>
      </c>
      <c r="E9" s="21"/>
      <c r="F9" s="22">
        <f t="shared" si="0"/>
        <v>0</v>
      </c>
      <c r="G9" s="21">
        <v>500</v>
      </c>
      <c r="H9" s="22">
        <f aca="true" t="shared" si="4" ref="H9:H21">SUM(G9/B9*100)</f>
        <v>0.17457247201603274</v>
      </c>
      <c r="I9" s="21"/>
      <c r="J9" s="17">
        <f t="shared" si="1"/>
        <v>0</v>
      </c>
      <c r="K9" s="21">
        <f t="shared" si="2"/>
        <v>285914</v>
      </c>
      <c r="L9" s="23">
        <f aca="true" t="shared" si="5" ref="L9:L21">SUM(K9/B9)*100</f>
        <v>99.82542752798396</v>
      </c>
    </row>
    <row r="10" spans="1:12" ht="12.75">
      <c r="A10" s="19" t="s">
        <v>61</v>
      </c>
      <c r="B10" s="20">
        <f>628195-'kötelező2017.'!C12-B35</f>
        <v>172594</v>
      </c>
      <c r="C10" s="20">
        <f>70000+18303+1842-3385</f>
        <v>86760</v>
      </c>
      <c r="D10" s="156">
        <f t="shared" si="3"/>
        <v>50.26825961505035</v>
      </c>
      <c r="E10" s="21"/>
      <c r="F10" s="22">
        <f t="shared" si="0"/>
        <v>0</v>
      </c>
      <c r="G10" s="21"/>
      <c r="H10" s="22">
        <f t="shared" si="4"/>
        <v>0</v>
      </c>
      <c r="I10" s="21">
        <f>482+10728+9105</f>
        <v>20315</v>
      </c>
      <c r="J10" s="17">
        <f t="shared" si="1"/>
        <v>11.770397580448915</v>
      </c>
      <c r="K10" s="21">
        <f t="shared" si="2"/>
        <v>65519</v>
      </c>
      <c r="L10" s="23">
        <f t="shared" si="5"/>
        <v>37.96134280450074</v>
      </c>
    </row>
    <row r="11" spans="1:14" ht="12.75">
      <c r="A11" s="19" t="s">
        <v>63</v>
      </c>
      <c r="B11" s="20">
        <f>900+1762+800+2520+1110+575</f>
        <v>7667</v>
      </c>
      <c r="C11" s="20"/>
      <c r="D11" s="156">
        <f aca="true" t="shared" si="6" ref="D11:D17">SUM(C11/B11)*100</f>
        <v>0</v>
      </c>
      <c r="E11" s="21"/>
      <c r="F11" s="22">
        <f aca="true" t="shared" si="7" ref="F11:F17">SUM(E11/B11)*100</f>
        <v>0</v>
      </c>
      <c r="G11" s="21"/>
      <c r="H11" s="22">
        <f aca="true" t="shared" si="8" ref="H11:H17">SUM(G11/B11*100)</f>
        <v>0</v>
      </c>
      <c r="I11" s="21">
        <v>300</v>
      </c>
      <c r="J11" s="17">
        <f aca="true" t="shared" si="9" ref="J11:J17">SUM(I11/B11*100)</f>
        <v>3.912873353332464</v>
      </c>
      <c r="K11" s="21">
        <f aca="true" t="shared" si="10" ref="K11:K17">SUM(B11-C11-E11-G11-I11)</f>
        <v>7367</v>
      </c>
      <c r="L11" s="23">
        <f aca="true" t="shared" si="11" ref="L11:L17">SUM(K11/B11)*100</f>
        <v>96.08712664666753</v>
      </c>
      <c r="N11" s="3"/>
    </row>
    <row r="12" spans="1:12" ht="12.75">
      <c r="A12" s="19" t="s">
        <v>96</v>
      </c>
      <c r="B12" s="20">
        <f>42651+8500+24000</f>
        <v>75151</v>
      </c>
      <c r="C12" s="20"/>
      <c r="D12" s="156">
        <f t="shared" si="6"/>
        <v>0</v>
      </c>
      <c r="E12" s="21"/>
      <c r="F12" s="22">
        <f t="shared" si="7"/>
        <v>0</v>
      </c>
      <c r="G12" s="21"/>
      <c r="H12" s="22">
        <f t="shared" si="8"/>
        <v>0</v>
      </c>
      <c r="I12" s="21">
        <v>133</v>
      </c>
      <c r="J12" s="17">
        <f t="shared" si="9"/>
        <v>0.1769770196005376</v>
      </c>
      <c r="K12" s="21">
        <f t="shared" si="10"/>
        <v>75018</v>
      </c>
      <c r="L12" s="23">
        <f t="shared" si="11"/>
        <v>99.82302298039947</v>
      </c>
    </row>
    <row r="13" spans="1:14" ht="12.75">
      <c r="A13" s="19" t="s">
        <v>17</v>
      </c>
      <c r="B13" s="20">
        <v>85000</v>
      </c>
      <c r="C13" s="20"/>
      <c r="D13" s="156">
        <f t="shared" si="6"/>
        <v>0</v>
      </c>
      <c r="E13" s="21"/>
      <c r="F13" s="22">
        <f t="shared" si="7"/>
        <v>0</v>
      </c>
      <c r="G13" s="21"/>
      <c r="H13" s="22">
        <f t="shared" si="8"/>
        <v>0</v>
      </c>
      <c r="I13" s="21"/>
      <c r="J13" s="17">
        <f t="shared" si="9"/>
        <v>0</v>
      </c>
      <c r="K13" s="21">
        <f t="shared" si="10"/>
        <v>85000</v>
      </c>
      <c r="L13" s="23">
        <f t="shared" si="11"/>
        <v>100</v>
      </c>
      <c r="N13" s="3"/>
    </row>
    <row r="14" spans="1:12" ht="12.75">
      <c r="A14" s="19" t="s">
        <v>18</v>
      </c>
      <c r="B14" s="20">
        <v>72099</v>
      </c>
      <c r="C14" s="20"/>
      <c r="D14" s="156">
        <f t="shared" si="6"/>
        <v>0</v>
      </c>
      <c r="E14" s="21"/>
      <c r="F14" s="22">
        <f t="shared" si="7"/>
        <v>0</v>
      </c>
      <c r="G14" s="21"/>
      <c r="H14" s="22">
        <f t="shared" si="8"/>
        <v>0</v>
      </c>
      <c r="I14" s="21"/>
      <c r="J14" s="17">
        <f t="shared" si="9"/>
        <v>0</v>
      </c>
      <c r="K14" s="21">
        <f t="shared" si="10"/>
        <v>72099</v>
      </c>
      <c r="L14" s="23">
        <f t="shared" si="11"/>
        <v>100</v>
      </c>
    </row>
    <row r="15" spans="1:12" ht="12.75">
      <c r="A15" s="19" t="s">
        <v>97</v>
      </c>
      <c r="B15" s="20">
        <f>215+9390+2200+1239+290</f>
        <v>13334</v>
      </c>
      <c r="C15" s="20"/>
      <c r="D15" s="156">
        <f t="shared" si="6"/>
        <v>0</v>
      </c>
      <c r="E15" s="21"/>
      <c r="F15" s="22">
        <f t="shared" si="7"/>
        <v>0</v>
      </c>
      <c r="G15" s="21"/>
      <c r="H15" s="22">
        <f t="shared" si="8"/>
        <v>0</v>
      </c>
      <c r="I15" s="21"/>
      <c r="J15" s="17">
        <f t="shared" si="9"/>
        <v>0</v>
      </c>
      <c r="K15" s="21">
        <f t="shared" si="10"/>
        <v>13334</v>
      </c>
      <c r="L15" s="23">
        <f t="shared" si="11"/>
        <v>100</v>
      </c>
    </row>
    <row r="16" spans="1:12" ht="12.75">
      <c r="A16" s="19" t="s">
        <v>98</v>
      </c>
      <c r="B16" s="20">
        <f>109+1993+835+1700</f>
        <v>4637</v>
      </c>
      <c r="C16" s="20"/>
      <c r="D16" s="156">
        <f t="shared" si="6"/>
        <v>0</v>
      </c>
      <c r="E16" s="21"/>
      <c r="F16" s="22">
        <f t="shared" si="7"/>
        <v>0</v>
      </c>
      <c r="G16" s="21"/>
      <c r="H16" s="22">
        <f t="shared" si="8"/>
        <v>0</v>
      </c>
      <c r="I16" s="21">
        <v>1183</v>
      </c>
      <c r="J16" s="17">
        <f t="shared" si="9"/>
        <v>25.512184602113436</v>
      </c>
      <c r="K16" s="21">
        <f t="shared" si="10"/>
        <v>3454</v>
      </c>
      <c r="L16" s="23">
        <f t="shared" si="11"/>
        <v>74.48781539788656</v>
      </c>
    </row>
    <row r="17" spans="1:12" ht="12.75">
      <c r="A17" s="19" t="s">
        <v>64</v>
      </c>
      <c r="B17" s="20">
        <f>2433+2122+11801+3054+25328+776+1835</f>
        <v>47349</v>
      </c>
      <c r="C17" s="20"/>
      <c r="D17" s="156">
        <f t="shared" si="6"/>
        <v>0</v>
      </c>
      <c r="E17" s="21"/>
      <c r="F17" s="22">
        <f t="shared" si="7"/>
        <v>0</v>
      </c>
      <c r="G17" s="21"/>
      <c r="H17" s="22">
        <f t="shared" si="8"/>
        <v>0</v>
      </c>
      <c r="I17" s="21">
        <f>2433+50+5039</f>
        <v>7522</v>
      </c>
      <c r="J17" s="17">
        <f t="shared" si="9"/>
        <v>15.886291157152211</v>
      </c>
      <c r="K17" s="21">
        <f t="shared" si="10"/>
        <v>39827</v>
      </c>
      <c r="L17" s="23">
        <f t="shared" si="11"/>
        <v>84.11370884284779</v>
      </c>
    </row>
    <row r="18" spans="1:12" ht="12.75">
      <c r="A18" s="19" t="s">
        <v>2</v>
      </c>
      <c r="B18" s="20">
        <f>15000+170</f>
        <v>15170</v>
      </c>
      <c r="C18" s="20"/>
      <c r="D18" s="156">
        <f t="shared" si="3"/>
        <v>0</v>
      </c>
      <c r="E18" s="21"/>
      <c r="F18" s="22">
        <f t="shared" si="0"/>
        <v>0</v>
      </c>
      <c r="G18" s="21"/>
      <c r="H18" s="22">
        <f t="shared" si="4"/>
        <v>0</v>
      </c>
      <c r="I18" s="21"/>
      <c r="J18" s="17">
        <f t="shared" si="1"/>
        <v>0</v>
      </c>
      <c r="K18" s="21">
        <f t="shared" si="2"/>
        <v>15170</v>
      </c>
      <c r="L18" s="23">
        <f t="shared" si="5"/>
        <v>100</v>
      </c>
    </row>
    <row r="19" spans="1:12" ht="12.75">
      <c r="A19" s="19" t="s">
        <v>27</v>
      </c>
      <c r="B19" s="20">
        <v>66180</v>
      </c>
      <c r="C19" s="20"/>
      <c r="D19" s="156">
        <f t="shared" si="3"/>
        <v>0</v>
      </c>
      <c r="E19" s="21"/>
      <c r="F19" s="22">
        <f t="shared" si="0"/>
        <v>0</v>
      </c>
      <c r="G19" s="21"/>
      <c r="H19" s="22">
        <f t="shared" si="4"/>
        <v>0</v>
      </c>
      <c r="I19" s="21"/>
      <c r="J19" s="17">
        <f t="shared" si="1"/>
        <v>0</v>
      </c>
      <c r="K19" s="21">
        <f t="shared" si="2"/>
        <v>66180</v>
      </c>
      <c r="L19" s="23">
        <f t="shared" si="5"/>
        <v>100</v>
      </c>
    </row>
    <row r="20" spans="1:12" ht="13.5" thickBot="1">
      <c r="A20" s="19" t="s">
        <v>28</v>
      </c>
      <c r="B20" s="20">
        <f>629227-'kötelező2017.'!C6</f>
        <v>549718</v>
      </c>
      <c r="C20" s="20"/>
      <c r="D20" s="156">
        <f t="shared" si="3"/>
        <v>0</v>
      </c>
      <c r="E20" s="21"/>
      <c r="F20" s="22">
        <f t="shared" si="0"/>
        <v>0</v>
      </c>
      <c r="G20" s="21"/>
      <c r="H20" s="22">
        <f t="shared" si="4"/>
        <v>0</v>
      </c>
      <c r="I20" s="21">
        <f>79815-33405-32300+16986</f>
        <v>31096</v>
      </c>
      <c r="J20" s="17">
        <f t="shared" si="1"/>
        <v>5.656718535685569</v>
      </c>
      <c r="K20" s="21">
        <f t="shared" si="2"/>
        <v>518622</v>
      </c>
      <c r="L20" s="23">
        <f t="shared" si="5"/>
        <v>94.34328146431443</v>
      </c>
    </row>
    <row r="21" spans="1:12" s="37" customFormat="1" ht="13.5" thickBot="1">
      <c r="A21" s="32" t="s">
        <v>42</v>
      </c>
      <c r="B21" s="29">
        <f>SUM(B6:B20)</f>
        <v>3337217</v>
      </c>
      <c r="C21" s="29">
        <f>SUM(C6:C20)</f>
        <v>156613</v>
      </c>
      <c r="D21" s="157">
        <f t="shared" si="3"/>
        <v>4.692922276255934</v>
      </c>
      <c r="E21" s="29">
        <f>SUM(E6:E20)</f>
        <v>0</v>
      </c>
      <c r="F21" s="66">
        <f>SUM(E21/B21*100)</f>
        <v>0</v>
      </c>
      <c r="G21" s="29">
        <f>SUM(G6:G20)</f>
        <v>500</v>
      </c>
      <c r="H21" s="33">
        <f t="shared" si="4"/>
        <v>0.014982543838174144</v>
      </c>
      <c r="I21" s="29">
        <f>SUM(I6:I20)</f>
        <v>103784</v>
      </c>
      <c r="J21" s="33">
        <f t="shared" si="1"/>
        <v>3.1098966594021307</v>
      </c>
      <c r="K21" s="29">
        <f>SUM(K6:K20)</f>
        <v>3076320</v>
      </c>
      <c r="L21" s="50">
        <f t="shared" si="5"/>
        <v>92.18219852050376</v>
      </c>
    </row>
    <row r="22" spans="1:12" ht="12.75">
      <c r="A22" s="140" t="s">
        <v>23</v>
      </c>
      <c r="B22" s="15">
        <v>102102</v>
      </c>
      <c r="C22" s="15"/>
      <c r="D22" s="155">
        <f aca="true" t="shared" si="12" ref="D22:D32">SUM(C22/B22)*100</f>
        <v>0</v>
      </c>
      <c r="E22" s="91">
        <v>401</v>
      </c>
      <c r="F22" s="17">
        <f aca="true" t="shared" si="13" ref="F22:F32">SUM(E22/B22)*100</f>
        <v>0.3927445103915692</v>
      </c>
      <c r="G22" s="91">
        <v>88217</v>
      </c>
      <c r="H22" s="17">
        <f aca="true" t="shared" si="14" ref="H22:H28">SUM(G22/B22*100)</f>
        <v>86.40085404791287</v>
      </c>
      <c r="I22" s="16">
        <v>3598</v>
      </c>
      <c r="J22" s="17">
        <f t="shared" si="1"/>
        <v>3.523927053338818</v>
      </c>
      <c r="K22" s="16">
        <f aca="true" t="shared" si="15" ref="K22:K27">SUM(B22-C22-E22-G22-I22)</f>
        <v>9886</v>
      </c>
      <c r="L22" s="18">
        <f aca="true" t="shared" si="16" ref="L22:L30">SUM(K22/B22)*100</f>
        <v>9.682474388356741</v>
      </c>
    </row>
    <row r="23" spans="1:12" ht="12.75">
      <c r="A23" s="141" t="s">
        <v>36</v>
      </c>
      <c r="B23" s="20">
        <v>816149</v>
      </c>
      <c r="C23" s="20">
        <v>61832</v>
      </c>
      <c r="D23" s="156">
        <f t="shared" si="12"/>
        <v>7.5760676053024625</v>
      </c>
      <c r="E23" s="88">
        <f>6461-249</f>
        <v>6212</v>
      </c>
      <c r="F23" s="22">
        <f t="shared" si="13"/>
        <v>0.7611355279489407</v>
      </c>
      <c r="G23" s="88">
        <v>575313</v>
      </c>
      <c r="H23" s="22">
        <f t="shared" si="14"/>
        <v>70.49117256775416</v>
      </c>
      <c r="I23" s="16">
        <f>51656-15453</f>
        <v>36203</v>
      </c>
      <c r="J23" s="17">
        <f t="shared" si="1"/>
        <v>4.435832182603912</v>
      </c>
      <c r="K23" s="16">
        <f t="shared" si="15"/>
        <v>136589</v>
      </c>
      <c r="L23" s="23">
        <f t="shared" si="16"/>
        <v>16.735792116390513</v>
      </c>
    </row>
    <row r="24" spans="1:12" ht="12.75">
      <c r="A24" s="141" t="s">
        <v>24</v>
      </c>
      <c r="B24" s="20">
        <v>107823</v>
      </c>
      <c r="C24" s="20">
        <v>8727</v>
      </c>
      <c r="D24" s="156">
        <f t="shared" si="12"/>
        <v>8.093820427923541</v>
      </c>
      <c r="E24" s="88">
        <v>318</v>
      </c>
      <c r="F24" s="22">
        <f t="shared" si="13"/>
        <v>0.29492779833616206</v>
      </c>
      <c r="G24" s="88">
        <v>57484</v>
      </c>
      <c r="H24" s="22">
        <f t="shared" si="14"/>
        <v>53.31330050174824</v>
      </c>
      <c r="I24" s="16">
        <v>2399</v>
      </c>
      <c r="J24" s="17">
        <f t="shared" si="1"/>
        <v>2.2249427302152602</v>
      </c>
      <c r="K24" s="16">
        <f t="shared" si="15"/>
        <v>38895</v>
      </c>
      <c r="L24" s="23">
        <f t="shared" si="16"/>
        <v>36.0730085417768</v>
      </c>
    </row>
    <row r="25" spans="1:12" ht="12.75">
      <c r="A25" s="141" t="s">
        <v>25</v>
      </c>
      <c r="B25" s="20">
        <v>63982</v>
      </c>
      <c r="C25" s="20">
        <v>8552</v>
      </c>
      <c r="D25" s="156">
        <f t="shared" si="12"/>
        <v>13.366259260416994</v>
      </c>
      <c r="E25" s="88">
        <v>323</v>
      </c>
      <c r="F25" s="22">
        <f t="shared" si="13"/>
        <v>0.5048294832921759</v>
      </c>
      <c r="G25" s="88">
        <v>55920</v>
      </c>
      <c r="H25" s="22">
        <f t="shared" si="14"/>
        <v>87.39958113219343</v>
      </c>
      <c r="I25" s="16">
        <v>192</v>
      </c>
      <c r="J25" s="17">
        <f t="shared" si="1"/>
        <v>0.3000843987371448</v>
      </c>
      <c r="K25" s="16">
        <f t="shared" si="15"/>
        <v>-1005</v>
      </c>
      <c r="L25" s="23">
        <f t="shared" si="16"/>
        <v>-1.5707542746397425</v>
      </c>
    </row>
    <row r="26" spans="1:12" ht="12.75">
      <c r="A26" s="141" t="s">
        <v>37</v>
      </c>
      <c r="B26" s="20">
        <v>37638</v>
      </c>
      <c r="C26" s="20">
        <v>38614</v>
      </c>
      <c r="D26" s="156">
        <f t="shared" si="12"/>
        <v>102.5931239704554</v>
      </c>
      <c r="E26" s="88"/>
      <c r="F26" s="22">
        <f t="shared" si="13"/>
        <v>0</v>
      </c>
      <c r="G26" s="88"/>
      <c r="H26" s="22">
        <f t="shared" si="14"/>
        <v>0</v>
      </c>
      <c r="I26" s="16"/>
      <c r="J26" s="17">
        <f t="shared" si="1"/>
        <v>0</v>
      </c>
      <c r="K26" s="16">
        <f t="shared" si="15"/>
        <v>-976</v>
      </c>
      <c r="L26" s="23">
        <f t="shared" si="16"/>
        <v>-2.5931239704553906</v>
      </c>
    </row>
    <row r="27" spans="1:12" ht="13.5" thickBot="1">
      <c r="A27" s="142" t="s">
        <v>38</v>
      </c>
      <c r="B27" s="25">
        <v>78860</v>
      </c>
      <c r="C27" s="25">
        <v>98</v>
      </c>
      <c r="D27" s="158">
        <f t="shared" si="12"/>
        <v>0.12427085975145828</v>
      </c>
      <c r="E27" s="94">
        <v>50</v>
      </c>
      <c r="F27" s="27">
        <f t="shared" si="13"/>
        <v>0.06340349987319299</v>
      </c>
      <c r="G27" s="94">
        <v>9581</v>
      </c>
      <c r="H27" s="27">
        <f t="shared" si="14"/>
        <v>12.149378645701242</v>
      </c>
      <c r="I27" s="40">
        <v>600</v>
      </c>
      <c r="J27" s="17">
        <f t="shared" si="1"/>
        <v>0.760841998478316</v>
      </c>
      <c r="K27" s="16">
        <f t="shared" si="15"/>
        <v>68531</v>
      </c>
      <c r="L27" s="86">
        <f t="shared" si="16"/>
        <v>86.90210499619579</v>
      </c>
    </row>
    <row r="28" spans="1:12" s="37" customFormat="1" ht="13.5" thickBot="1">
      <c r="A28" s="28" t="s">
        <v>46</v>
      </c>
      <c r="B28" s="29">
        <f>SUM(B22:B27)</f>
        <v>1206554</v>
      </c>
      <c r="C28" s="29">
        <f aca="true" t="shared" si="17" ref="C28:K28">SUM(C22:C27)</f>
        <v>117823</v>
      </c>
      <c r="D28" s="159">
        <f t="shared" si="12"/>
        <v>9.765248799473541</v>
      </c>
      <c r="E28" s="29">
        <f t="shared" si="17"/>
        <v>7304</v>
      </c>
      <c r="F28" s="33">
        <f t="shared" si="13"/>
        <v>0.6053603900032655</v>
      </c>
      <c r="G28" s="29">
        <f t="shared" si="17"/>
        <v>786515</v>
      </c>
      <c r="H28" s="33">
        <f t="shared" si="14"/>
        <v>65.1868876154735</v>
      </c>
      <c r="I28" s="29">
        <f>SUM(I22:I27)</f>
        <v>42992</v>
      </c>
      <c r="J28" s="33">
        <f t="shared" si="1"/>
        <v>3.5632056252766144</v>
      </c>
      <c r="K28" s="29">
        <f t="shared" si="17"/>
        <v>251920</v>
      </c>
      <c r="L28" s="50">
        <f t="shared" si="16"/>
        <v>20.87929756977309</v>
      </c>
    </row>
    <row r="29" spans="1:12" s="104" customFormat="1" ht="12.75">
      <c r="A29" s="160" t="s">
        <v>58</v>
      </c>
      <c r="B29" s="39">
        <f>43000+128820+19273+833+19400+300-1004+32</f>
        <v>210654</v>
      </c>
      <c r="C29" s="39"/>
      <c r="D29" s="161">
        <f t="shared" si="12"/>
        <v>0</v>
      </c>
      <c r="E29" s="39"/>
      <c r="F29" s="41">
        <f t="shared" si="13"/>
        <v>0</v>
      </c>
      <c r="G29" s="39"/>
      <c r="H29" s="41">
        <f>SUM(G29/B29*100)</f>
        <v>0</v>
      </c>
      <c r="I29" s="39">
        <v>28503</v>
      </c>
      <c r="J29" s="41">
        <f t="shared" si="1"/>
        <v>13.530718619157481</v>
      </c>
      <c r="K29" s="40">
        <f>SUM(B29-C29-E29-G29-I29)</f>
        <v>182151</v>
      </c>
      <c r="L29" s="42">
        <f t="shared" si="16"/>
        <v>86.46928138084252</v>
      </c>
    </row>
    <row r="30" spans="1:13" ht="13.5" thickBot="1">
      <c r="A30" s="47" t="s">
        <v>39</v>
      </c>
      <c r="B30" s="30">
        <v>2550</v>
      </c>
      <c r="C30" s="30"/>
      <c r="D30" s="162">
        <f t="shared" si="12"/>
        <v>0</v>
      </c>
      <c r="E30" s="31"/>
      <c r="F30" s="48">
        <f t="shared" si="13"/>
        <v>0</v>
      </c>
      <c r="G30" s="31"/>
      <c r="H30" s="48">
        <f>SUM(G30/B30*100)</f>
        <v>0</v>
      </c>
      <c r="I30" s="31"/>
      <c r="J30" s="48">
        <f t="shared" si="1"/>
        <v>0</v>
      </c>
      <c r="K30" s="31">
        <f>SUM(B30-C30-E30-G30-I30)</f>
        <v>2550</v>
      </c>
      <c r="L30" s="49">
        <f t="shared" si="16"/>
        <v>100</v>
      </c>
      <c r="M30" s="3"/>
    </row>
    <row r="31" spans="1:13" s="37" customFormat="1" ht="13.5" thickBot="1">
      <c r="A31" s="32" t="s">
        <v>43</v>
      </c>
      <c r="B31" s="29">
        <f>SUM(B29:B30)</f>
        <v>213204</v>
      </c>
      <c r="C31" s="29">
        <f>SUM(C29:C30)</f>
        <v>0</v>
      </c>
      <c r="D31" s="159">
        <f t="shared" si="12"/>
        <v>0</v>
      </c>
      <c r="E31" s="29">
        <f>SUM(E30)</f>
        <v>0</v>
      </c>
      <c r="F31" s="33">
        <f t="shared" si="13"/>
        <v>0</v>
      </c>
      <c r="G31" s="29">
        <f>SUM(G29:G30)</f>
        <v>0</v>
      </c>
      <c r="H31" s="33">
        <f>SUM(H30)</f>
        <v>0</v>
      </c>
      <c r="I31" s="29">
        <f>SUM(I29:I30)</f>
        <v>28503</v>
      </c>
      <c r="J31" s="33">
        <f t="shared" si="1"/>
        <v>13.36888613722069</v>
      </c>
      <c r="K31" s="29">
        <f>SUM(K29:K30)</f>
        <v>184701</v>
      </c>
      <c r="L31" s="50">
        <f>SUM(L30)</f>
        <v>100</v>
      </c>
      <c r="M31" s="44"/>
    </row>
    <row r="32" spans="1:12" s="37" customFormat="1" ht="13.5" thickBot="1">
      <c r="A32" s="28" t="s">
        <v>20</v>
      </c>
      <c r="B32" s="29">
        <f>SUM(B31,B28,B21)</f>
        <v>4756975</v>
      </c>
      <c r="C32" s="29">
        <f>SUM(C31,C28,C21)</f>
        <v>274436</v>
      </c>
      <c r="D32" s="159">
        <f t="shared" si="12"/>
        <v>5.769128490269551</v>
      </c>
      <c r="E32" s="29">
        <f>SUM(E31,E28,E21)</f>
        <v>7304</v>
      </c>
      <c r="F32" s="33">
        <f t="shared" si="13"/>
        <v>0.15354295534452042</v>
      </c>
      <c r="G32" s="29">
        <f>SUM(G31,G28,G21)</f>
        <v>787015</v>
      </c>
      <c r="H32" s="33">
        <f>SUM(G32/B32*100)</f>
        <v>16.544442634237093</v>
      </c>
      <c r="I32" s="29">
        <f>SUM(I31,I28,I21)</f>
        <v>175279</v>
      </c>
      <c r="J32" s="33">
        <f t="shared" si="1"/>
        <v>3.684673558301231</v>
      </c>
      <c r="K32" s="29">
        <f>SUM(K31,K28,K21)</f>
        <v>3512941</v>
      </c>
      <c r="L32" s="50">
        <f>SUM(K32/B32)*100</f>
        <v>73.8482123618476</v>
      </c>
    </row>
    <row r="33" spans="3:11" ht="12.75">
      <c r="C33" s="6"/>
      <c r="D33" s="84"/>
      <c r="E33" s="3"/>
      <c r="F33" s="2"/>
      <c r="G33" s="3"/>
      <c r="H33" s="2"/>
      <c r="I33" s="2"/>
      <c r="J33" s="2"/>
      <c r="K33" s="6"/>
    </row>
    <row r="34" spans="1:7" s="3" customFormat="1" ht="13.5" thickBot="1">
      <c r="A34" s="71" t="s">
        <v>59</v>
      </c>
      <c r="D34" s="163"/>
      <c r="G34" s="57"/>
    </row>
    <row r="35" spans="1:12" s="3" customFormat="1" ht="13.5" thickBot="1">
      <c r="A35" s="164" t="s">
        <v>60</v>
      </c>
      <c r="B35" s="165">
        <v>36000</v>
      </c>
      <c r="C35" s="165">
        <v>60000</v>
      </c>
      <c r="D35" s="166">
        <f>SUM(C35/B35)*100</f>
        <v>166.66666666666669</v>
      </c>
      <c r="E35" s="165"/>
      <c r="F35" s="165">
        <f>SUM(E35/B35)*100</f>
        <v>0</v>
      </c>
      <c r="G35" s="167"/>
      <c r="H35" s="165">
        <f>SUM(G35/B35*100)</f>
        <v>0</v>
      </c>
      <c r="I35" s="165"/>
      <c r="J35" s="165">
        <f>SUM(I35/B35*100)</f>
        <v>0</v>
      </c>
      <c r="K35" s="165">
        <f>SUM(B35-C35-E35-G35-I35)</f>
        <v>-24000</v>
      </c>
      <c r="L35" s="168">
        <f>SUM(K35/B35)*100</f>
        <v>-66.66666666666666</v>
      </c>
    </row>
    <row r="36" spans="4:7" s="3" customFormat="1" ht="12.75">
      <c r="D36" s="163"/>
      <c r="G36" s="57"/>
    </row>
    <row r="37" s="3" customFormat="1" ht="12.75"/>
    <row r="38" s="3" customFormat="1" ht="12.75">
      <c r="D38" s="163"/>
    </row>
    <row r="39" s="3" customFormat="1" ht="12.75"/>
    <row r="40" s="3" customFormat="1" ht="12.75"/>
    <row r="41" s="3" customFormat="1" ht="12.75"/>
    <row r="42" s="3" customFormat="1" ht="12.75">
      <c r="D42" s="163"/>
    </row>
    <row r="43" s="3" customFormat="1" ht="12.75">
      <c r="D43" s="163"/>
    </row>
    <row r="44" s="3" customFormat="1" ht="12.75">
      <c r="D44" s="163"/>
    </row>
    <row r="45" ht="12.75">
      <c r="I45" s="3"/>
    </row>
    <row r="47" ht="12.75">
      <c r="B47" s="3"/>
    </row>
  </sheetData>
  <sheetProtection/>
  <mergeCells count="2">
    <mergeCell ref="K1:L1"/>
    <mergeCell ref="A2:L3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5"/>
  <sheetViews>
    <sheetView zoomScalePageLayoutView="0" workbookViewId="0" topLeftCell="B1">
      <selection activeCell="L54" sqref="L54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375" style="3" customWidth="1"/>
    <col min="4" max="4" width="9.375" style="3" bestFit="1" customWidth="1"/>
    <col min="5" max="5" width="9.75390625" style="2" customWidth="1"/>
    <col min="6" max="6" width="10.875" style="3" customWidth="1"/>
    <col min="7" max="7" width="9.75390625" style="7" customWidth="1"/>
    <col min="8" max="8" width="11.625" style="68" customWidth="1"/>
    <col min="9" max="9" width="8.375" style="72" customWidth="1"/>
    <col min="10" max="10" width="9.75390625" style="5" customWidth="1"/>
    <col min="11" max="11" width="10.00390625" style="79" customWidth="1"/>
    <col min="12" max="12" width="11.125" style="6" customWidth="1"/>
    <col min="13" max="13" width="13.00390625" style="1" customWidth="1"/>
    <col min="14" max="16384" width="9.125" style="1" customWidth="1"/>
  </cols>
  <sheetData>
    <row r="1" spans="12:13" ht="12" customHeight="1">
      <c r="L1" s="172" t="s">
        <v>33</v>
      </c>
      <c r="M1" s="172"/>
    </row>
    <row r="2" spans="2:13" ht="14.25" customHeight="1">
      <c r="B2" s="171" t="s">
        <v>84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2:13" ht="12" customHeight="1" thickBot="1">
      <c r="B3" s="45"/>
      <c r="C3" s="57"/>
      <c r="D3" s="57"/>
      <c r="E3" s="58"/>
      <c r="F3" s="57"/>
      <c r="G3" s="59"/>
      <c r="H3" s="69"/>
      <c r="I3" s="73"/>
      <c r="J3" s="60"/>
      <c r="K3" s="80"/>
      <c r="L3" s="61"/>
      <c r="M3" s="62" t="s">
        <v>0</v>
      </c>
    </row>
    <row r="4" spans="2:13" s="65" customFormat="1" ht="41.25" customHeight="1" thickBot="1">
      <c r="B4" s="46" t="s">
        <v>3</v>
      </c>
      <c r="C4" s="54" t="s">
        <v>70</v>
      </c>
      <c r="D4" s="54" t="s">
        <v>69</v>
      </c>
      <c r="E4" s="55" t="s">
        <v>68</v>
      </c>
      <c r="F4" s="54" t="s">
        <v>67</v>
      </c>
      <c r="G4" s="63" t="s">
        <v>66</v>
      </c>
      <c r="H4" s="54" t="s">
        <v>71</v>
      </c>
      <c r="I4" s="63" t="s">
        <v>72</v>
      </c>
      <c r="J4" s="55" t="s">
        <v>62</v>
      </c>
      <c r="K4" s="55" t="s">
        <v>51</v>
      </c>
      <c r="L4" s="56" t="s">
        <v>73</v>
      </c>
      <c r="M4" s="64" t="s">
        <v>74</v>
      </c>
    </row>
    <row r="5" spans="2:13" ht="12" customHeight="1">
      <c r="B5" s="19" t="s">
        <v>40</v>
      </c>
      <c r="C5" s="20">
        <f>27292+21264+2500+635</f>
        <v>51691</v>
      </c>
      <c r="D5" s="21"/>
      <c r="E5" s="22">
        <f>SUM(D5/C5)*100</f>
        <v>0</v>
      </c>
      <c r="F5" s="21"/>
      <c r="G5" s="17">
        <f>SUM(F5/C5)*100</f>
        <v>0</v>
      </c>
      <c r="H5" s="21"/>
      <c r="I5" s="74">
        <f aca="true" t="shared" si="0" ref="I5:I20">SUM(H5/C5)*100</f>
        <v>0</v>
      </c>
      <c r="J5" s="16">
        <v>2292</v>
      </c>
      <c r="K5" s="17">
        <f aca="true" t="shared" si="1" ref="K5:K20">SUM(J5/C5)*100</f>
        <v>4.434040742102107</v>
      </c>
      <c r="L5" s="16">
        <f aca="true" t="shared" si="2" ref="L5:L14">SUM(C5-D5-F5-H5-J5)</f>
        <v>49399</v>
      </c>
      <c r="M5" s="23">
        <f>SUM(L5/C5)*100</f>
        <v>95.56595925789789</v>
      </c>
    </row>
    <row r="6" spans="2:13" ht="12" customHeight="1">
      <c r="B6" s="19" t="s">
        <v>5</v>
      </c>
      <c r="C6" s="20">
        <f>79438+38+27+6</f>
        <v>79509</v>
      </c>
      <c r="D6" s="21"/>
      <c r="E6" s="22">
        <f>SUM(D6/C6)*100</f>
        <v>0</v>
      </c>
      <c r="F6" s="21">
        <v>208</v>
      </c>
      <c r="G6" s="17">
        <f>SUM(F6/C6)*100</f>
        <v>0.2616056043969865</v>
      </c>
      <c r="H6" s="21">
        <f>38+27+6</f>
        <v>71</v>
      </c>
      <c r="I6" s="74">
        <f t="shared" si="0"/>
        <v>0.08929806688550981</v>
      </c>
      <c r="J6" s="16"/>
      <c r="K6" s="17">
        <f t="shared" si="1"/>
        <v>0</v>
      </c>
      <c r="L6" s="16">
        <f t="shared" si="2"/>
        <v>79230</v>
      </c>
      <c r="M6" s="23">
        <f>SUM(L6/C6)*100</f>
        <v>99.6490963287175</v>
      </c>
    </row>
    <row r="7" spans="2:13" ht="12" customHeight="1">
      <c r="B7" s="19" t="s">
        <v>6</v>
      </c>
      <c r="C7" s="20">
        <v>265000</v>
      </c>
      <c r="D7" s="21"/>
      <c r="E7" s="22">
        <f>SUM(D7/C7)*100</f>
        <v>0</v>
      </c>
      <c r="F7" s="21">
        <v>10466</v>
      </c>
      <c r="G7" s="17">
        <f>SUM(F7/C7)*100</f>
        <v>3.949433962264151</v>
      </c>
      <c r="H7" s="21"/>
      <c r="I7" s="74">
        <f t="shared" si="0"/>
        <v>0</v>
      </c>
      <c r="J7" s="16"/>
      <c r="K7" s="17">
        <f t="shared" si="1"/>
        <v>0</v>
      </c>
      <c r="L7" s="16">
        <f t="shared" si="2"/>
        <v>254534</v>
      </c>
      <c r="M7" s="23">
        <f>SUM(L7/C7)*100</f>
        <v>96.05056603773585</v>
      </c>
    </row>
    <row r="8" spans="2:13" ht="12" customHeight="1">
      <c r="B8" s="19" t="s">
        <v>16</v>
      </c>
      <c r="C8" s="20">
        <v>214279</v>
      </c>
      <c r="D8" s="21"/>
      <c r="E8" s="22">
        <f aca="true" t="shared" si="3" ref="E8:E15">SUM(D8/C8)*100</f>
        <v>0</v>
      </c>
      <c r="F8" s="21"/>
      <c r="G8" s="22">
        <f aca="true" t="shared" si="4" ref="G8:G15">SUM(F8/C8)*100</f>
        <v>0</v>
      </c>
      <c r="H8" s="21"/>
      <c r="I8" s="74">
        <f t="shared" si="0"/>
        <v>0</v>
      </c>
      <c r="J8" s="16"/>
      <c r="K8" s="17">
        <f t="shared" si="1"/>
        <v>0</v>
      </c>
      <c r="L8" s="16">
        <f t="shared" si="2"/>
        <v>214279</v>
      </c>
      <c r="M8" s="23">
        <f aca="true" t="shared" si="5" ref="M8:M15">SUM(L8/C8)*100</f>
        <v>100</v>
      </c>
    </row>
    <row r="9" spans="2:13" ht="12" customHeight="1">
      <c r="B9" s="19" t="s">
        <v>17</v>
      </c>
      <c r="C9" s="20">
        <f>867187-'önként2017.'!B13</f>
        <v>782187</v>
      </c>
      <c r="D9" s="21"/>
      <c r="E9" s="22">
        <f t="shared" si="3"/>
        <v>0</v>
      </c>
      <c r="F9" s="21"/>
      <c r="G9" s="22">
        <f t="shared" si="4"/>
        <v>0</v>
      </c>
      <c r="H9" s="21"/>
      <c r="I9" s="74">
        <f t="shared" si="0"/>
        <v>0</v>
      </c>
      <c r="J9" s="16">
        <v>71809</v>
      </c>
      <c r="K9" s="17">
        <f t="shared" si="1"/>
        <v>9.180541226075094</v>
      </c>
      <c r="L9" s="16">
        <f t="shared" si="2"/>
        <v>710378</v>
      </c>
      <c r="M9" s="23">
        <f t="shared" si="5"/>
        <v>90.81945877392491</v>
      </c>
    </row>
    <row r="10" spans="2:13" ht="12" customHeight="1">
      <c r="B10" s="19" t="s">
        <v>18</v>
      </c>
      <c r="C10" s="20">
        <f>518759-'önként2017.'!B14</f>
        <v>446660</v>
      </c>
      <c r="D10" s="21"/>
      <c r="E10" s="22">
        <f t="shared" si="3"/>
        <v>0</v>
      </c>
      <c r="F10" s="21"/>
      <c r="G10" s="22">
        <f t="shared" si="4"/>
        <v>0</v>
      </c>
      <c r="H10" s="21"/>
      <c r="I10" s="74">
        <f t="shared" si="0"/>
        <v>0</v>
      </c>
      <c r="J10" s="16"/>
      <c r="K10" s="17">
        <f t="shared" si="1"/>
        <v>0</v>
      </c>
      <c r="L10" s="16">
        <f t="shared" si="2"/>
        <v>446660</v>
      </c>
      <c r="M10" s="23">
        <f t="shared" si="5"/>
        <v>100</v>
      </c>
    </row>
    <row r="11" spans="2:13" ht="12" customHeight="1">
      <c r="B11" s="19" t="s">
        <v>19</v>
      </c>
      <c r="C11" s="20">
        <f>3274558-'önként2017.'!B7</f>
        <v>1769882</v>
      </c>
      <c r="D11" s="21">
        <f>310180+1584926+22224</f>
        <v>1917330</v>
      </c>
      <c r="E11" s="22">
        <f t="shared" si="3"/>
        <v>108.33095087695112</v>
      </c>
      <c r="F11" s="21"/>
      <c r="G11" s="22">
        <f t="shared" si="4"/>
        <v>0</v>
      </c>
      <c r="H11" s="21"/>
      <c r="I11" s="74">
        <f t="shared" si="0"/>
        <v>0</v>
      </c>
      <c r="J11" s="16">
        <v>41300</v>
      </c>
      <c r="K11" s="17">
        <f t="shared" si="1"/>
        <v>2.333488899259951</v>
      </c>
      <c r="L11" s="16">
        <f>SUM(C11-D11-F11-H11-J11)</f>
        <v>-188748</v>
      </c>
      <c r="M11" s="23">
        <f t="shared" si="5"/>
        <v>-10.66443977621107</v>
      </c>
    </row>
    <row r="12" spans="2:13" ht="12" customHeight="1">
      <c r="B12" s="19" t="s">
        <v>61</v>
      </c>
      <c r="C12" s="25">
        <f>205292+214309</f>
        <v>419601</v>
      </c>
      <c r="D12" s="26">
        <v>20000</v>
      </c>
      <c r="E12" s="22">
        <f t="shared" si="3"/>
        <v>4.76643287313424</v>
      </c>
      <c r="F12" s="26"/>
      <c r="G12" s="22">
        <f t="shared" si="4"/>
        <v>0</v>
      </c>
      <c r="H12" s="26"/>
      <c r="I12" s="74">
        <f t="shared" si="0"/>
        <v>0</v>
      </c>
      <c r="J12" s="21">
        <v>16383</v>
      </c>
      <c r="K12" s="17">
        <f t="shared" si="1"/>
        <v>3.9044234880279123</v>
      </c>
      <c r="L12" s="16">
        <f>SUM(C12-D12-F12-H12-J12)</f>
        <v>383218</v>
      </c>
      <c r="M12" s="23">
        <f t="shared" si="5"/>
        <v>91.32914363883785</v>
      </c>
    </row>
    <row r="13" spans="2:13" ht="12" customHeight="1">
      <c r="B13" s="24" t="s">
        <v>56</v>
      </c>
      <c r="C13" s="25">
        <f>1094963+406581</f>
        <v>1501544</v>
      </c>
      <c r="D13" s="26">
        <v>3000000</v>
      </c>
      <c r="E13" s="27">
        <f t="shared" si="3"/>
        <v>199.79434502085854</v>
      </c>
      <c r="F13" s="26"/>
      <c r="G13" s="27">
        <f t="shared" si="4"/>
        <v>0</v>
      </c>
      <c r="H13" s="26"/>
      <c r="I13" s="74">
        <f t="shared" si="0"/>
        <v>0</v>
      </c>
      <c r="J13" s="40"/>
      <c r="K13" s="17">
        <f t="shared" si="1"/>
        <v>0</v>
      </c>
      <c r="L13" s="16">
        <f t="shared" si="2"/>
        <v>-1498456</v>
      </c>
      <c r="M13" s="86">
        <f t="shared" si="5"/>
        <v>-99.79434502085853</v>
      </c>
    </row>
    <row r="14" spans="2:13" ht="12" customHeight="1" thickBot="1">
      <c r="B14" s="24" t="s">
        <v>32</v>
      </c>
      <c r="C14" s="25">
        <f>127000+56810-690</f>
        <v>183120</v>
      </c>
      <c r="D14" s="26">
        <v>64564</v>
      </c>
      <c r="E14" s="27">
        <f t="shared" si="3"/>
        <v>35.257754477937965</v>
      </c>
      <c r="F14" s="26"/>
      <c r="G14" s="27">
        <f t="shared" si="4"/>
        <v>0</v>
      </c>
      <c r="H14" s="26"/>
      <c r="I14" s="75">
        <f t="shared" si="0"/>
        <v>0</v>
      </c>
      <c r="J14" s="26">
        <v>18</v>
      </c>
      <c r="K14" s="41">
        <f t="shared" si="1"/>
        <v>0.009829619921363041</v>
      </c>
      <c r="L14" s="40">
        <f t="shared" si="2"/>
        <v>118538</v>
      </c>
      <c r="M14" s="86">
        <f t="shared" si="5"/>
        <v>64.73241590214067</v>
      </c>
    </row>
    <row r="15" spans="2:13" s="37" customFormat="1" ht="12" customHeight="1" thickBot="1">
      <c r="B15" s="32" t="s">
        <v>42</v>
      </c>
      <c r="C15" s="29">
        <f>SUM(C5:C14)</f>
        <v>5713473</v>
      </c>
      <c r="D15" s="29">
        <f>SUM(D5:D14)</f>
        <v>5001894</v>
      </c>
      <c r="E15" s="66">
        <f t="shared" si="3"/>
        <v>87.54559617241561</v>
      </c>
      <c r="F15" s="29">
        <f>SUM(F5:F14)</f>
        <v>10674</v>
      </c>
      <c r="G15" s="66">
        <f t="shared" si="4"/>
        <v>0.18682157069789251</v>
      </c>
      <c r="H15" s="29">
        <f>SUM(H5:H14)</f>
        <v>71</v>
      </c>
      <c r="I15" s="66">
        <f t="shared" si="0"/>
        <v>0.0012426767396993036</v>
      </c>
      <c r="J15" s="29">
        <f>SUM(J5:J14)</f>
        <v>131802</v>
      </c>
      <c r="K15" s="33">
        <f t="shared" si="1"/>
        <v>2.306863093603488</v>
      </c>
      <c r="L15" s="29">
        <f>SUM(L5:L14)</f>
        <v>569032</v>
      </c>
      <c r="M15" s="87">
        <f t="shared" si="5"/>
        <v>9.959476486543299</v>
      </c>
    </row>
    <row r="16" spans="2:13" s="93" customFormat="1" ht="12" customHeight="1">
      <c r="B16" s="141" t="s">
        <v>15</v>
      </c>
      <c r="C16" s="20">
        <v>26788</v>
      </c>
      <c r="D16" s="88">
        <v>5286</v>
      </c>
      <c r="E16" s="22">
        <f aca="true" t="shared" si="6" ref="E16:E24">SUM(D16/C16)*100</f>
        <v>19.73271614155592</v>
      </c>
      <c r="F16" s="88"/>
      <c r="G16" s="89">
        <f aca="true" t="shared" si="7" ref="G16:G23">SUM(F16/C16)*100</f>
        <v>0</v>
      </c>
      <c r="H16" s="88"/>
      <c r="I16" s="90">
        <f t="shared" si="0"/>
        <v>0</v>
      </c>
      <c r="J16" s="91"/>
      <c r="K16" s="92">
        <f t="shared" si="1"/>
        <v>0</v>
      </c>
      <c r="L16" s="16">
        <f>SUM(C16-D16-F16-H16-J16)</f>
        <v>21502</v>
      </c>
      <c r="M16" s="23">
        <f aca="true" t="shared" si="8" ref="M16:M24">SUM(L16/C16)*100</f>
        <v>80.26728385844409</v>
      </c>
    </row>
    <row r="17" spans="2:13" s="93" customFormat="1" ht="12" customHeight="1">
      <c r="B17" s="141" t="s">
        <v>29</v>
      </c>
      <c r="C17" s="20">
        <v>82994</v>
      </c>
      <c r="D17" s="88">
        <v>21798</v>
      </c>
      <c r="E17" s="22">
        <f t="shared" si="6"/>
        <v>26.2645492445237</v>
      </c>
      <c r="F17" s="88">
        <v>2141</v>
      </c>
      <c r="G17" s="89">
        <f t="shared" si="7"/>
        <v>2.5797045569559245</v>
      </c>
      <c r="H17" s="88">
        <v>31226</v>
      </c>
      <c r="I17" s="90">
        <f t="shared" si="0"/>
        <v>37.624406583608454</v>
      </c>
      <c r="J17" s="91"/>
      <c r="K17" s="92">
        <f t="shared" si="1"/>
        <v>0</v>
      </c>
      <c r="L17" s="16">
        <f>SUM(C17-D17-F17-H17-J17)</f>
        <v>27829</v>
      </c>
      <c r="M17" s="23">
        <f t="shared" si="8"/>
        <v>33.53133961491192</v>
      </c>
    </row>
    <row r="18" spans="2:13" s="93" customFormat="1" ht="12" customHeight="1">
      <c r="B18" s="141" t="s">
        <v>35</v>
      </c>
      <c r="C18" s="20">
        <v>70752</v>
      </c>
      <c r="D18" s="88">
        <v>2</v>
      </c>
      <c r="E18" s="22">
        <f t="shared" si="6"/>
        <v>0.0028267752148349165</v>
      </c>
      <c r="F18" s="88">
        <v>451</v>
      </c>
      <c r="G18" s="89">
        <f t="shared" si="7"/>
        <v>0.6374378109452736</v>
      </c>
      <c r="H18" s="88">
        <v>47062</v>
      </c>
      <c r="I18" s="90">
        <f t="shared" si="0"/>
        <v>66.51684758028041</v>
      </c>
      <c r="J18" s="91"/>
      <c r="K18" s="92">
        <f t="shared" si="1"/>
        <v>0</v>
      </c>
      <c r="L18" s="16">
        <f>SUM(C18-D18-F18-H18-J18)</f>
        <v>23237</v>
      </c>
      <c r="M18" s="23">
        <f t="shared" si="8"/>
        <v>32.84288783355947</v>
      </c>
    </row>
    <row r="19" spans="2:13" s="93" customFormat="1" ht="12" customHeight="1">
      <c r="B19" s="141" t="s">
        <v>31</v>
      </c>
      <c r="C19" s="20">
        <v>20559</v>
      </c>
      <c r="D19" s="88">
        <v>1100</v>
      </c>
      <c r="E19" s="22">
        <f t="shared" si="6"/>
        <v>5.350454788657036</v>
      </c>
      <c r="F19" s="88">
        <v>88</v>
      </c>
      <c r="G19" s="89">
        <f t="shared" si="7"/>
        <v>0.4280363830925628</v>
      </c>
      <c r="H19" s="88">
        <v>15769</v>
      </c>
      <c r="I19" s="90">
        <f t="shared" si="0"/>
        <v>76.70120142030254</v>
      </c>
      <c r="J19" s="91"/>
      <c r="K19" s="92">
        <f t="shared" si="1"/>
        <v>0</v>
      </c>
      <c r="L19" s="16">
        <f>SUM(C19-D19-F19-H19-J19)</f>
        <v>3602</v>
      </c>
      <c r="M19" s="23">
        <f t="shared" si="8"/>
        <v>17.520307407947858</v>
      </c>
    </row>
    <row r="20" spans="2:13" s="93" customFormat="1" ht="12" customHeight="1" thickBot="1">
      <c r="B20" s="142" t="s">
        <v>30</v>
      </c>
      <c r="C20" s="25">
        <v>32735</v>
      </c>
      <c r="D20" s="94">
        <v>2362</v>
      </c>
      <c r="E20" s="27">
        <f t="shared" si="6"/>
        <v>7.215518558118222</v>
      </c>
      <c r="F20" s="94"/>
      <c r="G20" s="95">
        <f t="shared" si="7"/>
        <v>0</v>
      </c>
      <c r="H20" s="94">
        <v>21828</v>
      </c>
      <c r="I20" s="90">
        <f t="shared" si="0"/>
        <v>66.68092255995113</v>
      </c>
      <c r="J20" s="96"/>
      <c r="K20" s="92">
        <f t="shared" si="1"/>
        <v>0</v>
      </c>
      <c r="L20" s="16">
        <f>SUM(C20-D20-F20-H20-J20)</f>
        <v>8545</v>
      </c>
      <c r="M20" s="86">
        <f t="shared" si="8"/>
        <v>26.103558881930656</v>
      </c>
    </row>
    <row r="21" spans="2:13" s="37" customFormat="1" ht="12" customHeight="1" thickBot="1">
      <c r="B21" s="32" t="s">
        <v>41</v>
      </c>
      <c r="C21" s="29">
        <f>SUM(C16:C20)</f>
        <v>233828</v>
      </c>
      <c r="D21" s="29">
        <f aca="true" t="shared" si="9" ref="D21:L21">SUM(D16:D20)</f>
        <v>30548</v>
      </c>
      <c r="E21" s="33">
        <f t="shared" si="6"/>
        <v>13.064303676206443</v>
      </c>
      <c r="F21" s="29">
        <f t="shared" si="9"/>
        <v>2680</v>
      </c>
      <c r="G21" s="33">
        <f t="shared" si="7"/>
        <v>1.1461416083617018</v>
      </c>
      <c r="H21" s="29">
        <f t="shared" si="9"/>
        <v>115885</v>
      </c>
      <c r="I21" s="66">
        <f aca="true" t="shared" si="10" ref="I21:I39">SUM(H21/C21)*100</f>
        <v>49.55993294216262</v>
      </c>
      <c r="J21" s="29">
        <f>SUM(J16:J20)</f>
        <v>0</v>
      </c>
      <c r="K21" s="33">
        <f aca="true" t="shared" si="11" ref="K21:K39">SUM(J21/C21)*100</f>
        <v>0</v>
      </c>
      <c r="L21" s="29">
        <f t="shared" si="9"/>
        <v>84715</v>
      </c>
      <c r="M21" s="50">
        <f t="shared" si="8"/>
        <v>36.22962177326924</v>
      </c>
    </row>
    <row r="22" spans="2:13" ht="12" customHeight="1">
      <c r="B22" s="97" t="s">
        <v>53</v>
      </c>
      <c r="C22" s="98">
        <v>557876</v>
      </c>
      <c r="D22" s="99">
        <v>105000</v>
      </c>
      <c r="E22" s="100">
        <f t="shared" si="6"/>
        <v>18.821386831482265</v>
      </c>
      <c r="F22" s="99">
        <f>55+178+179</f>
        <v>412</v>
      </c>
      <c r="G22" s="100">
        <f t="shared" si="7"/>
        <v>0.07385153690067327</v>
      </c>
      <c r="H22" s="99"/>
      <c r="I22" s="101">
        <f>SUM(H22/C22)*100</f>
        <v>0</v>
      </c>
      <c r="J22" s="99">
        <v>35014</v>
      </c>
      <c r="K22" s="100">
        <f>SUM(J22/C22)*100</f>
        <v>6.276305128738286</v>
      </c>
      <c r="L22" s="99">
        <f>SUM(C22-D22-F22-H22-J22)</f>
        <v>417450</v>
      </c>
      <c r="M22" s="102">
        <f t="shared" si="8"/>
        <v>74.82845650287877</v>
      </c>
    </row>
    <row r="23" spans="2:13" ht="12" customHeight="1" thickBot="1">
      <c r="B23" s="47" t="s">
        <v>54</v>
      </c>
      <c r="C23" s="30">
        <f>816204+51</f>
        <v>816255</v>
      </c>
      <c r="D23" s="31">
        <v>480000</v>
      </c>
      <c r="E23" s="48">
        <f t="shared" si="6"/>
        <v>58.80515280151424</v>
      </c>
      <c r="F23" s="31"/>
      <c r="G23" s="48">
        <f t="shared" si="7"/>
        <v>0</v>
      </c>
      <c r="H23" s="31"/>
      <c r="I23" s="76">
        <f>SUM(H23/C23)*100</f>
        <v>0</v>
      </c>
      <c r="J23" s="31"/>
      <c r="K23" s="48">
        <f>SUM(J23/C23)*100</f>
        <v>0</v>
      </c>
      <c r="L23" s="31">
        <f>SUM(C23-D23-F23-H23-J23)</f>
        <v>336255</v>
      </c>
      <c r="M23" s="49">
        <f t="shared" si="8"/>
        <v>41.19484719848577</v>
      </c>
    </row>
    <row r="24" spans="2:13" ht="12" customHeight="1" thickBot="1">
      <c r="B24" s="32" t="s">
        <v>55</v>
      </c>
      <c r="C24" s="29">
        <f>SUM(C22:C23)</f>
        <v>1374131</v>
      </c>
      <c r="D24" s="29">
        <f>SUM(D22:D23)</f>
        <v>585000</v>
      </c>
      <c r="E24" s="66">
        <f t="shared" si="6"/>
        <v>42.572360277149706</v>
      </c>
      <c r="F24" s="29">
        <f aca="true" t="shared" si="12" ref="F24:L24">SUM(F22:F23)</f>
        <v>412</v>
      </c>
      <c r="G24" s="66">
        <f t="shared" si="12"/>
        <v>0.07385153690067327</v>
      </c>
      <c r="H24" s="29">
        <f t="shared" si="12"/>
        <v>0</v>
      </c>
      <c r="I24" s="66">
        <f t="shared" si="12"/>
        <v>0</v>
      </c>
      <c r="J24" s="29">
        <f t="shared" si="12"/>
        <v>35014</v>
      </c>
      <c r="K24" s="33">
        <f t="shared" si="12"/>
        <v>6.276305128738286</v>
      </c>
      <c r="L24" s="29">
        <f t="shared" si="12"/>
        <v>753705</v>
      </c>
      <c r="M24" s="87">
        <f t="shared" si="8"/>
        <v>54.84957402169079</v>
      </c>
    </row>
    <row r="25" spans="2:13" ht="12" customHeight="1">
      <c r="B25" s="38" t="s">
        <v>4</v>
      </c>
      <c r="C25" s="39">
        <f>2468476-'önként2017.'!B29-C26</f>
        <v>2256822</v>
      </c>
      <c r="D25" s="40">
        <v>91820</v>
      </c>
      <c r="E25" s="41">
        <f aca="true" t="shared" si="13" ref="E25:E45">SUM(D25/C25)*100</f>
        <v>4.068553036083484</v>
      </c>
      <c r="F25" s="40">
        <f>318219+172+469+32</f>
        <v>318892</v>
      </c>
      <c r="G25" s="41">
        <f aca="true" t="shared" si="14" ref="G25:G45">SUM(F25/C25)*100</f>
        <v>14.130135207827642</v>
      </c>
      <c r="H25" s="40"/>
      <c r="I25" s="75">
        <f t="shared" si="10"/>
        <v>0</v>
      </c>
      <c r="J25" s="40"/>
      <c r="K25" s="41">
        <f t="shared" si="11"/>
        <v>0</v>
      </c>
      <c r="L25" s="40">
        <f>SUM(C25-D25-F25-H25-J25)</f>
        <v>1846110</v>
      </c>
      <c r="M25" s="42">
        <f aca="true" t="shared" si="15" ref="M25:M45">SUM(L25/C25)*100</f>
        <v>81.80131175608886</v>
      </c>
    </row>
    <row r="26" spans="2:13" ht="12" customHeight="1" thickBot="1">
      <c r="B26" s="19" t="s">
        <v>52</v>
      </c>
      <c r="C26" s="20">
        <v>1000</v>
      </c>
      <c r="D26" s="21"/>
      <c r="E26" s="22">
        <f t="shared" si="13"/>
        <v>0</v>
      </c>
      <c r="F26" s="21"/>
      <c r="G26" s="22">
        <f t="shared" si="14"/>
        <v>0</v>
      </c>
      <c r="H26" s="21"/>
      <c r="I26" s="143">
        <f t="shared" si="10"/>
        <v>0</v>
      </c>
      <c r="J26" s="21"/>
      <c r="K26" s="22">
        <f t="shared" si="11"/>
        <v>0</v>
      </c>
      <c r="L26" s="21">
        <f>SUM(C26-D26-F26-H26-J26)</f>
        <v>1000</v>
      </c>
      <c r="M26" s="23">
        <f t="shared" si="15"/>
        <v>100</v>
      </c>
    </row>
    <row r="27" spans="2:13" ht="12" customHeight="1" thickBot="1">
      <c r="B27" s="32" t="s">
        <v>43</v>
      </c>
      <c r="C27" s="29">
        <f>SUM(C25:C26)</f>
        <v>2257822</v>
      </c>
      <c r="D27" s="29">
        <f>SUM(D25:D26)</f>
        <v>91820</v>
      </c>
      <c r="E27" s="33">
        <f t="shared" si="13"/>
        <v>4.066751054777569</v>
      </c>
      <c r="F27" s="29">
        <f>SUM(F25:F26)</f>
        <v>318892</v>
      </c>
      <c r="G27" s="33">
        <f t="shared" si="14"/>
        <v>14.123876904379532</v>
      </c>
      <c r="H27" s="29">
        <f>SUM(H25:H26)</f>
        <v>0</v>
      </c>
      <c r="I27" s="66">
        <f t="shared" si="10"/>
        <v>0</v>
      </c>
      <c r="J27" s="29">
        <f>SUM(J25)</f>
        <v>0</v>
      </c>
      <c r="K27" s="33">
        <f t="shared" si="11"/>
        <v>0</v>
      </c>
      <c r="L27" s="29">
        <f>SUM(L25:L26)</f>
        <v>1847110</v>
      </c>
      <c r="M27" s="50">
        <f t="shared" si="15"/>
        <v>81.8093720408429</v>
      </c>
    </row>
    <row r="28" spans="2:13" ht="12" customHeight="1" thickBot="1">
      <c r="B28" s="38" t="s">
        <v>7</v>
      </c>
      <c r="C28" s="39">
        <v>227234</v>
      </c>
      <c r="D28" s="40">
        <v>4200</v>
      </c>
      <c r="E28" s="41">
        <f t="shared" si="13"/>
        <v>1.8483149528679688</v>
      </c>
      <c r="F28" s="40">
        <f>46939+9053+291+867+2041+4845+817+876+4785+3157</f>
        <v>73671</v>
      </c>
      <c r="G28" s="41">
        <f t="shared" si="14"/>
        <v>32.42076449827051</v>
      </c>
      <c r="H28" s="40"/>
      <c r="I28" s="75">
        <f t="shared" si="10"/>
        <v>0</v>
      </c>
      <c r="J28" s="40">
        <v>11109</v>
      </c>
      <c r="K28" s="41">
        <f t="shared" si="11"/>
        <v>4.888793050335778</v>
      </c>
      <c r="L28" s="40">
        <f>SUM(C28-D28-F28-H28-J28)</f>
        <v>138254</v>
      </c>
      <c r="M28" s="42">
        <f t="shared" si="15"/>
        <v>60.84212749852574</v>
      </c>
    </row>
    <row r="29" spans="2:13" ht="12" customHeight="1" thickBot="1">
      <c r="B29" s="32" t="s">
        <v>44</v>
      </c>
      <c r="C29" s="29">
        <f>SUM(C28)</f>
        <v>227234</v>
      </c>
      <c r="D29" s="34">
        <f>SUM(D28)</f>
        <v>4200</v>
      </c>
      <c r="E29" s="35">
        <f t="shared" si="13"/>
        <v>1.8483149528679688</v>
      </c>
      <c r="F29" s="34">
        <f>SUM(F28)</f>
        <v>73671</v>
      </c>
      <c r="G29" s="35">
        <f t="shared" si="14"/>
        <v>32.42076449827051</v>
      </c>
      <c r="H29" s="34">
        <f>SUM(H28)</f>
        <v>0</v>
      </c>
      <c r="I29" s="77">
        <f t="shared" si="10"/>
        <v>0</v>
      </c>
      <c r="J29" s="34">
        <f>SUM(J28)</f>
        <v>11109</v>
      </c>
      <c r="K29" s="35">
        <f t="shared" si="11"/>
        <v>4.888793050335778</v>
      </c>
      <c r="L29" s="34">
        <f>SUM(L28)</f>
        <v>138254</v>
      </c>
      <c r="M29" s="36">
        <f t="shared" si="15"/>
        <v>60.84212749852574</v>
      </c>
    </row>
    <row r="30" spans="2:13" ht="12" customHeight="1">
      <c r="B30" s="14" t="s">
        <v>8</v>
      </c>
      <c r="C30" s="15">
        <v>277147</v>
      </c>
      <c r="D30" s="16">
        <v>11495</v>
      </c>
      <c r="E30" s="17">
        <f t="shared" si="13"/>
        <v>4.147618411889719</v>
      </c>
      <c r="F30" s="16">
        <v>43988</v>
      </c>
      <c r="G30" s="17">
        <f t="shared" si="14"/>
        <v>15.871721505193994</v>
      </c>
      <c r="H30" s="16"/>
      <c r="I30" s="74">
        <f t="shared" si="10"/>
        <v>0</v>
      </c>
      <c r="J30" s="16">
        <f>1978+2468</f>
        <v>4446</v>
      </c>
      <c r="K30" s="17">
        <f t="shared" si="11"/>
        <v>1.6042028237722221</v>
      </c>
      <c r="L30" s="16">
        <f>SUM(C30-D30-F30-H30-J30)</f>
        <v>217218</v>
      </c>
      <c r="M30" s="18">
        <f t="shared" si="15"/>
        <v>78.37645725914406</v>
      </c>
    </row>
    <row r="31" spans="2:13" ht="12" customHeight="1">
      <c r="B31" s="19" t="s">
        <v>9</v>
      </c>
      <c r="C31" s="20">
        <v>183045</v>
      </c>
      <c r="D31" s="21">
        <v>13514</v>
      </c>
      <c r="E31" s="22">
        <f t="shared" si="13"/>
        <v>7.382883990275616</v>
      </c>
      <c r="F31" s="21">
        <v>23522</v>
      </c>
      <c r="G31" s="22">
        <f t="shared" si="14"/>
        <v>12.850391980114178</v>
      </c>
      <c r="H31" s="21"/>
      <c r="I31" s="74">
        <f t="shared" si="10"/>
        <v>0</v>
      </c>
      <c r="J31" s="16">
        <v>1543</v>
      </c>
      <c r="K31" s="17">
        <f t="shared" si="11"/>
        <v>0.8429621131415772</v>
      </c>
      <c r="L31" s="16">
        <f aca="true" t="shared" si="16" ref="L31:L39">SUM(C31-D31-F31-H31-J31)</f>
        <v>144466</v>
      </c>
      <c r="M31" s="23">
        <f t="shared" si="15"/>
        <v>78.92376191646862</v>
      </c>
    </row>
    <row r="32" spans="2:13" ht="12" customHeight="1">
      <c r="B32" s="19" t="s">
        <v>10</v>
      </c>
      <c r="C32" s="20">
        <v>59528</v>
      </c>
      <c r="D32" s="21">
        <v>11069</v>
      </c>
      <c r="E32" s="22">
        <f t="shared" si="13"/>
        <v>18.594610939389867</v>
      </c>
      <c r="F32" s="21">
        <v>20377</v>
      </c>
      <c r="G32" s="22">
        <f t="shared" si="14"/>
        <v>34.230950141110064</v>
      </c>
      <c r="H32" s="21"/>
      <c r="I32" s="74">
        <f t="shared" si="10"/>
        <v>0</v>
      </c>
      <c r="J32" s="16">
        <v>412</v>
      </c>
      <c r="K32" s="17">
        <f t="shared" si="11"/>
        <v>0.6921112753662142</v>
      </c>
      <c r="L32" s="16">
        <f t="shared" si="16"/>
        <v>27670</v>
      </c>
      <c r="M32" s="23">
        <f t="shared" si="15"/>
        <v>46.48232764413385</v>
      </c>
    </row>
    <row r="33" spans="2:13" ht="12" customHeight="1">
      <c r="B33" s="19" t="s">
        <v>11</v>
      </c>
      <c r="C33" s="20">
        <v>60510</v>
      </c>
      <c r="D33" s="21">
        <v>20070</v>
      </c>
      <c r="E33" s="22">
        <f t="shared" si="13"/>
        <v>33.16807139315816</v>
      </c>
      <c r="F33" s="21">
        <v>26309</v>
      </c>
      <c r="G33" s="22">
        <f t="shared" si="14"/>
        <v>43.47876384068749</v>
      </c>
      <c r="H33" s="21"/>
      <c r="I33" s="74">
        <f t="shared" si="10"/>
        <v>0</v>
      </c>
      <c r="J33" s="16">
        <v>83</v>
      </c>
      <c r="K33" s="17">
        <f t="shared" si="11"/>
        <v>0.13716741034539745</v>
      </c>
      <c r="L33" s="16">
        <f t="shared" si="16"/>
        <v>14048</v>
      </c>
      <c r="M33" s="23">
        <f t="shared" si="15"/>
        <v>23.215997355808955</v>
      </c>
    </row>
    <row r="34" spans="2:13" ht="12" customHeight="1">
      <c r="B34" s="19" t="s">
        <v>12</v>
      </c>
      <c r="C34" s="20">
        <v>24441</v>
      </c>
      <c r="D34" s="21"/>
      <c r="E34" s="22">
        <f t="shared" si="13"/>
        <v>0</v>
      </c>
      <c r="F34" s="21"/>
      <c r="G34" s="22">
        <f t="shared" si="14"/>
        <v>0</v>
      </c>
      <c r="H34" s="21">
        <f>4083+4307</f>
        <v>8390</v>
      </c>
      <c r="I34" s="74">
        <f t="shared" si="10"/>
        <v>34.32756433861135</v>
      </c>
      <c r="J34" s="16"/>
      <c r="K34" s="17">
        <f t="shared" si="11"/>
        <v>0</v>
      </c>
      <c r="L34" s="16">
        <f t="shared" si="16"/>
        <v>16051</v>
      </c>
      <c r="M34" s="23">
        <f t="shared" si="15"/>
        <v>65.67243566138865</v>
      </c>
    </row>
    <row r="35" spans="2:13" ht="12" customHeight="1">
      <c r="B35" s="19" t="s">
        <v>112</v>
      </c>
      <c r="C35" s="20">
        <v>49613</v>
      </c>
      <c r="D35" s="21"/>
      <c r="E35" s="22">
        <f t="shared" si="13"/>
        <v>0</v>
      </c>
      <c r="F35" s="21">
        <f>6600+6807+1177</f>
        <v>14584</v>
      </c>
      <c r="G35" s="22">
        <f t="shared" si="14"/>
        <v>29.395521335133935</v>
      </c>
      <c r="H35" s="21"/>
      <c r="I35" s="74"/>
      <c r="J35" s="16"/>
      <c r="K35" s="17">
        <f t="shared" si="11"/>
        <v>0</v>
      </c>
      <c r="L35" s="16"/>
      <c r="M35" s="23"/>
    </row>
    <row r="36" spans="2:13" ht="12" customHeight="1">
      <c r="B36" s="19" t="s">
        <v>13</v>
      </c>
      <c r="C36" s="20">
        <v>88445</v>
      </c>
      <c r="D36" s="21">
        <v>152</v>
      </c>
      <c r="E36" s="22">
        <f t="shared" si="13"/>
        <v>0.17185821697099893</v>
      </c>
      <c r="F36" s="21">
        <f>76498-719</f>
        <v>75779</v>
      </c>
      <c r="G36" s="22">
        <f t="shared" si="14"/>
        <v>85.67923568319294</v>
      </c>
      <c r="H36" s="21"/>
      <c r="I36" s="74">
        <f t="shared" si="10"/>
        <v>0</v>
      </c>
      <c r="J36" s="16">
        <v>2056</v>
      </c>
      <c r="K36" s="17">
        <f t="shared" si="11"/>
        <v>2.324608513765617</v>
      </c>
      <c r="L36" s="16">
        <f t="shared" si="16"/>
        <v>10458</v>
      </c>
      <c r="M36" s="23">
        <f t="shared" si="15"/>
        <v>11.82429758607044</v>
      </c>
    </row>
    <row r="37" spans="2:13" ht="12" customHeight="1">
      <c r="B37" s="24" t="s">
        <v>113</v>
      </c>
      <c r="C37" s="25">
        <v>44300</v>
      </c>
      <c r="D37" s="26"/>
      <c r="E37" s="27"/>
      <c r="F37" s="26"/>
      <c r="G37" s="22"/>
      <c r="H37" s="26"/>
      <c r="I37" s="75">
        <f t="shared" si="10"/>
        <v>0</v>
      </c>
      <c r="J37" s="40"/>
      <c r="K37" s="41"/>
      <c r="L37" s="16"/>
      <c r="M37" s="23"/>
    </row>
    <row r="38" spans="2:13" ht="12" customHeight="1">
      <c r="B38" s="24" t="s">
        <v>57</v>
      </c>
      <c r="C38" s="25">
        <v>12672</v>
      </c>
      <c r="D38" s="26"/>
      <c r="E38" s="27">
        <f t="shared" si="13"/>
        <v>0</v>
      </c>
      <c r="F38" s="26">
        <f>364+3+352+895</f>
        <v>1614</v>
      </c>
      <c r="G38" s="22">
        <f t="shared" si="14"/>
        <v>12.736742424242426</v>
      </c>
      <c r="H38" s="26">
        <v>1976</v>
      </c>
      <c r="I38" s="143">
        <f t="shared" si="10"/>
        <v>15.593434343434343</v>
      </c>
      <c r="J38" s="21">
        <v>74</v>
      </c>
      <c r="K38" s="22">
        <f t="shared" si="11"/>
        <v>0.5839646464646465</v>
      </c>
      <c r="L38" s="16">
        <f t="shared" si="16"/>
        <v>9008</v>
      </c>
      <c r="M38" s="23">
        <f t="shared" si="15"/>
        <v>71.08585858585859</v>
      </c>
    </row>
    <row r="39" spans="2:13" ht="12" customHeight="1" thickBot="1">
      <c r="B39" s="47" t="s">
        <v>14</v>
      </c>
      <c r="C39" s="30">
        <v>27240</v>
      </c>
      <c r="D39" s="31"/>
      <c r="E39" s="48">
        <f t="shared" si="13"/>
        <v>0</v>
      </c>
      <c r="F39" s="31">
        <v>11925</v>
      </c>
      <c r="G39" s="48">
        <f t="shared" si="14"/>
        <v>43.77753303964758</v>
      </c>
      <c r="H39" s="31"/>
      <c r="I39" s="76">
        <f t="shared" si="10"/>
        <v>0</v>
      </c>
      <c r="J39" s="31">
        <v>285</v>
      </c>
      <c r="K39" s="48">
        <f t="shared" si="11"/>
        <v>1.0462555066079295</v>
      </c>
      <c r="L39" s="31">
        <f t="shared" si="16"/>
        <v>15030</v>
      </c>
      <c r="M39" s="49">
        <f t="shared" si="15"/>
        <v>55.17621145374449</v>
      </c>
    </row>
    <row r="40" spans="2:13" s="37" customFormat="1" ht="12" customHeight="1" thickBot="1">
      <c r="B40" s="144" t="s">
        <v>45</v>
      </c>
      <c r="C40" s="29">
        <f>SUM(C30:C39)</f>
        <v>826941</v>
      </c>
      <c r="D40" s="34">
        <f>SUM(D30:D39)</f>
        <v>56300</v>
      </c>
      <c r="E40" s="35">
        <f t="shared" si="13"/>
        <v>6.808224528714867</v>
      </c>
      <c r="F40" s="34">
        <f>SUM(F30:F39)</f>
        <v>218098</v>
      </c>
      <c r="G40" s="35">
        <f t="shared" si="14"/>
        <v>26.374070217826905</v>
      </c>
      <c r="H40" s="34">
        <f>SUM(H30:H39)</f>
        <v>10366</v>
      </c>
      <c r="I40" s="77">
        <f aca="true" t="shared" si="17" ref="I40:I45">SUM(H40/C40)*100</f>
        <v>1.2535356210418882</v>
      </c>
      <c r="J40" s="34">
        <f>SUM(J30:J39)</f>
        <v>8899</v>
      </c>
      <c r="K40" s="35">
        <f aca="true" t="shared" si="18" ref="K40:K45">SUM(J40/C40)*100</f>
        <v>1.0761348149384298</v>
      </c>
      <c r="L40" s="34">
        <f>SUM(L30:L39)</f>
        <v>453949</v>
      </c>
      <c r="M40" s="36">
        <f t="shared" si="15"/>
        <v>54.89496832301216</v>
      </c>
    </row>
    <row r="41" spans="2:13" s="37" customFormat="1" ht="12" customHeight="1" thickBot="1">
      <c r="B41" s="147" t="s">
        <v>47</v>
      </c>
      <c r="C41" s="43">
        <v>181506</v>
      </c>
      <c r="D41" s="148">
        <v>5020</v>
      </c>
      <c r="E41" s="149">
        <f t="shared" si="13"/>
        <v>2.7657487906735865</v>
      </c>
      <c r="F41" s="148">
        <f>85413+22+7874+839</f>
        <v>94148</v>
      </c>
      <c r="G41" s="149">
        <f t="shared" si="14"/>
        <v>51.87046158253722</v>
      </c>
      <c r="H41" s="148"/>
      <c r="I41" s="150">
        <f t="shared" si="17"/>
        <v>0</v>
      </c>
      <c r="J41" s="148">
        <v>5354</v>
      </c>
      <c r="K41" s="35">
        <f t="shared" si="18"/>
        <v>2.9497647460690004</v>
      </c>
      <c r="L41" s="148">
        <f>SUM(C41-D41-F41-H41-J41)</f>
        <v>76984</v>
      </c>
      <c r="M41" s="151">
        <f t="shared" si="15"/>
        <v>42.4140248807202</v>
      </c>
    </row>
    <row r="42" spans="2:13" s="37" customFormat="1" ht="12" customHeight="1" thickBot="1">
      <c r="B42" s="32" t="s">
        <v>48</v>
      </c>
      <c r="C42" s="29">
        <f>114322+665+241</f>
        <v>115228</v>
      </c>
      <c r="D42" s="34">
        <v>3000</v>
      </c>
      <c r="E42" s="35">
        <f t="shared" si="13"/>
        <v>2.6035338632971152</v>
      </c>
      <c r="F42" s="34">
        <f>51030+81+232+228+4533+111+533</f>
        <v>56748</v>
      </c>
      <c r="G42" s="35">
        <f t="shared" si="14"/>
        <v>49.24844655812824</v>
      </c>
      <c r="H42" s="34"/>
      <c r="I42" s="77">
        <f t="shared" si="17"/>
        <v>0</v>
      </c>
      <c r="J42" s="34">
        <v>9323</v>
      </c>
      <c r="K42" s="152">
        <f t="shared" si="18"/>
        <v>8.090915402506335</v>
      </c>
      <c r="L42" s="153">
        <f>SUM(C42-D42-F42-H42-J42)</f>
        <v>46157</v>
      </c>
      <c r="M42" s="154">
        <f t="shared" si="15"/>
        <v>40.057104176068314</v>
      </c>
    </row>
    <row r="43" spans="2:13" s="37" customFormat="1" ht="12" customHeight="1" thickBot="1">
      <c r="B43" s="32" t="s">
        <v>49</v>
      </c>
      <c r="C43" s="29">
        <f>182308+450+43</f>
        <v>182801</v>
      </c>
      <c r="D43" s="34">
        <v>22500</v>
      </c>
      <c r="E43" s="35">
        <f t="shared" si="13"/>
        <v>12.308466583880833</v>
      </c>
      <c r="F43" s="34">
        <f>86126+97+92+67+33+845</f>
        <v>87260</v>
      </c>
      <c r="G43" s="35">
        <f t="shared" si="14"/>
        <v>47.73496862708628</v>
      </c>
      <c r="H43" s="34"/>
      <c r="I43" s="77">
        <f t="shared" si="17"/>
        <v>0</v>
      </c>
      <c r="J43" s="34">
        <v>5056</v>
      </c>
      <c r="K43" s="152">
        <f t="shared" si="18"/>
        <v>2.765849202137844</v>
      </c>
      <c r="L43" s="153">
        <f>SUM(C43-D43-F43-H43-J43)</f>
        <v>67985</v>
      </c>
      <c r="M43" s="154">
        <f t="shared" si="15"/>
        <v>37.19071558689504</v>
      </c>
    </row>
    <row r="44" spans="2:13" s="37" customFormat="1" ht="12" customHeight="1" thickBot="1">
      <c r="B44" s="147" t="s">
        <v>50</v>
      </c>
      <c r="C44" s="43">
        <f>158782+229+76</f>
        <v>159087</v>
      </c>
      <c r="D44" s="148">
        <v>2350</v>
      </c>
      <c r="E44" s="149">
        <f t="shared" si="13"/>
        <v>1.4771791535449157</v>
      </c>
      <c r="F44" s="148">
        <f>64411+13+31+30+16+735</f>
        <v>65236</v>
      </c>
      <c r="G44" s="149">
        <f t="shared" si="14"/>
        <v>41.00649330240686</v>
      </c>
      <c r="H44" s="148"/>
      <c r="I44" s="150">
        <f t="shared" si="17"/>
        <v>0</v>
      </c>
      <c r="J44" s="148">
        <v>25588</v>
      </c>
      <c r="K44" s="35">
        <f t="shared" si="18"/>
        <v>16.08428092804566</v>
      </c>
      <c r="L44" s="148">
        <f>SUM(C44-D44-F44-H44-J44)</f>
        <v>65913</v>
      </c>
      <c r="M44" s="151">
        <f t="shared" si="15"/>
        <v>41.432046616002566</v>
      </c>
    </row>
    <row r="45" spans="2:13" s="4" customFormat="1" ht="12" customHeight="1" thickBot="1">
      <c r="B45" s="28" t="s">
        <v>20</v>
      </c>
      <c r="C45" s="29">
        <f>SUM(C40,C29,C27,C21,C15,C41,C42,C43,C44,C24)</f>
        <v>11272051</v>
      </c>
      <c r="D45" s="29">
        <f>SUM(D40,D29,D27,D21,D15,D41,D42,D43,D44,D24)</f>
        <v>5802632</v>
      </c>
      <c r="E45" s="33">
        <f t="shared" si="13"/>
        <v>51.47804955815051</v>
      </c>
      <c r="F45" s="29">
        <f>SUM(F40,F29,F27,F21,F15,F41,F42,F43,F44,F24)</f>
        <v>927819</v>
      </c>
      <c r="G45" s="33">
        <f t="shared" si="14"/>
        <v>8.231146221747933</v>
      </c>
      <c r="H45" s="29">
        <f>SUM(H40,H29,H27,H21,H15,H41,H42,H43,H44)</f>
        <v>126322</v>
      </c>
      <c r="I45" s="66">
        <f t="shared" si="17"/>
        <v>1.120665617996228</v>
      </c>
      <c r="J45" s="29">
        <f>SUM(J40,J29,J27,J21,J15,J41,J42,J43,J44,J24)</f>
        <v>232145</v>
      </c>
      <c r="K45" s="35">
        <f t="shared" si="18"/>
        <v>2.059474358304447</v>
      </c>
      <c r="L45" s="29">
        <f>SUM(L40,L29,L27,L21,L15,L41,L42,L43,L44,L24)</f>
        <v>4103804</v>
      </c>
      <c r="M45" s="50">
        <f t="shared" si="15"/>
        <v>36.4068970234432</v>
      </c>
    </row>
  </sheetData>
  <sheetProtection/>
  <mergeCells count="2">
    <mergeCell ref="B2:M2"/>
    <mergeCell ref="L1:M1"/>
  </mergeCells>
  <printOptions/>
  <pageMargins left="0.5511811023622047" right="0.15748031496062992" top="0.5905511811023623" bottom="0.3937007874015748" header="0.2755905511811024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PageLayoutView="0" workbookViewId="0" topLeftCell="A7">
      <selection activeCell="L54" sqref="L54"/>
    </sheetView>
  </sheetViews>
  <sheetFormatPr defaultColWidth="9.00390625" defaultRowHeight="12.75"/>
  <cols>
    <col min="1" max="1" width="26.00390625" style="1" customWidth="1"/>
    <col min="2" max="2" width="10.125" style="1" customWidth="1"/>
    <col min="3" max="3" width="9.75390625" style="1" customWidth="1"/>
    <col min="4" max="4" width="9.625" style="85" customWidth="1"/>
    <col min="5" max="5" width="11.375" style="1" customWidth="1"/>
    <col min="6" max="6" width="10.375" style="1" customWidth="1"/>
    <col min="7" max="7" width="11.875" style="1" customWidth="1"/>
    <col min="8" max="8" width="9.375" style="1" customWidth="1"/>
    <col min="9" max="9" width="11.25390625" style="1" customWidth="1"/>
    <col min="10" max="10" width="9.75390625" style="1" customWidth="1"/>
    <col min="11" max="11" width="11.75390625" style="1" customWidth="1"/>
    <col min="12" max="12" width="13.375" style="1" customWidth="1"/>
    <col min="13" max="13" width="9.75390625" style="1" bestFit="1" customWidth="1"/>
    <col min="14" max="16384" width="9.125" style="1" customWidth="1"/>
  </cols>
  <sheetData>
    <row r="1" spans="1:12" ht="12.75">
      <c r="A1" s="45"/>
      <c r="B1" s="45"/>
      <c r="C1" s="45"/>
      <c r="D1" s="82"/>
      <c r="E1" s="45"/>
      <c r="F1" s="45"/>
      <c r="G1" s="45"/>
      <c r="H1" s="45"/>
      <c r="I1" s="45"/>
      <c r="J1" s="45"/>
      <c r="K1" s="169" t="s">
        <v>34</v>
      </c>
      <c r="L1" s="169"/>
    </row>
    <row r="2" spans="1:12" ht="12.75">
      <c r="A2" s="170" t="s">
        <v>85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3.75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 ht="13.5" thickBot="1">
      <c r="A4" s="67"/>
      <c r="B4" s="67"/>
      <c r="C4" s="67"/>
      <c r="D4" s="83"/>
      <c r="E4" s="51"/>
      <c r="F4" s="52"/>
      <c r="G4" s="51"/>
      <c r="H4" s="52"/>
      <c r="I4" s="52"/>
      <c r="J4" s="52"/>
      <c r="K4" s="53"/>
      <c r="L4" s="62" t="s">
        <v>0</v>
      </c>
    </row>
    <row r="5" spans="1:12" ht="92.25" customHeight="1" thickBot="1">
      <c r="A5" s="46" t="s">
        <v>3</v>
      </c>
      <c r="B5" s="54" t="s">
        <v>75</v>
      </c>
      <c r="C5" s="54" t="s">
        <v>89</v>
      </c>
      <c r="D5" s="55" t="s">
        <v>76</v>
      </c>
      <c r="E5" s="54" t="s">
        <v>65</v>
      </c>
      <c r="F5" s="55" t="s">
        <v>77</v>
      </c>
      <c r="G5" s="54" t="s">
        <v>90</v>
      </c>
      <c r="H5" s="55" t="s">
        <v>79</v>
      </c>
      <c r="I5" s="55" t="s">
        <v>82</v>
      </c>
      <c r="J5" s="55" t="s">
        <v>51</v>
      </c>
      <c r="K5" s="56" t="s">
        <v>80</v>
      </c>
      <c r="L5" s="64" t="s">
        <v>81</v>
      </c>
    </row>
    <row r="6" spans="1:12" ht="12.75">
      <c r="A6" s="105" t="s">
        <v>86</v>
      </c>
      <c r="B6" s="15"/>
      <c r="C6" s="15"/>
      <c r="D6" s="109"/>
      <c r="E6" s="16"/>
      <c r="F6" s="17"/>
      <c r="G6" s="16"/>
      <c r="H6" s="17"/>
      <c r="I6" s="16"/>
      <c r="J6" s="17"/>
      <c r="K6" s="21"/>
      <c r="L6" s="18"/>
    </row>
    <row r="7" spans="1:12" ht="12.75">
      <c r="A7" s="14" t="s">
        <v>87</v>
      </c>
      <c r="B7" s="20">
        <f>19549+17316</f>
        <v>36865</v>
      </c>
      <c r="C7" s="20"/>
      <c r="D7" s="110">
        <f>SUM(C7/B7)*100</f>
        <v>0</v>
      </c>
      <c r="E7" s="21"/>
      <c r="F7" s="22">
        <f aca="true" t="shared" si="0" ref="F7:F18">SUM(E7/B7)*100</f>
        <v>0</v>
      </c>
      <c r="G7" s="21"/>
      <c r="H7" s="22">
        <f>SUM(G7/B7*100)</f>
        <v>0</v>
      </c>
      <c r="I7" s="21">
        <v>36865</v>
      </c>
      <c r="J7" s="17">
        <f>SUM(I7/B7*100)</f>
        <v>100</v>
      </c>
      <c r="K7" s="21">
        <f aca="true" t="shared" si="1" ref="K7:K18">SUM(B7-C7-E7-G7-I7)</f>
        <v>0</v>
      </c>
      <c r="L7" s="23">
        <f>SUM(K7/B7)*100</f>
        <v>0</v>
      </c>
    </row>
    <row r="8" spans="1:12" ht="12.75">
      <c r="A8" s="14" t="s">
        <v>88</v>
      </c>
      <c r="B8" s="20">
        <f>5000+15113+32021+2972+115253+15000+100+33984+2338+8206</f>
        <v>229987</v>
      </c>
      <c r="C8" s="20">
        <v>20113</v>
      </c>
      <c r="D8" s="110">
        <f>SUM(C8/B8)*100</f>
        <v>8.745276906955612</v>
      </c>
      <c r="E8" s="21"/>
      <c r="F8" s="22">
        <f t="shared" si="0"/>
        <v>0</v>
      </c>
      <c r="G8" s="21"/>
      <c r="H8" s="22">
        <f>SUM(G8/B8*100)</f>
        <v>0</v>
      </c>
      <c r="I8" s="21">
        <f>32021+2972+130253</f>
        <v>165246</v>
      </c>
      <c r="J8" s="17">
        <f>SUM(I8/B8*100)</f>
        <v>71.8501480518464</v>
      </c>
      <c r="K8" s="21">
        <f t="shared" si="1"/>
        <v>44628</v>
      </c>
      <c r="L8" s="23">
        <f>SUM(K8/B8)*100</f>
        <v>19.40457504119798</v>
      </c>
    </row>
    <row r="9" spans="1:12" ht="12.75">
      <c r="A9" s="106" t="s">
        <v>91</v>
      </c>
      <c r="B9" s="20"/>
      <c r="C9" s="20"/>
      <c r="D9" s="110"/>
      <c r="E9" s="21"/>
      <c r="F9" s="22"/>
      <c r="G9" s="21"/>
      <c r="H9" s="22"/>
      <c r="I9" s="21"/>
      <c r="J9" s="17"/>
      <c r="K9" s="21"/>
      <c r="L9" s="23"/>
    </row>
    <row r="10" spans="1:12" ht="12.75">
      <c r="A10" s="14" t="s">
        <v>87</v>
      </c>
      <c r="B10" s="20">
        <f>826292-'kötelező2017.felh.'!C9-12932-3480</f>
        <v>792496</v>
      </c>
      <c r="C10" s="20"/>
      <c r="D10" s="110">
        <f aca="true" t="shared" si="2" ref="D10:D42">SUM(C10/B10)*100</f>
        <v>0</v>
      </c>
      <c r="E10" s="21"/>
      <c r="F10" s="22">
        <f t="shared" si="0"/>
        <v>0</v>
      </c>
      <c r="G10" s="21"/>
      <c r="H10" s="22">
        <f aca="true" t="shared" si="3" ref="H10:H19">SUM(G10/B10*100)</f>
        <v>0</v>
      </c>
      <c r="I10" s="21">
        <v>792496</v>
      </c>
      <c r="J10" s="17">
        <f>SUM(I10/B10*100)</f>
        <v>100</v>
      </c>
      <c r="K10" s="21">
        <f t="shared" si="1"/>
        <v>0</v>
      </c>
      <c r="L10" s="23">
        <f aca="true" t="shared" si="4" ref="L10:L22">SUM(K10/B10)*100</f>
        <v>0</v>
      </c>
    </row>
    <row r="11" spans="1:12" ht="12.75">
      <c r="A11" s="14" t="s">
        <v>88</v>
      </c>
      <c r="B11" s="20">
        <f>535060-100000-10000-51955-20000+1418831+10673-1000+3999+13105+8353+43665+106045+134247+138166+2485+4572+11490+3197+70+5817235-845000+955+107709+44845</f>
        <v>7376747</v>
      </c>
      <c r="C11" s="20">
        <v>371432</v>
      </c>
      <c r="D11" s="110">
        <f>SUM(C11/B11)*100</f>
        <v>5.035173363001333</v>
      </c>
      <c r="E11" s="21"/>
      <c r="F11" s="22">
        <f>SUM(E11/B11)*100</f>
        <v>0</v>
      </c>
      <c r="G11" s="21">
        <f>1572104</f>
        <v>1572104</v>
      </c>
      <c r="H11" s="22">
        <f>SUM(G11/B11*100)</f>
        <v>21.311616082264987</v>
      </c>
      <c r="I11" s="21">
        <f>353105-1000+3999+13105+8353+134247+138166+28793+39154+5074499-15742-9858-130253+31491-16925</f>
        <v>5651134</v>
      </c>
      <c r="J11" s="17">
        <f>SUM(I11/B11*100)</f>
        <v>76.60739889818642</v>
      </c>
      <c r="K11" s="21">
        <f>SUM(B11-C11-E11-G11-I11)</f>
        <v>-217923</v>
      </c>
      <c r="L11" s="23">
        <f>SUM(K11/B11)*100</f>
        <v>-2.954188343452744</v>
      </c>
    </row>
    <row r="12" spans="1:12" ht="12.75">
      <c r="A12" s="106" t="s">
        <v>92</v>
      </c>
      <c r="B12" s="20"/>
      <c r="C12" s="20"/>
      <c r="D12" s="110"/>
      <c r="E12" s="21"/>
      <c r="F12" s="22"/>
      <c r="G12" s="21"/>
      <c r="H12" s="22"/>
      <c r="I12" s="21"/>
      <c r="J12" s="17"/>
      <c r="K12" s="21"/>
      <c r="L12" s="23"/>
    </row>
    <row r="13" spans="1:12" ht="12.75">
      <c r="A13" s="14" t="s">
        <v>87</v>
      </c>
      <c r="B13" s="20">
        <v>541155</v>
      </c>
      <c r="C13" s="20"/>
      <c r="D13" s="110">
        <f>SUM(C13/B13)*100</f>
        <v>0</v>
      </c>
      <c r="E13" s="21"/>
      <c r="F13" s="22">
        <f>SUM(E13/B13)*100</f>
        <v>0</v>
      </c>
      <c r="G13" s="21"/>
      <c r="H13" s="22">
        <f>SUM(G13/B13*100)</f>
        <v>0</v>
      </c>
      <c r="I13" s="21">
        <v>541155</v>
      </c>
      <c r="J13" s="17">
        <f>SUM(I13/B13*100)</f>
        <v>100</v>
      </c>
      <c r="K13" s="21">
        <f>SUM(B13-C13-E13-G13-I13)</f>
        <v>0</v>
      </c>
      <c r="L13" s="23">
        <f>SUM(K13/B13)*100</f>
        <v>0</v>
      </c>
    </row>
    <row r="14" spans="1:12" ht="12.75">
      <c r="A14" s="14" t="s">
        <v>88</v>
      </c>
      <c r="B14" s="20">
        <f>347750-18308-1209+1870+79502+15694+44845+30126-32662+5740+775-14521</f>
        <v>459602</v>
      </c>
      <c r="C14" s="20">
        <f>227208-769+1300-16925</f>
        <v>210814</v>
      </c>
      <c r="D14" s="110">
        <f>SUM(C14/B14)*100</f>
        <v>45.86881693291152</v>
      </c>
      <c r="E14" s="21"/>
      <c r="F14" s="22">
        <f>SUM(E14/B14)*100</f>
        <v>0</v>
      </c>
      <c r="G14" s="21">
        <v>775</v>
      </c>
      <c r="H14" s="22">
        <f>SUM(G14/B14*100)</f>
        <v>0.16862415742316178</v>
      </c>
      <c r="I14" s="21">
        <f>130542-18308-1209+79502-630+7663+16925</f>
        <v>214485</v>
      </c>
      <c r="J14" s="17">
        <f>SUM(I14/B14*100)</f>
        <v>46.66755149020239</v>
      </c>
      <c r="K14" s="21">
        <f>SUM(B14-C14-E14-G14-I14)</f>
        <v>33528</v>
      </c>
      <c r="L14" s="23">
        <f>SUM(K14/B14)*100</f>
        <v>7.295007419462926</v>
      </c>
    </row>
    <row r="15" spans="1:12" ht="12.75">
      <c r="A15" s="106" t="s">
        <v>93</v>
      </c>
      <c r="B15" s="20"/>
      <c r="C15" s="20"/>
      <c r="D15" s="110"/>
      <c r="E15" s="21"/>
      <c r="F15" s="22"/>
      <c r="G15" s="21"/>
      <c r="H15" s="22"/>
      <c r="I15" s="21"/>
      <c r="J15" s="17"/>
      <c r="K15" s="21"/>
      <c r="L15" s="23"/>
    </row>
    <row r="16" spans="1:12" ht="12.75">
      <c r="A16" s="14" t="s">
        <v>87</v>
      </c>
      <c r="B16" s="20">
        <v>5000</v>
      </c>
      <c r="C16" s="20">
        <v>5000</v>
      </c>
      <c r="D16" s="110">
        <f t="shared" si="2"/>
        <v>100</v>
      </c>
      <c r="E16" s="21"/>
      <c r="F16" s="22">
        <f t="shared" si="0"/>
        <v>0</v>
      </c>
      <c r="G16" s="21"/>
      <c r="H16" s="22">
        <f t="shared" si="3"/>
        <v>0</v>
      </c>
      <c r="I16" s="21">
        <v>5000</v>
      </c>
      <c r="J16" s="17">
        <f>SUM(I16/B16*100)</f>
        <v>100</v>
      </c>
      <c r="K16" s="21">
        <f t="shared" si="1"/>
        <v>-5000</v>
      </c>
      <c r="L16" s="23">
        <f t="shared" si="4"/>
        <v>-100</v>
      </c>
    </row>
    <row r="17" spans="1:12" ht="12.75">
      <c r="A17" s="14" t="s">
        <v>88</v>
      </c>
      <c r="B17" s="20">
        <f>10000+7000</f>
        <v>17000</v>
      </c>
      <c r="C17" s="20">
        <f>21962-4962</f>
        <v>17000</v>
      </c>
      <c r="D17" s="110">
        <f t="shared" si="2"/>
        <v>100</v>
      </c>
      <c r="E17" s="21"/>
      <c r="F17" s="22">
        <f t="shared" si="0"/>
        <v>0</v>
      </c>
      <c r="G17" s="21"/>
      <c r="H17" s="22">
        <f t="shared" si="3"/>
        <v>0</v>
      </c>
      <c r="I17" s="21"/>
      <c r="J17" s="17">
        <f>SUM(I17/B17*100)</f>
        <v>0</v>
      </c>
      <c r="K17" s="21">
        <f t="shared" si="1"/>
        <v>0</v>
      </c>
      <c r="L17" s="23">
        <f t="shared" si="4"/>
        <v>0</v>
      </c>
    </row>
    <row r="18" spans="1:12" ht="13.5" thickBot="1">
      <c r="A18" s="107" t="s">
        <v>94</v>
      </c>
      <c r="B18" s="39">
        <f>94500+845000-9000+114080+765231</f>
        <v>1809811</v>
      </c>
      <c r="C18" s="39"/>
      <c r="D18" s="111">
        <f t="shared" si="2"/>
        <v>0</v>
      </c>
      <c r="E18" s="40"/>
      <c r="F18" s="41">
        <f t="shared" si="0"/>
        <v>0</v>
      </c>
      <c r="G18" s="40">
        <v>39154</v>
      </c>
      <c r="H18" s="41">
        <f t="shared" si="3"/>
        <v>2.163430325044991</v>
      </c>
      <c r="I18" s="40">
        <f>4423583+2001278-134247-138166-79502-28793-39154-5074499-7663-31491</f>
        <v>891346</v>
      </c>
      <c r="J18" s="41">
        <f>SUM(I18/B18*100)</f>
        <v>49.25077811992523</v>
      </c>
      <c r="K18" s="40">
        <f t="shared" si="1"/>
        <v>879311</v>
      </c>
      <c r="L18" s="42">
        <f t="shared" si="4"/>
        <v>48.58579155502978</v>
      </c>
    </row>
    <row r="19" spans="1:12" s="37" customFormat="1" ht="13.5" thickBot="1">
      <c r="A19" s="32" t="s">
        <v>42</v>
      </c>
      <c r="B19" s="29">
        <f>SUM(B6:B18)</f>
        <v>11268663</v>
      </c>
      <c r="C19" s="29">
        <f>SUM(C6:C17)</f>
        <v>624359</v>
      </c>
      <c r="D19" s="112">
        <f t="shared" si="2"/>
        <v>5.540666181959652</v>
      </c>
      <c r="E19" s="29">
        <f>SUM(E6:E17)</f>
        <v>0</v>
      </c>
      <c r="F19" s="66">
        <f>SUM(E19/B19*100)</f>
        <v>0</v>
      </c>
      <c r="G19" s="29">
        <f>SUM(G6:G18)</f>
        <v>1612033</v>
      </c>
      <c r="H19" s="33">
        <f t="shared" si="3"/>
        <v>14.305450433649494</v>
      </c>
      <c r="I19" s="29">
        <f>SUM(I6:I18)</f>
        <v>8297727</v>
      </c>
      <c r="J19" s="33">
        <f>SUM(I19/B19*100)</f>
        <v>73.63541708541644</v>
      </c>
      <c r="K19" s="29">
        <f>SUM(K6:K18)</f>
        <v>734544</v>
      </c>
      <c r="L19" s="50">
        <f t="shared" si="4"/>
        <v>6.51846629897442</v>
      </c>
    </row>
    <row r="20" spans="1:12" s="104" customFormat="1" ht="12.75">
      <c r="A20" s="106" t="s">
        <v>91</v>
      </c>
      <c r="B20" s="39"/>
      <c r="C20" s="39"/>
      <c r="D20" s="111"/>
      <c r="E20" s="39"/>
      <c r="F20" s="41"/>
      <c r="G20" s="39"/>
      <c r="H20" s="41"/>
      <c r="I20" s="39"/>
      <c r="J20" s="41"/>
      <c r="K20" s="40"/>
      <c r="L20" s="42"/>
    </row>
    <row r="21" spans="1:12" s="104" customFormat="1" ht="12.75">
      <c r="A21" s="14" t="s">
        <v>87</v>
      </c>
      <c r="B21" s="20">
        <f>3480-3328</f>
        <v>152</v>
      </c>
      <c r="C21" s="20"/>
      <c r="D21" s="110"/>
      <c r="E21" s="20"/>
      <c r="F21" s="22"/>
      <c r="G21" s="20"/>
      <c r="H21" s="22"/>
      <c r="I21" s="20">
        <f>3480-3328</f>
        <v>152</v>
      </c>
      <c r="J21" s="22"/>
      <c r="K21" s="21"/>
      <c r="L21" s="23"/>
    </row>
    <row r="22" spans="1:13" ht="13.5" thickBot="1">
      <c r="A22" s="14" t="s">
        <v>88</v>
      </c>
      <c r="B22" s="30">
        <v>10000</v>
      </c>
      <c r="C22" s="30"/>
      <c r="D22" s="113">
        <f t="shared" si="2"/>
        <v>0</v>
      </c>
      <c r="E22" s="31"/>
      <c r="F22" s="48">
        <f>SUM(E22/B22)*100</f>
        <v>0</v>
      </c>
      <c r="G22" s="31"/>
      <c r="H22" s="48">
        <f>SUM(G22/B22*100)</f>
        <v>0</v>
      </c>
      <c r="I22" s="31"/>
      <c r="J22" s="48">
        <f>SUM(I22/B22*100)</f>
        <v>0</v>
      </c>
      <c r="K22" s="31">
        <f>SUM(B22-C22-E22-G22-I22)</f>
        <v>10000</v>
      </c>
      <c r="L22" s="49">
        <f t="shared" si="4"/>
        <v>100</v>
      </c>
      <c r="M22" s="3"/>
    </row>
    <row r="23" spans="1:13" s="37" customFormat="1" ht="13.5" thickBot="1">
      <c r="A23" s="32" t="s">
        <v>43</v>
      </c>
      <c r="B23" s="29">
        <f>SUM(B20:B22)</f>
        <v>10152</v>
      </c>
      <c r="C23" s="29">
        <f>SUM(C20:C22)</f>
        <v>0</v>
      </c>
      <c r="D23" s="114">
        <f t="shared" si="2"/>
        <v>0</v>
      </c>
      <c r="E23" s="29">
        <f>SUM(E22)</f>
        <v>0</v>
      </c>
      <c r="F23" s="33">
        <f>SUM(E23/B23)*100</f>
        <v>0</v>
      </c>
      <c r="G23" s="29">
        <f>SUM(G20:G22)</f>
        <v>0</v>
      </c>
      <c r="H23" s="33">
        <f>SUM(H22)</f>
        <v>0</v>
      </c>
      <c r="I23" s="29">
        <f>SUM(I20:I22)</f>
        <v>152</v>
      </c>
      <c r="J23" s="33">
        <f>SUM(I23/B23*100)</f>
        <v>1.4972419227738378</v>
      </c>
      <c r="K23" s="29">
        <f>SUM(K20:K22)</f>
        <v>10000</v>
      </c>
      <c r="L23" s="50">
        <f>SUM(L22)</f>
        <v>100</v>
      </c>
      <c r="M23" s="44"/>
    </row>
    <row r="24" spans="1:13" s="37" customFormat="1" ht="12.75">
      <c r="A24" s="106" t="s">
        <v>91</v>
      </c>
      <c r="B24" s="115"/>
      <c r="C24" s="115"/>
      <c r="D24" s="116"/>
      <c r="E24" s="115"/>
      <c r="F24" s="117"/>
      <c r="G24" s="115"/>
      <c r="H24" s="117"/>
      <c r="I24" s="115"/>
      <c r="J24" s="117"/>
      <c r="K24" s="115"/>
      <c r="L24" s="118"/>
      <c r="M24" s="44"/>
    </row>
    <row r="25" spans="1:13" s="37" customFormat="1" ht="13.5" thickBot="1">
      <c r="A25" s="38" t="s">
        <v>88</v>
      </c>
      <c r="B25" s="124">
        <v>724</v>
      </c>
      <c r="C25" s="120">
        <v>724</v>
      </c>
      <c r="D25" s="121">
        <f t="shared" si="2"/>
        <v>100</v>
      </c>
      <c r="E25" s="120"/>
      <c r="F25" s="122">
        <f>SUM(E25/B25)*100</f>
        <v>0</v>
      </c>
      <c r="G25" s="120"/>
      <c r="H25" s="122"/>
      <c r="I25" s="120"/>
      <c r="J25" s="122"/>
      <c r="K25" s="120"/>
      <c r="L25" s="123"/>
      <c r="M25" s="44"/>
    </row>
    <row r="26" spans="1:13" s="37" customFormat="1" ht="13.5" thickBot="1">
      <c r="A26" s="119" t="s">
        <v>41</v>
      </c>
      <c r="B26" s="29">
        <f>SUM(B25)</f>
        <v>724</v>
      </c>
      <c r="C26" s="29">
        <f>SUM(C25)</f>
        <v>724</v>
      </c>
      <c r="D26" s="114"/>
      <c r="E26" s="29"/>
      <c r="F26" s="33"/>
      <c r="G26" s="29"/>
      <c r="H26" s="33"/>
      <c r="I26" s="29"/>
      <c r="J26" s="33"/>
      <c r="K26" s="29"/>
      <c r="L26" s="50"/>
      <c r="M26" s="44"/>
    </row>
    <row r="27" spans="1:13" s="37" customFormat="1" ht="12.75">
      <c r="A27" s="105" t="s">
        <v>91</v>
      </c>
      <c r="B27" s="43"/>
      <c r="C27" s="43"/>
      <c r="D27" s="125"/>
      <c r="E27" s="43"/>
      <c r="F27" s="126"/>
      <c r="G27" s="43"/>
      <c r="H27" s="126"/>
      <c r="I27" s="43"/>
      <c r="J27" s="126"/>
      <c r="K27" s="43"/>
      <c r="L27" s="127"/>
      <c r="M27" s="44"/>
    </row>
    <row r="28" spans="1:13" s="37" customFormat="1" ht="13.5" thickBot="1">
      <c r="A28" s="38" t="s">
        <v>88</v>
      </c>
      <c r="B28" s="124">
        <v>1988</v>
      </c>
      <c r="C28" s="120"/>
      <c r="D28" s="121">
        <f t="shared" si="2"/>
        <v>0</v>
      </c>
      <c r="E28" s="120"/>
      <c r="F28" s="122">
        <f>SUM(E28/B28)*100</f>
        <v>0</v>
      </c>
      <c r="G28" s="120"/>
      <c r="H28" s="122"/>
      <c r="I28" s="120"/>
      <c r="J28" s="122"/>
      <c r="K28" s="120"/>
      <c r="L28" s="123"/>
      <c r="M28" s="44"/>
    </row>
    <row r="29" spans="1:13" s="37" customFormat="1" ht="13.5" thickBot="1">
      <c r="A29" s="128" t="s">
        <v>99</v>
      </c>
      <c r="B29" s="29">
        <f>SUM(B28)</f>
        <v>1988</v>
      </c>
      <c r="C29" s="29"/>
      <c r="D29" s="114">
        <f t="shared" si="2"/>
        <v>0</v>
      </c>
      <c r="E29" s="29"/>
      <c r="F29" s="33"/>
      <c r="G29" s="29"/>
      <c r="H29" s="33"/>
      <c r="I29" s="29"/>
      <c r="J29" s="33"/>
      <c r="K29" s="29"/>
      <c r="L29" s="50"/>
      <c r="M29" s="44"/>
    </row>
    <row r="30" spans="1:13" s="37" customFormat="1" ht="12.75">
      <c r="A30" s="105" t="s">
        <v>91</v>
      </c>
      <c r="B30" s="115"/>
      <c r="C30" s="115"/>
      <c r="D30" s="116"/>
      <c r="E30" s="115"/>
      <c r="F30" s="117"/>
      <c r="G30" s="115"/>
      <c r="H30" s="117"/>
      <c r="I30" s="115"/>
      <c r="J30" s="117"/>
      <c r="K30" s="115"/>
      <c r="L30" s="118"/>
      <c r="M30" s="44"/>
    </row>
    <row r="31" spans="1:13" s="37" customFormat="1" ht="13.5" thickBot="1">
      <c r="A31" s="38" t="s">
        <v>88</v>
      </c>
      <c r="B31" s="124">
        <f>100+70+50</f>
        <v>220</v>
      </c>
      <c r="C31" s="120"/>
      <c r="D31" s="121">
        <f t="shared" si="2"/>
        <v>0</v>
      </c>
      <c r="E31" s="120"/>
      <c r="F31" s="122">
        <f>SUM(E31/B31)*100</f>
        <v>0</v>
      </c>
      <c r="G31" s="120"/>
      <c r="H31" s="122"/>
      <c r="I31" s="120"/>
      <c r="J31" s="122"/>
      <c r="K31" s="120"/>
      <c r="L31" s="123"/>
      <c r="M31" s="44"/>
    </row>
    <row r="32" spans="1:13" s="37" customFormat="1" ht="13.5" thickBot="1">
      <c r="A32" s="129" t="s">
        <v>100</v>
      </c>
      <c r="B32" s="29">
        <f>SUM(B31)</f>
        <v>220</v>
      </c>
      <c r="C32" s="29"/>
      <c r="D32" s="114">
        <f t="shared" si="2"/>
        <v>0</v>
      </c>
      <c r="E32" s="29"/>
      <c r="F32" s="33"/>
      <c r="G32" s="29"/>
      <c r="H32" s="33"/>
      <c r="I32" s="29"/>
      <c r="J32" s="33"/>
      <c r="K32" s="29"/>
      <c r="L32" s="50"/>
      <c r="M32" s="44"/>
    </row>
    <row r="33" spans="1:13" s="37" customFormat="1" ht="12.75">
      <c r="A33" s="105" t="s">
        <v>91</v>
      </c>
      <c r="B33" s="115"/>
      <c r="C33" s="115"/>
      <c r="D33" s="116"/>
      <c r="E33" s="115"/>
      <c r="F33" s="117"/>
      <c r="G33" s="115"/>
      <c r="H33" s="117"/>
      <c r="I33" s="115"/>
      <c r="J33" s="117"/>
      <c r="K33" s="115"/>
      <c r="L33" s="118"/>
      <c r="M33" s="44"/>
    </row>
    <row r="34" spans="1:13" s="37" customFormat="1" ht="13.5" thickBot="1">
      <c r="A34" s="38" t="s">
        <v>88</v>
      </c>
      <c r="B34" s="134">
        <f>80+282</f>
        <v>362</v>
      </c>
      <c r="C34" s="130"/>
      <c r="D34" s="131">
        <f t="shared" si="2"/>
        <v>0</v>
      </c>
      <c r="E34" s="130"/>
      <c r="F34" s="132">
        <f>SUM(E34/B34)*100</f>
        <v>0</v>
      </c>
      <c r="G34" s="130"/>
      <c r="H34" s="132"/>
      <c r="I34" s="130"/>
      <c r="J34" s="132"/>
      <c r="K34" s="130"/>
      <c r="L34" s="133"/>
      <c r="M34" s="44"/>
    </row>
    <row r="35" spans="1:13" s="37" customFormat="1" ht="13.5" thickBot="1">
      <c r="A35" s="32" t="s">
        <v>101</v>
      </c>
      <c r="B35" s="29">
        <f>SUM(B34)</f>
        <v>362</v>
      </c>
      <c r="C35" s="29"/>
      <c r="D35" s="114">
        <f t="shared" si="2"/>
        <v>0</v>
      </c>
      <c r="E35" s="29"/>
      <c r="F35" s="33"/>
      <c r="G35" s="29"/>
      <c r="H35" s="33"/>
      <c r="I35" s="29"/>
      <c r="J35" s="33"/>
      <c r="K35" s="29"/>
      <c r="L35" s="50"/>
      <c r="M35" s="44"/>
    </row>
    <row r="36" spans="1:13" s="37" customFormat="1" ht="12.75">
      <c r="A36" s="105" t="s">
        <v>91</v>
      </c>
      <c r="B36" s="115"/>
      <c r="C36" s="115"/>
      <c r="D36" s="116"/>
      <c r="E36" s="115"/>
      <c r="F36" s="117"/>
      <c r="G36" s="115"/>
      <c r="H36" s="117"/>
      <c r="I36" s="115"/>
      <c r="J36" s="117"/>
      <c r="K36" s="115"/>
      <c r="L36" s="118"/>
      <c r="M36" s="44"/>
    </row>
    <row r="37" spans="1:13" s="37" customFormat="1" ht="13.5" thickBot="1">
      <c r="A37" s="38" t="s">
        <v>88</v>
      </c>
      <c r="B37" s="120">
        <v>75</v>
      </c>
      <c r="C37" s="120"/>
      <c r="D37" s="121">
        <f t="shared" si="2"/>
        <v>0</v>
      </c>
      <c r="E37" s="120"/>
      <c r="F37" s="122">
        <f>SUM(E37/B37)*100</f>
        <v>0</v>
      </c>
      <c r="G37" s="120"/>
      <c r="H37" s="122"/>
      <c r="I37" s="120"/>
      <c r="J37" s="122"/>
      <c r="K37" s="120"/>
      <c r="L37" s="123"/>
      <c r="M37" s="44"/>
    </row>
    <row r="38" spans="1:13" s="37" customFormat="1" ht="13.5" thickBot="1">
      <c r="A38" s="32" t="s">
        <v>103</v>
      </c>
      <c r="B38" s="29">
        <f>SUM(B37)</f>
        <v>75</v>
      </c>
      <c r="C38" s="29"/>
      <c r="D38" s="121">
        <f t="shared" si="2"/>
        <v>0</v>
      </c>
      <c r="E38" s="29"/>
      <c r="F38" s="33"/>
      <c r="G38" s="29"/>
      <c r="H38" s="33"/>
      <c r="I38" s="29"/>
      <c r="J38" s="33"/>
      <c r="K38" s="29"/>
      <c r="L38" s="50"/>
      <c r="M38" s="44"/>
    </row>
    <row r="39" spans="1:13" s="37" customFormat="1" ht="13.5" thickBot="1">
      <c r="A39" s="107" t="s">
        <v>91</v>
      </c>
      <c r="B39" s="29"/>
      <c r="C39" s="29"/>
      <c r="D39" s="114"/>
      <c r="E39" s="29"/>
      <c r="F39" s="33"/>
      <c r="G39" s="29"/>
      <c r="H39" s="33"/>
      <c r="I39" s="29"/>
      <c r="J39" s="33"/>
      <c r="K39" s="29"/>
      <c r="L39" s="50"/>
      <c r="M39" s="44"/>
    </row>
    <row r="40" spans="1:13" s="37" customFormat="1" ht="12.75">
      <c r="A40" s="146" t="s">
        <v>88</v>
      </c>
      <c r="B40" s="115">
        <v>50</v>
      </c>
      <c r="C40" s="115"/>
      <c r="D40" s="116">
        <f t="shared" si="2"/>
        <v>0</v>
      </c>
      <c r="E40" s="115"/>
      <c r="F40" s="117">
        <f>SUM(E40/B40)*100</f>
        <v>0</v>
      </c>
      <c r="G40" s="115"/>
      <c r="H40" s="117"/>
      <c r="I40" s="115"/>
      <c r="J40" s="117"/>
      <c r="K40" s="115"/>
      <c r="L40" s="118"/>
      <c r="M40" s="44"/>
    </row>
    <row r="41" spans="1:13" s="37" customFormat="1" ht="13.5" thickBot="1">
      <c r="A41" s="145" t="s">
        <v>104</v>
      </c>
      <c r="B41" s="120">
        <f>SUM(B40)</f>
        <v>50</v>
      </c>
      <c r="C41" s="120"/>
      <c r="D41" s="121">
        <f t="shared" si="2"/>
        <v>0</v>
      </c>
      <c r="E41" s="120"/>
      <c r="F41" s="122"/>
      <c r="G41" s="120"/>
      <c r="H41" s="122"/>
      <c r="I41" s="120"/>
      <c r="J41" s="122"/>
      <c r="K41" s="120"/>
      <c r="L41" s="123"/>
      <c r="M41" s="44"/>
    </row>
    <row r="42" spans="1:12" s="37" customFormat="1" ht="13.5" thickBot="1">
      <c r="A42" s="28" t="s">
        <v>20</v>
      </c>
      <c r="B42" s="29">
        <f>SUM(B23,B19,B26,B29,B32,B35,B38,B41)</f>
        <v>11282234</v>
      </c>
      <c r="C42" s="29">
        <f>SUM(C23,C19,C26,C29,C32,C35)</f>
        <v>625083</v>
      </c>
      <c r="D42" s="114">
        <f t="shared" si="2"/>
        <v>5.5404186794920225</v>
      </c>
      <c r="E42" s="29">
        <f aca="true" t="shared" si="5" ref="E42:K42">SUM(E23,E19)</f>
        <v>0</v>
      </c>
      <c r="F42" s="33">
        <f>SUM(E42/B42)*100</f>
        <v>0</v>
      </c>
      <c r="G42" s="29">
        <f t="shared" si="5"/>
        <v>1612033</v>
      </c>
      <c r="H42" s="33">
        <f>SUM(H23)</f>
        <v>0</v>
      </c>
      <c r="I42" s="29">
        <f t="shared" si="5"/>
        <v>8297879</v>
      </c>
      <c r="J42" s="33">
        <f>SUM(I42/B42*100)</f>
        <v>73.54819089907194</v>
      </c>
      <c r="K42" s="29">
        <f t="shared" si="5"/>
        <v>744544</v>
      </c>
      <c r="L42" s="50">
        <f>SUM(L23)</f>
        <v>100</v>
      </c>
    </row>
    <row r="43" spans="3:11" ht="12.75">
      <c r="C43" s="6"/>
      <c r="D43" s="84"/>
      <c r="E43" s="3"/>
      <c r="F43" s="2"/>
      <c r="G43" s="3"/>
      <c r="H43" s="2"/>
      <c r="I43" s="2"/>
      <c r="J43" s="2"/>
      <c r="K43" s="6"/>
    </row>
    <row r="44" spans="2:12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ht="12.75">
      <c r="B45" s="3"/>
    </row>
    <row r="46" ht="12.75">
      <c r="B46" s="3"/>
    </row>
    <row r="47" ht="12.75">
      <c r="B47" s="3"/>
    </row>
    <row r="49" ht="12.75">
      <c r="C49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9" ht="12.75">
      <c r="B59" s="3"/>
    </row>
  </sheetData>
  <sheetProtection/>
  <mergeCells count="2">
    <mergeCell ref="K1:L1"/>
    <mergeCell ref="A2:L3"/>
  </mergeCells>
  <printOptions/>
  <pageMargins left="0.7480314960629921" right="0.15748031496062992" top="0.5905511811023623" bottom="0.3937007874015748" header="0.2755905511811024" footer="0.5118110236220472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34"/>
  <sheetViews>
    <sheetView zoomScalePageLayoutView="0" workbookViewId="0" topLeftCell="B1">
      <selection activeCell="L54" sqref="L54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25390625" style="3" customWidth="1"/>
    <col min="4" max="4" width="9.375" style="3" bestFit="1" customWidth="1"/>
    <col min="5" max="5" width="9.75390625" style="2" customWidth="1"/>
    <col min="6" max="6" width="10.875" style="3" customWidth="1"/>
    <col min="7" max="7" width="9.75390625" style="7" customWidth="1"/>
    <col min="8" max="8" width="11.625" style="68" customWidth="1"/>
    <col min="9" max="9" width="8.375" style="72" customWidth="1"/>
    <col min="10" max="10" width="9.75390625" style="5" customWidth="1"/>
    <col min="11" max="11" width="10.00390625" style="79" customWidth="1"/>
    <col min="12" max="12" width="11.125" style="6" customWidth="1"/>
    <col min="13" max="13" width="13.00390625" style="1" customWidth="1"/>
    <col min="14" max="14" width="9.125" style="1" customWidth="1"/>
    <col min="15" max="15" width="10.125" style="1" bestFit="1" customWidth="1"/>
    <col min="16" max="16384" width="9.125" style="1" customWidth="1"/>
  </cols>
  <sheetData>
    <row r="1" spans="12:13" ht="12" customHeight="1">
      <c r="L1" s="172" t="s">
        <v>33</v>
      </c>
      <c r="M1" s="172"/>
    </row>
    <row r="2" spans="2:13" ht="18" customHeight="1">
      <c r="B2" s="171" t="s">
        <v>95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2:13" ht="12" customHeight="1" thickBot="1">
      <c r="B3" s="45"/>
      <c r="C3" s="57"/>
      <c r="D3" s="57"/>
      <c r="E3" s="58"/>
      <c r="F3" s="57"/>
      <c r="G3" s="59"/>
      <c r="H3" s="69"/>
      <c r="I3" s="73"/>
      <c r="J3" s="60"/>
      <c r="K3" s="80"/>
      <c r="L3" s="61"/>
      <c r="M3" s="62" t="s">
        <v>0</v>
      </c>
    </row>
    <row r="4" spans="2:13" s="65" customFormat="1" ht="51.75" customHeight="1" thickBot="1">
      <c r="B4" s="46" t="s">
        <v>3</v>
      </c>
      <c r="C4" s="54" t="s">
        <v>70</v>
      </c>
      <c r="D4" s="54" t="s">
        <v>89</v>
      </c>
      <c r="E4" s="55" t="s">
        <v>76</v>
      </c>
      <c r="F4" s="54" t="s">
        <v>65</v>
      </c>
      <c r="G4" s="55" t="s">
        <v>77</v>
      </c>
      <c r="H4" s="54" t="s">
        <v>90</v>
      </c>
      <c r="I4" s="55" t="s">
        <v>79</v>
      </c>
      <c r="J4" s="55" t="s">
        <v>82</v>
      </c>
      <c r="K4" s="55" t="s">
        <v>51</v>
      </c>
      <c r="L4" s="56" t="s">
        <v>80</v>
      </c>
      <c r="M4" s="64" t="s">
        <v>81</v>
      </c>
    </row>
    <row r="5" spans="2:13" ht="12" customHeight="1">
      <c r="B5" s="105" t="s">
        <v>86</v>
      </c>
      <c r="C5" s="20"/>
      <c r="D5" s="21"/>
      <c r="E5" s="22"/>
      <c r="F5" s="21"/>
      <c r="G5" s="17"/>
      <c r="H5" s="21"/>
      <c r="I5" s="74"/>
      <c r="J5" s="16"/>
      <c r="K5" s="17"/>
      <c r="L5" s="16">
        <f aca="true" t="shared" si="0" ref="L5:L10">SUM(C5-D5-F5-H5-J5)</f>
        <v>0</v>
      </c>
      <c r="M5" s="23"/>
    </row>
    <row r="6" spans="2:13" ht="12" customHeight="1">
      <c r="B6" s="14" t="s">
        <v>87</v>
      </c>
      <c r="C6" s="20">
        <f>103955-'önként2017.felh.'!B7</f>
        <v>67090</v>
      </c>
      <c r="D6" s="21"/>
      <c r="E6" s="22">
        <f>SUM(D6/C6)*100</f>
        <v>0</v>
      </c>
      <c r="F6" s="21"/>
      <c r="G6" s="17">
        <f>SUM(F6/C6)*100</f>
        <v>0</v>
      </c>
      <c r="H6" s="21"/>
      <c r="I6" s="74">
        <f aca="true" t="shared" si="1" ref="I6:I17">SUM(H6/C6)*100</f>
        <v>0</v>
      </c>
      <c r="J6" s="16">
        <v>67090</v>
      </c>
      <c r="K6" s="17">
        <f aca="true" t="shared" si="2" ref="K6:K17">SUM(J6/C6)*100</f>
        <v>100</v>
      </c>
      <c r="L6" s="16">
        <f t="shared" si="0"/>
        <v>0</v>
      </c>
      <c r="M6" s="23">
        <f>SUM(L6/C6)*100</f>
        <v>0</v>
      </c>
    </row>
    <row r="7" spans="2:13" ht="12" customHeight="1">
      <c r="B7" s="14" t="s">
        <v>88</v>
      </c>
      <c r="C7" s="20">
        <f>40000+65081-4709+15000+3322+7898+4595+6741+2247+8182+3328+697+4165+57513+5871</f>
        <v>219931</v>
      </c>
      <c r="D7" s="21">
        <v>105081</v>
      </c>
      <c r="E7" s="22">
        <f>SUM(D7/C7)*100</f>
        <v>47.77907616479714</v>
      </c>
      <c r="F7" s="21"/>
      <c r="G7" s="17">
        <f>SUM(F7/C7)*100</f>
        <v>0</v>
      </c>
      <c r="H7" s="21"/>
      <c r="I7" s="74">
        <f t="shared" si="1"/>
        <v>0</v>
      </c>
      <c r="J7" s="16">
        <f>-4079+15000+3322+7898+4595+6741+2247+15742</f>
        <v>51466</v>
      </c>
      <c r="K7" s="17">
        <f t="shared" si="2"/>
        <v>23.400975760579453</v>
      </c>
      <c r="L7" s="16">
        <f t="shared" si="0"/>
        <v>63384</v>
      </c>
      <c r="M7" s="23">
        <f>SUM(L7/C7)*100</f>
        <v>28.819948074623404</v>
      </c>
    </row>
    <row r="8" spans="2:13" ht="12" customHeight="1">
      <c r="B8" s="106" t="s">
        <v>91</v>
      </c>
      <c r="C8" s="20"/>
      <c r="D8" s="21"/>
      <c r="E8" s="22"/>
      <c r="F8" s="21"/>
      <c r="G8" s="22"/>
      <c r="H8" s="21"/>
      <c r="I8" s="74"/>
      <c r="J8" s="16"/>
      <c r="K8" s="17"/>
      <c r="L8" s="16"/>
      <c r="M8" s="23"/>
    </row>
    <row r="9" spans="2:13" ht="12" customHeight="1">
      <c r="B9" s="14" t="s">
        <v>87</v>
      </c>
      <c r="C9" s="20">
        <f>9405+3912+784+3283</f>
        <v>17384</v>
      </c>
      <c r="D9" s="21"/>
      <c r="E9" s="22">
        <f>SUM(D9/C9)*100</f>
        <v>0</v>
      </c>
      <c r="F9" s="21"/>
      <c r="G9" s="22">
        <f aca="true" t="shared" si="3" ref="G9:G19">SUM(F9/C9)*100</f>
        <v>0</v>
      </c>
      <c r="H9" s="21"/>
      <c r="I9" s="74">
        <f t="shared" si="1"/>
        <v>0</v>
      </c>
      <c r="J9" s="16">
        <v>17384</v>
      </c>
      <c r="K9" s="17">
        <f t="shared" si="2"/>
        <v>100</v>
      </c>
      <c r="L9" s="16">
        <f t="shared" si="0"/>
        <v>0</v>
      </c>
      <c r="M9" s="23">
        <f>SUM(L9/C9)*100</f>
        <v>0</v>
      </c>
    </row>
    <row r="10" spans="2:13" ht="12" customHeight="1" thickBot="1">
      <c r="B10" s="14" t="s">
        <v>88</v>
      </c>
      <c r="C10" s="20">
        <f>100000+16559+2019+650+9208</f>
        <v>128436</v>
      </c>
      <c r="D10" s="21">
        <v>100000</v>
      </c>
      <c r="E10" s="22">
        <f>SUM(D10/C10)*100</f>
        <v>77.85979009000592</v>
      </c>
      <c r="F10" s="21"/>
      <c r="G10" s="22">
        <f t="shared" si="3"/>
        <v>0</v>
      </c>
      <c r="H10" s="21"/>
      <c r="I10" s="74">
        <f t="shared" si="1"/>
        <v>0</v>
      </c>
      <c r="J10" s="16">
        <f>16559+2019+9858</f>
        <v>28436</v>
      </c>
      <c r="K10" s="17">
        <f t="shared" si="2"/>
        <v>22.140209909994084</v>
      </c>
      <c r="L10" s="16">
        <f t="shared" si="0"/>
        <v>0</v>
      </c>
      <c r="M10" s="23">
        <f>SUM(L10/C10)*100</f>
        <v>0</v>
      </c>
    </row>
    <row r="11" spans="2:13" s="37" customFormat="1" ht="12" customHeight="1" thickBot="1">
      <c r="B11" s="32" t="s">
        <v>42</v>
      </c>
      <c r="C11" s="29">
        <f>SUM(C5:C10)</f>
        <v>432841</v>
      </c>
      <c r="D11" s="29">
        <f>SUM(D5:D10)</f>
        <v>205081</v>
      </c>
      <c r="E11" s="66">
        <f>SUM(D11/C11)*100</f>
        <v>47.38021582983128</v>
      </c>
      <c r="F11" s="29">
        <f>SUM(F5:F10)</f>
        <v>0</v>
      </c>
      <c r="G11" s="66">
        <f t="shared" si="3"/>
        <v>0</v>
      </c>
      <c r="H11" s="29">
        <f>SUM(H5:H10)</f>
        <v>0</v>
      </c>
      <c r="I11" s="66">
        <f t="shared" si="1"/>
        <v>0</v>
      </c>
      <c r="J11" s="29">
        <f>SUM(J5:J10)</f>
        <v>164376</v>
      </c>
      <c r="K11" s="33">
        <f t="shared" si="2"/>
        <v>37.976069734613866</v>
      </c>
      <c r="L11" s="29">
        <f>SUM(L5:L10)</f>
        <v>63384</v>
      </c>
      <c r="M11" s="87">
        <f>SUM(L11/C11)*100</f>
        <v>14.643714435554859</v>
      </c>
    </row>
    <row r="12" spans="2:13" s="93" customFormat="1" ht="12" customHeight="1">
      <c r="B12" s="105" t="s">
        <v>86</v>
      </c>
      <c r="C12" s="20"/>
      <c r="D12" s="88"/>
      <c r="E12" s="22"/>
      <c r="F12" s="88"/>
      <c r="G12" s="89"/>
      <c r="H12" s="88"/>
      <c r="I12" s="90"/>
      <c r="J12" s="91"/>
      <c r="K12" s="92"/>
      <c r="L12" s="16"/>
      <c r="M12" s="23"/>
    </row>
    <row r="13" spans="2:13" s="93" customFormat="1" ht="12" customHeight="1">
      <c r="B13" s="14" t="s">
        <v>88</v>
      </c>
      <c r="C13" s="20">
        <v>49286</v>
      </c>
      <c r="D13" s="88"/>
      <c r="E13" s="22">
        <f>SUM(D13/C13)*100</f>
        <v>0</v>
      </c>
      <c r="F13" s="88"/>
      <c r="G13" s="89">
        <f t="shared" si="3"/>
        <v>0</v>
      </c>
      <c r="H13" s="88"/>
      <c r="I13" s="90">
        <f t="shared" si="1"/>
        <v>0</v>
      </c>
      <c r="J13" s="91"/>
      <c r="K13" s="92">
        <f t="shared" si="2"/>
        <v>0</v>
      </c>
      <c r="L13" s="16">
        <f>SUM(C13-D13-F13-H13-J13)</f>
        <v>49286</v>
      </c>
      <c r="M13" s="23">
        <f>SUM(L13/C13)*100</f>
        <v>100</v>
      </c>
    </row>
    <row r="14" spans="2:13" s="93" customFormat="1" ht="12" customHeight="1">
      <c r="B14" s="106" t="s">
        <v>91</v>
      </c>
      <c r="C14" s="20"/>
      <c r="D14" s="88"/>
      <c r="E14" s="22"/>
      <c r="F14" s="88"/>
      <c r="G14" s="89"/>
      <c r="H14" s="88"/>
      <c r="I14" s="90"/>
      <c r="J14" s="91"/>
      <c r="K14" s="92"/>
      <c r="L14" s="16"/>
      <c r="M14" s="23"/>
    </row>
    <row r="15" spans="2:13" s="93" customFormat="1" ht="12" customHeight="1">
      <c r="B15" s="14" t="s">
        <v>87</v>
      </c>
      <c r="C15" s="20">
        <f>12932-1125</f>
        <v>11807</v>
      </c>
      <c r="D15" s="88"/>
      <c r="E15" s="22">
        <f>SUM(D15/C15)*100</f>
        <v>0</v>
      </c>
      <c r="F15" s="88"/>
      <c r="G15" s="89">
        <f t="shared" si="3"/>
        <v>0</v>
      </c>
      <c r="H15" s="88"/>
      <c r="I15" s="90">
        <f t="shared" si="1"/>
        <v>0</v>
      </c>
      <c r="J15" s="91">
        <v>11807</v>
      </c>
      <c r="K15" s="92">
        <f t="shared" si="2"/>
        <v>100</v>
      </c>
      <c r="L15" s="16">
        <f>SUM(C15-D15-F15-H15-J15)</f>
        <v>0</v>
      </c>
      <c r="M15" s="23">
        <f>SUM(L15/C15)*100</f>
        <v>0</v>
      </c>
    </row>
    <row r="16" spans="2:13" s="93" customFormat="1" ht="12" customHeight="1" thickBot="1">
      <c r="B16" s="14" t="s">
        <v>88</v>
      </c>
      <c r="C16" s="25">
        <f>51955+688+11000</f>
        <v>63643</v>
      </c>
      <c r="D16" s="94"/>
      <c r="E16" s="27">
        <f>SUM(D16/C16)*100</f>
        <v>0</v>
      </c>
      <c r="F16" s="94"/>
      <c r="G16" s="95">
        <f t="shared" si="3"/>
        <v>0</v>
      </c>
      <c r="H16" s="94"/>
      <c r="I16" s="90">
        <f t="shared" si="1"/>
        <v>0</v>
      </c>
      <c r="J16" s="96"/>
      <c r="K16" s="92">
        <f t="shared" si="2"/>
        <v>0</v>
      </c>
      <c r="L16" s="16">
        <f>SUM(C16-D16-F16-H16-J16)</f>
        <v>63643</v>
      </c>
      <c r="M16" s="86">
        <f>SUM(L16/C16)*100</f>
        <v>100</v>
      </c>
    </row>
    <row r="17" spans="2:13" s="37" customFormat="1" ht="12" customHeight="1" thickBot="1">
      <c r="B17" s="32" t="s">
        <v>41</v>
      </c>
      <c r="C17" s="29">
        <f>SUM(C12:C16)</f>
        <v>124736</v>
      </c>
      <c r="D17" s="29">
        <f aca="true" t="shared" si="4" ref="D17:L17">SUM(D12:D16)</f>
        <v>0</v>
      </c>
      <c r="E17" s="33">
        <f>SUM(D17/C17)*100</f>
        <v>0</v>
      </c>
      <c r="F17" s="29">
        <f t="shared" si="4"/>
        <v>0</v>
      </c>
      <c r="G17" s="33">
        <f t="shared" si="3"/>
        <v>0</v>
      </c>
      <c r="H17" s="29">
        <f t="shared" si="4"/>
        <v>0</v>
      </c>
      <c r="I17" s="66">
        <f t="shared" si="1"/>
        <v>0</v>
      </c>
      <c r="J17" s="29">
        <f>SUM(J12:J16)</f>
        <v>11807</v>
      </c>
      <c r="K17" s="33">
        <f t="shared" si="2"/>
        <v>9.465591328886608</v>
      </c>
      <c r="L17" s="29">
        <f t="shared" si="4"/>
        <v>112929</v>
      </c>
      <c r="M17" s="50">
        <f>SUM(L17/C17)*100</f>
        <v>90.53440867111338</v>
      </c>
    </row>
    <row r="18" spans="2:13" ht="12" customHeight="1">
      <c r="B18" s="106" t="s">
        <v>91</v>
      </c>
      <c r="C18" s="98"/>
      <c r="D18" s="99"/>
      <c r="E18" s="100"/>
      <c r="F18" s="99"/>
      <c r="G18" s="100"/>
      <c r="H18" s="99"/>
      <c r="I18" s="101"/>
      <c r="J18" s="99"/>
      <c r="K18" s="100"/>
      <c r="L18" s="99"/>
      <c r="M18" s="102"/>
    </row>
    <row r="19" spans="2:13" ht="12" customHeight="1" thickBot="1">
      <c r="B19" s="14" t="s">
        <v>88</v>
      </c>
      <c r="C19" s="30">
        <v>20000</v>
      </c>
      <c r="D19" s="31"/>
      <c r="E19" s="48">
        <f>SUM(D19/C19)*100</f>
        <v>0</v>
      </c>
      <c r="F19" s="31"/>
      <c r="G19" s="48">
        <f t="shared" si="3"/>
        <v>0</v>
      </c>
      <c r="H19" s="31"/>
      <c r="I19" s="76">
        <f>SUM(H19/C19)*100</f>
        <v>0</v>
      </c>
      <c r="J19" s="31"/>
      <c r="K19" s="48">
        <f>SUM(J19/C19)*100</f>
        <v>0</v>
      </c>
      <c r="L19" s="31">
        <f>SUM(C19-D19-F19-H19-J19)</f>
        <v>20000</v>
      </c>
      <c r="M19" s="49">
        <f>SUM(L19/C19)*100</f>
        <v>100</v>
      </c>
    </row>
    <row r="20" spans="2:13" ht="12" customHeight="1" thickBot="1">
      <c r="B20" s="32" t="s">
        <v>55</v>
      </c>
      <c r="C20" s="29">
        <f>SUM(C18:C19)</f>
        <v>20000</v>
      </c>
      <c r="D20" s="29">
        <f>SUM(D18:D19)</f>
        <v>0</v>
      </c>
      <c r="E20" s="66">
        <f>SUM(D20/C20)*100</f>
        <v>0</v>
      </c>
      <c r="F20" s="29">
        <f aca="true" t="shared" si="5" ref="F20:L20">SUM(F18:F19)</f>
        <v>0</v>
      </c>
      <c r="G20" s="66">
        <f t="shared" si="5"/>
        <v>0</v>
      </c>
      <c r="H20" s="29">
        <f t="shared" si="5"/>
        <v>0</v>
      </c>
      <c r="I20" s="66">
        <f t="shared" si="5"/>
        <v>0</v>
      </c>
      <c r="J20" s="29">
        <f t="shared" si="5"/>
        <v>0</v>
      </c>
      <c r="K20" s="33">
        <f t="shared" si="5"/>
        <v>0</v>
      </c>
      <c r="L20" s="29">
        <f t="shared" si="5"/>
        <v>20000</v>
      </c>
      <c r="M20" s="87">
        <f>SUM(L20/C20)*100</f>
        <v>100</v>
      </c>
    </row>
    <row r="21" spans="2:13" ht="12" customHeight="1">
      <c r="B21" s="106" t="s">
        <v>91</v>
      </c>
      <c r="C21" s="115"/>
      <c r="D21" s="115"/>
      <c r="E21" s="135"/>
      <c r="F21" s="115"/>
      <c r="G21" s="135"/>
      <c r="H21" s="115"/>
      <c r="I21" s="135"/>
      <c r="J21" s="115"/>
      <c r="K21" s="126"/>
      <c r="L21" s="115"/>
      <c r="M21" s="136"/>
    </row>
    <row r="22" spans="2:13" ht="12" customHeight="1" thickBot="1">
      <c r="B22" s="14" t="s">
        <v>88</v>
      </c>
      <c r="C22" s="124">
        <f>53+959</f>
        <v>1012</v>
      </c>
      <c r="D22" s="120"/>
      <c r="E22" s="137"/>
      <c r="F22" s="120"/>
      <c r="G22" s="137"/>
      <c r="H22" s="120"/>
      <c r="I22" s="137"/>
      <c r="J22" s="120"/>
      <c r="K22" s="122"/>
      <c r="L22" s="120"/>
      <c r="M22" s="138"/>
    </row>
    <row r="23" spans="2:13" ht="12" customHeight="1" thickBot="1">
      <c r="B23" s="32" t="s">
        <v>102</v>
      </c>
      <c r="C23" s="29">
        <f>SUM(C22)</f>
        <v>1012</v>
      </c>
      <c r="D23" s="29"/>
      <c r="E23" s="66"/>
      <c r="F23" s="29"/>
      <c r="G23" s="66"/>
      <c r="H23" s="29"/>
      <c r="I23" s="66"/>
      <c r="J23" s="29"/>
      <c r="K23" s="108"/>
      <c r="L23" s="29"/>
      <c r="M23" s="87"/>
    </row>
    <row r="24" spans="2:13" ht="12" customHeight="1">
      <c r="B24" s="106" t="s">
        <v>91</v>
      </c>
      <c r="C24" s="115"/>
      <c r="D24" s="115"/>
      <c r="E24" s="135"/>
      <c r="F24" s="115"/>
      <c r="G24" s="135"/>
      <c r="H24" s="115"/>
      <c r="I24" s="135"/>
      <c r="J24" s="115"/>
      <c r="K24" s="126"/>
      <c r="L24" s="115"/>
      <c r="M24" s="136"/>
    </row>
    <row r="25" spans="2:13" ht="12" customHeight="1" thickBot="1">
      <c r="B25" s="14" t="s">
        <v>88</v>
      </c>
      <c r="C25" s="124">
        <v>353</v>
      </c>
      <c r="D25" s="120"/>
      <c r="E25" s="137"/>
      <c r="F25" s="120"/>
      <c r="G25" s="137"/>
      <c r="H25" s="120"/>
      <c r="I25" s="137"/>
      <c r="J25" s="120"/>
      <c r="K25" s="122"/>
      <c r="L25" s="120"/>
      <c r="M25" s="138"/>
    </row>
    <row r="26" spans="2:13" ht="12" customHeight="1" thickBot="1">
      <c r="B26" s="32" t="s">
        <v>103</v>
      </c>
      <c r="C26" s="29">
        <f>SUM(C25)</f>
        <v>353</v>
      </c>
      <c r="D26" s="29"/>
      <c r="E26" s="66"/>
      <c r="F26" s="29"/>
      <c r="G26" s="66"/>
      <c r="H26" s="29"/>
      <c r="I26" s="66"/>
      <c r="J26" s="29"/>
      <c r="K26" s="108"/>
      <c r="L26" s="29"/>
      <c r="M26" s="87"/>
    </row>
    <row r="27" spans="2:13" ht="12" customHeight="1">
      <c r="B27" s="139" t="s">
        <v>91</v>
      </c>
      <c r="C27" s="115"/>
      <c r="D27" s="115"/>
      <c r="E27" s="135"/>
      <c r="F27" s="115"/>
      <c r="G27" s="135"/>
      <c r="H27" s="115"/>
      <c r="I27" s="135"/>
      <c r="J27" s="115"/>
      <c r="K27" s="126"/>
      <c r="L27" s="115"/>
      <c r="M27" s="136"/>
    </row>
    <row r="28" spans="2:13" ht="12" customHeight="1" thickBot="1">
      <c r="B28" s="47" t="s">
        <v>88</v>
      </c>
      <c r="C28" s="124">
        <f>170+559</f>
        <v>729</v>
      </c>
      <c r="D28" s="120"/>
      <c r="E28" s="137"/>
      <c r="F28" s="120"/>
      <c r="G28" s="137"/>
      <c r="H28" s="120"/>
      <c r="I28" s="137"/>
      <c r="J28" s="120"/>
      <c r="K28" s="122"/>
      <c r="L28" s="120"/>
      <c r="M28" s="138"/>
    </row>
    <row r="29" spans="2:13" ht="12" customHeight="1" thickBot="1">
      <c r="B29" s="32" t="s">
        <v>104</v>
      </c>
      <c r="C29" s="29">
        <f>SUM(C28)</f>
        <v>729</v>
      </c>
      <c r="D29" s="29"/>
      <c r="E29" s="66"/>
      <c r="F29" s="29"/>
      <c r="G29" s="66"/>
      <c r="H29" s="29"/>
      <c r="I29" s="66"/>
      <c r="J29" s="29"/>
      <c r="K29" s="108"/>
      <c r="L29" s="29"/>
      <c r="M29" s="87"/>
    </row>
    <row r="30" spans="2:16" s="4" customFormat="1" ht="12" customHeight="1" thickBot="1">
      <c r="B30" s="28" t="s">
        <v>20</v>
      </c>
      <c r="C30" s="29">
        <f>SUM(C20,C17,C11,C23,C26,C29)</f>
        <v>579671</v>
      </c>
      <c r="D30" s="29">
        <f aca="true" t="shared" si="6" ref="D30:L30">SUM(D20,D17,D11)</f>
        <v>205081</v>
      </c>
      <c r="E30" s="66">
        <f>SUM(D30/C30)*100</f>
        <v>35.37886145761993</v>
      </c>
      <c r="F30" s="29">
        <f t="shared" si="6"/>
        <v>0</v>
      </c>
      <c r="G30" s="66">
        <f>SUM(G19:G20)</f>
        <v>0</v>
      </c>
      <c r="H30" s="29">
        <f t="shared" si="6"/>
        <v>0</v>
      </c>
      <c r="I30" s="66">
        <f>SUM(I19:I20)</f>
        <v>0</v>
      </c>
      <c r="J30" s="29">
        <f t="shared" si="6"/>
        <v>176183</v>
      </c>
      <c r="K30" s="48">
        <f>SUM(J30/C30)*100</f>
        <v>30.393619829178963</v>
      </c>
      <c r="L30" s="29">
        <f t="shared" si="6"/>
        <v>196313</v>
      </c>
      <c r="M30" s="87">
        <f>SUM(L30/C30)*100</f>
        <v>33.86627932051112</v>
      </c>
      <c r="O30" s="103"/>
      <c r="P30" s="103"/>
    </row>
    <row r="31" spans="2:13" ht="12.75">
      <c r="B31" s="8"/>
      <c r="C31" s="9"/>
      <c r="D31" s="9"/>
      <c r="E31" s="13"/>
      <c r="F31" s="9"/>
      <c r="G31" s="10"/>
      <c r="H31" s="70"/>
      <c r="I31" s="78"/>
      <c r="J31" s="11"/>
      <c r="K31" s="81"/>
      <c r="L31" s="12"/>
      <c r="M31" s="8"/>
    </row>
    <row r="32" spans="8:11" s="3" customFormat="1" ht="12.75">
      <c r="H32" s="68"/>
      <c r="I32" s="68"/>
      <c r="J32" s="68"/>
      <c r="K32" s="68"/>
    </row>
    <row r="34" ht="12.75">
      <c r="J34" s="68"/>
    </row>
  </sheetData>
  <sheetProtection/>
  <mergeCells count="2">
    <mergeCell ref="L1:M1"/>
    <mergeCell ref="B2:M2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L54" sqref="L54"/>
    </sheetView>
  </sheetViews>
  <sheetFormatPr defaultColWidth="9.00390625" defaultRowHeight="12.75"/>
  <cols>
    <col min="1" max="1" width="26.00390625" style="1" customWidth="1"/>
    <col min="2" max="2" width="10.125" style="1" customWidth="1"/>
    <col min="3" max="3" width="9.75390625" style="1" customWidth="1"/>
    <col min="4" max="4" width="9.625" style="85" customWidth="1"/>
    <col min="5" max="5" width="11.375" style="1" customWidth="1"/>
    <col min="6" max="6" width="10.375" style="1" customWidth="1"/>
    <col min="7" max="7" width="11.875" style="1" customWidth="1"/>
    <col min="8" max="8" width="9.375" style="1" customWidth="1"/>
    <col min="9" max="9" width="11.25390625" style="1" customWidth="1"/>
    <col min="10" max="10" width="9.75390625" style="1" customWidth="1"/>
    <col min="11" max="11" width="11.75390625" style="1" customWidth="1"/>
    <col min="12" max="12" width="13.375" style="1" customWidth="1"/>
    <col min="13" max="13" width="9.75390625" style="1" bestFit="1" customWidth="1"/>
    <col min="14" max="14" width="10.125" style="1" bestFit="1" customWidth="1"/>
    <col min="15" max="16384" width="9.125" style="1" customWidth="1"/>
  </cols>
  <sheetData>
    <row r="1" spans="1:12" ht="12.75">
      <c r="A1" s="45"/>
      <c r="B1" s="45"/>
      <c r="C1" s="45"/>
      <c r="D1" s="82"/>
      <c r="E1" s="45"/>
      <c r="F1" s="45"/>
      <c r="G1" s="45"/>
      <c r="H1" s="45"/>
      <c r="I1" s="45"/>
      <c r="J1" s="45"/>
      <c r="K1" s="169" t="s">
        <v>34</v>
      </c>
      <c r="L1" s="169"/>
    </row>
    <row r="2" spans="1:12" ht="12.75">
      <c r="A2" s="170" t="s">
        <v>105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12.75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 ht="13.5" thickBot="1">
      <c r="A4" s="67"/>
      <c r="B4" s="67"/>
      <c r="C4" s="67"/>
      <c r="D4" s="83"/>
      <c r="E4" s="51"/>
      <c r="F4" s="52"/>
      <c r="G4" s="51"/>
      <c r="H4" s="52"/>
      <c r="I4" s="52"/>
      <c r="J4" s="52"/>
      <c r="K4" s="53"/>
      <c r="L4" s="62" t="s">
        <v>0</v>
      </c>
    </row>
    <row r="5" spans="1:12" ht="92.25" customHeight="1" thickBot="1">
      <c r="A5" s="46" t="s">
        <v>3</v>
      </c>
      <c r="B5" s="54" t="s">
        <v>75</v>
      </c>
      <c r="C5" s="54" t="s">
        <v>89</v>
      </c>
      <c r="D5" s="55" t="s">
        <v>76</v>
      </c>
      <c r="E5" s="54" t="s">
        <v>65</v>
      </c>
      <c r="F5" s="55" t="s">
        <v>77</v>
      </c>
      <c r="G5" s="54" t="s">
        <v>90</v>
      </c>
      <c r="H5" s="55" t="s">
        <v>79</v>
      </c>
      <c r="I5" s="55" t="s">
        <v>82</v>
      </c>
      <c r="J5" s="55" t="s">
        <v>51</v>
      </c>
      <c r="K5" s="56" t="s">
        <v>80</v>
      </c>
      <c r="L5" s="64" t="s">
        <v>81</v>
      </c>
    </row>
    <row r="6" spans="1:12" ht="12.75">
      <c r="A6" s="105"/>
      <c r="B6" s="15"/>
      <c r="C6" s="15"/>
      <c r="D6" s="109"/>
      <c r="E6" s="16"/>
      <c r="F6" s="17"/>
      <c r="G6" s="16"/>
      <c r="H6" s="17"/>
      <c r="I6" s="16"/>
      <c r="J6" s="17"/>
      <c r="K6" s="21"/>
      <c r="L6" s="18"/>
    </row>
    <row r="7" spans="1:12" ht="12.75">
      <c r="A7" s="14" t="s">
        <v>106</v>
      </c>
      <c r="B7" s="20">
        <f>8000000+2000000</f>
        <v>10000000</v>
      </c>
      <c r="C7" s="20"/>
      <c r="D7" s="110">
        <f>SUM(C7/B7)*100</f>
        <v>0</v>
      </c>
      <c r="E7" s="21"/>
      <c r="F7" s="22">
        <f>SUM(E7/B7)*100</f>
        <v>0</v>
      </c>
      <c r="G7" s="21"/>
      <c r="H7" s="22">
        <f>SUM(G7/B7*100)</f>
        <v>0</v>
      </c>
      <c r="I7" s="21"/>
      <c r="J7" s="17">
        <f>SUM(I7/B7*100)</f>
        <v>0</v>
      </c>
      <c r="K7" s="21">
        <f>SUM(B7-C7-E7-G7-I7)</f>
        <v>10000000</v>
      </c>
      <c r="L7" s="23">
        <f>SUM(K7/B7)*100</f>
        <v>100</v>
      </c>
    </row>
    <row r="8" spans="1:12" ht="13.5" thickBot="1">
      <c r="A8" s="14"/>
      <c r="B8" s="20"/>
      <c r="C8" s="20"/>
      <c r="D8" s="110"/>
      <c r="E8" s="21"/>
      <c r="F8" s="22"/>
      <c r="G8" s="21"/>
      <c r="H8" s="22"/>
      <c r="I8" s="21"/>
      <c r="J8" s="17"/>
      <c r="K8" s="21"/>
      <c r="L8" s="23"/>
    </row>
    <row r="9" spans="1:12" s="37" customFormat="1" ht="13.5" thickBot="1">
      <c r="A9" s="32" t="s">
        <v>42</v>
      </c>
      <c r="B9" s="29">
        <f>SUM(B6:B8)</f>
        <v>10000000</v>
      </c>
      <c r="C9" s="29">
        <f>SUM(C6:C8)</f>
        <v>0</v>
      </c>
      <c r="D9" s="112">
        <f>SUM(C9/B9)*100</f>
        <v>0</v>
      </c>
      <c r="E9" s="29">
        <f>SUM(E6:E8)</f>
        <v>0</v>
      </c>
      <c r="F9" s="66">
        <f>SUM(E9/B9*100)</f>
        <v>0</v>
      </c>
      <c r="G9" s="29">
        <f>SUM(G6:G8)</f>
        <v>0</v>
      </c>
      <c r="H9" s="33">
        <f>SUM(G9/B9*100)</f>
        <v>0</v>
      </c>
      <c r="I9" s="29">
        <f>SUM(I6:I8)</f>
        <v>0</v>
      </c>
      <c r="J9" s="33">
        <f>SUM(I9/B9*100)</f>
        <v>0</v>
      </c>
      <c r="K9" s="29">
        <f>SUM(K6:K8)</f>
        <v>10000000</v>
      </c>
      <c r="L9" s="50">
        <f>SUM(K9/B9)*100</f>
        <v>100</v>
      </c>
    </row>
    <row r="10" spans="3:11" ht="12.75">
      <c r="C10" s="6"/>
      <c r="D10" s="84"/>
      <c r="E10" s="3"/>
      <c r="F10" s="2"/>
      <c r="G10" s="3"/>
      <c r="H10" s="2"/>
      <c r="I10" s="2"/>
      <c r="J10" s="2"/>
      <c r="K10" s="6"/>
    </row>
  </sheetData>
  <sheetProtection/>
  <mergeCells count="2">
    <mergeCell ref="K1:L1"/>
    <mergeCell ref="A2:L3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9"/>
  <sheetViews>
    <sheetView tabSelected="1" zoomScalePageLayoutView="0" workbookViewId="0" topLeftCell="B1">
      <selection activeCell="L54" sqref="L54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25390625" style="3" customWidth="1"/>
    <col min="4" max="4" width="9.375" style="3" bestFit="1" customWidth="1"/>
    <col min="5" max="5" width="9.75390625" style="2" customWidth="1"/>
    <col min="6" max="6" width="10.875" style="3" customWidth="1"/>
    <col min="7" max="7" width="9.75390625" style="7" customWidth="1"/>
    <col min="8" max="8" width="11.625" style="68" customWidth="1"/>
    <col min="9" max="9" width="8.375" style="72" customWidth="1"/>
    <col min="10" max="10" width="9.75390625" style="5" customWidth="1"/>
    <col min="11" max="11" width="10.00390625" style="79" customWidth="1"/>
    <col min="12" max="12" width="11.125" style="6" customWidth="1"/>
    <col min="13" max="13" width="13.00390625" style="1" customWidth="1"/>
    <col min="14" max="14" width="9.125" style="1" customWidth="1"/>
    <col min="15" max="15" width="10.125" style="1" bestFit="1" customWidth="1"/>
    <col min="16" max="16384" width="9.125" style="1" customWidth="1"/>
  </cols>
  <sheetData>
    <row r="1" spans="12:13" ht="12" customHeight="1">
      <c r="L1" s="172" t="s">
        <v>33</v>
      </c>
      <c r="M1" s="172"/>
    </row>
    <row r="2" spans="2:13" ht="18" customHeight="1">
      <c r="B2" s="171" t="s">
        <v>107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2:13" ht="12" customHeight="1" thickBot="1">
      <c r="B3" s="45"/>
      <c r="C3" s="57"/>
      <c r="D3" s="57"/>
      <c r="E3" s="58"/>
      <c r="F3" s="57"/>
      <c r="G3" s="59"/>
      <c r="H3" s="69"/>
      <c r="I3" s="73"/>
      <c r="J3" s="60"/>
      <c r="K3" s="80"/>
      <c r="L3" s="61"/>
      <c r="M3" s="62" t="s">
        <v>0</v>
      </c>
    </row>
    <row r="4" spans="2:13" s="65" customFormat="1" ht="51.75" customHeight="1" thickBot="1">
      <c r="B4" s="46" t="s">
        <v>3</v>
      </c>
      <c r="C4" s="54" t="s">
        <v>70</v>
      </c>
      <c r="D4" s="54" t="s">
        <v>89</v>
      </c>
      <c r="E4" s="55" t="s">
        <v>76</v>
      </c>
      <c r="F4" s="54" t="s">
        <v>65</v>
      </c>
      <c r="G4" s="55" t="s">
        <v>77</v>
      </c>
      <c r="H4" s="54" t="s">
        <v>90</v>
      </c>
      <c r="I4" s="55" t="s">
        <v>79</v>
      </c>
      <c r="J4" s="55" t="s">
        <v>82</v>
      </c>
      <c r="K4" s="55" t="s">
        <v>51</v>
      </c>
      <c r="L4" s="56" t="s">
        <v>80</v>
      </c>
      <c r="M4" s="64" t="s">
        <v>81</v>
      </c>
    </row>
    <row r="5" spans="2:13" ht="12" customHeight="1">
      <c r="B5" s="105" t="s">
        <v>111</v>
      </c>
      <c r="C5" s="20"/>
      <c r="D5" s="21"/>
      <c r="E5" s="22"/>
      <c r="F5" s="21"/>
      <c r="G5" s="17"/>
      <c r="H5" s="21"/>
      <c r="I5" s="74"/>
      <c r="J5" s="16"/>
      <c r="K5" s="17"/>
      <c r="L5" s="16">
        <f>SUM(C5-D5-F5-H5-J5)</f>
        <v>0</v>
      </c>
      <c r="M5" s="23"/>
    </row>
    <row r="6" spans="2:13" ht="12" customHeight="1">
      <c r="B6" s="14" t="s">
        <v>108</v>
      </c>
      <c r="C6" s="20">
        <v>4977147</v>
      </c>
      <c r="D6" s="21"/>
      <c r="E6" s="22">
        <f>SUM(D6/C6)*100</f>
        <v>0</v>
      </c>
      <c r="F6" s="21"/>
      <c r="G6" s="17">
        <f>SUM(F6/C6)*100</f>
        <v>0</v>
      </c>
      <c r="H6" s="21"/>
      <c r="I6" s="74">
        <f>SUM(H6/C6)*100</f>
        <v>0</v>
      </c>
      <c r="J6" s="16"/>
      <c r="K6" s="17">
        <f>SUM(J6/C6)*100</f>
        <v>0</v>
      </c>
      <c r="L6" s="16">
        <f>SUM(C6-D6-F6-H6-J6)</f>
        <v>4977147</v>
      </c>
      <c r="M6" s="23">
        <f>SUM(L6/C6)*100</f>
        <v>100</v>
      </c>
    </row>
    <row r="7" spans="2:13" ht="12" customHeight="1">
      <c r="B7" s="14" t="s">
        <v>109</v>
      </c>
      <c r="C7" s="20">
        <v>147718</v>
      </c>
      <c r="D7" s="21"/>
      <c r="E7" s="22">
        <f>SUM(D7/C7)*100</f>
        <v>0</v>
      </c>
      <c r="F7" s="21"/>
      <c r="G7" s="22">
        <f>SUM(F7/C7)*100</f>
        <v>0</v>
      </c>
      <c r="H7" s="21"/>
      <c r="I7" s="74">
        <f>SUM(H7/C7)*100</f>
        <v>0</v>
      </c>
      <c r="J7" s="16"/>
      <c r="K7" s="17">
        <f>SUM(J7/C7)*100</f>
        <v>0</v>
      </c>
      <c r="L7" s="16">
        <f>SUM(C7-D7-F7-H7-J7)</f>
        <v>147718</v>
      </c>
      <c r="M7" s="23">
        <f>SUM(L7/C7)*100</f>
        <v>100</v>
      </c>
    </row>
    <row r="8" spans="2:13" ht="12" customHeight="1" thickBot="1">
      <c r="B8" s="14" t="s">
        <v>110</v>
      </c>
      <c r="C8" s="20">
        <v>78915</v>
      </c>
      <c r="D8" s="21"/>
      <c r="E8" s="22">
        <f>SUM(D8/C8)*100</f>
        <v>0</v>
      </c>
      <c r="F8" s="21"/>
      <c r="G8" s="22">
        <f>SUM(F8/C8)*100</f>
        <v>0</v>
      </c>
      <c r="H8" s="21"/>
      <c r="I8" s="74">
        <f>SUM(H8/C8)*100</f>
        <v>0</v>
      </c>
      <c r="J8" s="16"/>
      <c r="K8" s="17">
        <f>SUM(J8/C8)*100</f>
        <v>0</v>
      </c>
      <c r="L8" s="16">
        <f>SUM(C8-D8-F8-H8-J8)</f>
        <v>78915</v>
      </c>
      <c r="M8" s="23">
        <f>SUM(L8/C8)*100</f>
        <v>100</v>
      </c>
    </row>
    <row r="9" spans="2:13" s="37" customFormat="1" ht="12" customHeight="1" thickBot="1">
      <c r="B9" s="32" t="s">
        <v>42</v>
      </c>
      <c r="C9" s="29">
        <f>SUM(C5:C8)</f>
        <v>5203780</v>
      </c>
      <c r="D9" s="29">
        <f>SUM(D5:D8)</f>
        <v>0</v>
      </c>
      <c r="E9" s="66">
        <f>SUM(D9/C9)*100</f>
        <v>0</v>
      </c>
      <c r="F9" s="29">
        <f>SUM(F5:F8)</f>
        <v>0</v>
      </c>
      <c r="G9" s="66">
        <f>SUM(F9/C9)*100</f>
        <v>0</v>
      </c>
      <c r="H9" s="29">
        <f>SUM(H5:H8)</f>
        <v>0</v>
      </c>
      <c r="I9" s="66">
        <f>SUM(H9/C9)*100</f>
        <v>0</v>
      </c>
      <c r="J9" s="29">
        <f>SUM(J5:J8)</f>
        <v>0</v>
      </c>
      <c r="K9" s="33">
        <f>SUM(J9/C9)*100</f>
        <v>0</v>
      </c>
      <c r="L9" s="29">
        <f>SUM(L5:L8)</f>
        <v>5203780</v>
      </c>
      <c r="M9" s="87">
        <f>SUM(L9/C9)*100</f>
        <v>100</v>
      </c>
    </row>
  </sheetData>
  <sheetProtection/>
  <mergeCells count="2">
    <mergeCell ref="L1:M1"/>
    <mergeCell ref="B2:M2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2017-12-14T13:04:05Z</cp:lastPrinted>
  <dcterms:created xsi:type="dcterms:W3CDTF">2009-02-04T11:37:44Z</dcterms:created>
  <dcterms:modified xsi:type="dcterms:W3CDTF">2017-12-14T15:16:29Z</dcterms:modified>
  <cp:category/>
  <cp:version/>
  <cp:contentType/>
  <cp:contentStatus/>
</cp:coreProperties>
</file>