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Beruházások (2)" sheetId="7" r:id="rId7"/>
    <sheet name="10.közgazd. mérleg" sheetId="8" r:id="rId8"/>
    <sheet name="11.előirányzat felh.ü." sheetId="9" r:id="rId9"/>
  </sheets>
  <definedNames>
    <definedName name="_xlnm.Print_Titles" localSheetId="2">'Bevételek'!$8:$10</definedName>
    <definedName name="_xlnm.Print_Area" localSheetId="6">'Beruházások (2)'!$A$1:$C$40</definedName>
    <definedName name="_xlnm.Print_Area" localSheetId="3">'Köt.önként v. bevétel '!$A$1:$G$24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2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<sst xmlns="http://schemas.openxmlformats.org/spreadsheetml/2006/main" count="637" uniqueCount="398">
  <si>
    <t>tervezett</t>
  </si>
  <si>
    <t>%-a</t>
  </si>
  <si>
    <t>Porpác község Önkormányzata</t>
  </si>
  <si>
    <t>Megnevezés</t>
  </si>
  <si>
    <t>PORPÁC KÖZSÉG ÖNKORMÁNYZATA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</si>
  <si>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</si>
  <si>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</si>
  <si>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</si>
  <si>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</si>
  <si>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</si>
  <si>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</si>
  <si>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</si>
  <si>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</si>
  <si>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</si>
  <si>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</si>
  <si>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</si>
  <si>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</si>
  <si>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</si>
  <si>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</si>
  <si>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</si>
  <si>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</si>
  <si>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</si>
  <si>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</si>
  <si>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</si>
  <si>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</si>
  <si>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</si>
  <si>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</si>
  <si>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</si>
  <si>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</si>
  <si>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</si>
  <si>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</si>
  <si>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</si>
  <si>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</si>
  <si>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</si>
  <si>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</si>
  <si>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</si>
  <si>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</si>
  <si>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</si>
  <si>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</si>
  <si>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</si>
  <si>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</si>
  <si>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</si>
  <si>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</si>
  <si>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</si>
  <si>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</si>
  <si>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</si>
  <si>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</si>
  <si>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</si>
  <si>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</si>
  <si>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</si>
  <si>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</si>
  <si>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</si>
  <si>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</si>
  <si>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</si>
  <si>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</si>
  <si>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</si>
  <si>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</si>
  <si>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</si>
  <si>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</si>
  <si>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</si>
  <si>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</si>
  <si>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</si>
  <si>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</si>
  <si>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</si>
  <si>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</si>
  <si>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</si>
  <si>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</si>
  <si>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</si>
  <si>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</si>
  <si>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</si>
  <si>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</si>
  <si>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</si>
  <si>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</si>
  <si>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</si>
  <si>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</si>
  <si>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</si>
  <si>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</si>
  <si>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</si>
  <si>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</si>
  <si>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</si>
  <si>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</si>
  <si>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</si>
  <si>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</si>
  <si>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</si>
  <si>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</si>
  <si>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</si>
  <si>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</si>
  <si>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</si>
  <si>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</si>
  <si>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</si>
  <si>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</si>
  <si>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</si>
  <si>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</si>
  <si>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</si>
  <si>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</si>
  <si>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</si>
  <si>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</si>
  <si>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</si>
  <si>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</si>
  <si>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</si>
  <si>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</si>
  <si>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</si>
  <si>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</si>
  <si>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</si>
  <si>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</si>
  <si>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</si>
  <si>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</si>
  <si>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</si>
  <si>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</si>
  <si>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</si>
  <si>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</si>
  <si>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</si>
  <si>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</si>
  <si>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</si>
  <si>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</si>
  <si>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</si>
  <si>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</si>
  <si>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</si>
  <si>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</si>
  <si>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</si>
  <si>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</si>
  <si>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</si>
  <si>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</si>
  <si>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</si>
  <si>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</si>
  <si>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</si>
  <si>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</si>
  <si>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</si>
  <si>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</si>
  <si>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</si>
  <si>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</si>
  <si>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</si>
  <si>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</si>
  <si>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</si>
  <si>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</si>
  <si>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</si>
  <si>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</si>
  <si>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</si>
  <si>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</si>
  <si>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</si>
  <si>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</si>
  <si>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</si>
  <si>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</si>
  <si>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</si>
  <si>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</si>
  <si>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</si>
  <si>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</si>
  <si>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</si>
  <si>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</si>
  <si>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</si>
  <si>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</si>
  <si>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</si>
  <si>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</si>
  <si>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</si>
  <si>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</si>
  <si>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</si>
  <si>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</si>
  <si>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</si>
  <si>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</si>
  <si>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</si>
  <si>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</si>
  <si>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</si>
  <si>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</si>
  <si>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</si>
  <si>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</si>
  <si>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</si>
  <si>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</si>
  <si>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</si>
  <si>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</si>
  <si>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</si>
  <si>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</si>
  <si>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</si>
  <si>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</si>
  <si>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</si>
  <si>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</si>
  <si>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</si>
  <si>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</si>
  <si>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</si>
  <si>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</si>
  <si>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</si>
  <si>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</si>
  <si>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</si>
  <si>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</si>
  <si>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</si>
  <si>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</si>
  <si>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</si>
  <si>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</si>
  <si>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</si>
  <si>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</si>
  <si>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</si>
  <si>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</si>
  <si>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</si>
  <si>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</si>
  <si>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</si>
  <si>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</si>
  <si>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Előző évi költségvetési maradvány igénybevétele</t>
  </si>
  <si>
    <t>települési önkormányzatok nyilvános könyvtári és közművelődési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</si>
  <si>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</si>
  <si>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</si>
  <si>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</si>
  <si>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</si>
  <si>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</si>
  <si>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</si>
  <si>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</si>
  <si>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</si>
  <si>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</si>
  <si>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</si>
  <si>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 xml:space="preserve"> Ft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</si>
  <si>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</si>
  <si>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</si>
  <si>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</si>
  <si>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</si>
  <si>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</si>
  <si>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</si>
  <si>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</si>
  <si>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</si>
  <si>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</si>
  <si>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</si>
  <si>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</si>
  <si>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</si>
  <si>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</si>
  <si>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</si>
  <si>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</si>
  <si>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</si>
  <si>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</si>
  <si>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</si>
  <si>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</si>
  <si>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</si>
  <si>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</si>
  <si>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</si>
  <si>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</si>
  <si>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</si>
  <si>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</si>
  <si>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</si>
  <si>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</si>
  <si>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</si>
  <si>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</si>
  <si>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</si>
  <si>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</si>
  <si>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</si>
  <si>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</si>
  <si>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</si>
  <si>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</si>
  <si>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</si>
  <si>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</si>
  <si>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</si>
  <si>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</si>
  <si>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</si>
  <si>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</si>
  <si>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</si>
  <si>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</si>
  <si>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</si>
  <si>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</si>
  <si>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</si>
  <si>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</si>
  <si>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</si>
  <si>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</si>
  <si>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</si>
  <si>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</si>
  <si>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</si>
  <si>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</si>
  <si>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</si>
  <si>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</si>
  <si>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</si>
  <si>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</si>
  <si>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</si>
  <si>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</si>
  <si>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</si>
  <si>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</si>
  <si>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</si>
  <si>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</si>
  <si>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</si>
  <si>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</si>
  <si>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</si>
  <si>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</si>
  <si>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</si>
  <si>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</si>
  <si>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</si>
  <si>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</si>
  <si>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</si>
  <si>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</si>
  <si>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</si>
  <si>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</si>
  <si>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</si>
  <si>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 xml:space="preserve">2017. évi </t>
  </si>
  <si>
    <t>2017. évre</t>
  </si>
  <si>
    <t xml:space="preserve"> Ft </t>
  </si>
  <si>
    <t>2017. év</t>
  </si>
  <si>
    <t>adatok  Ft-ban</t>
  </si>
  <si>
    <t>(  Ft-ban)</t>
  </si>
  <si>
    <t xml:space="preserve"> 2017. évi előirányzat-felhasználási ütemterve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</si>
  <si>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</si>
  <si>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</si>
  <si>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</si>
  <si>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</si>
  <si>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</si>
  <si>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sorszám</t>
  </si>
  <si>
    <t>1.1.</t>
  </si>
  <si>
    <t>2.2.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</si>
  <si>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</si>
  <si>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</si>
  <si>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</si>
  <si>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</si>
  <si>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</si>
  <si>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</si>
  <si>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</si>
  <si>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</si>
  <si>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</si>
  <si>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</si>
  <si>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</si>
  <si>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</si>
  <si>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</si>
  <si>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</si>
  <si>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</si>
  <si>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</si>
  <si>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</si>
  <si>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</si>
  <si>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</si>
  <si>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</si>
  <si>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</si>
  <si>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</si>
  <si>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</si>
  <si>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</si>
  <si>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</si>
  <si>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</si>
  <si>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</si>
  <si>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</si>
  <si>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</si>
  <si>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</si>
  <si>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</si>
  <si>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1.7.</t>
  </si>
  <si>
    <t>1.6.</t>
  </si>
  <si>
    <t>1.5.</t>
  </si>
  <si>
    <t>"1. sz. melléklet a 2/2017.(II.15.) önkormányzati rendelethez"</t>
  </si>
  <si>
    <t>"2. melléklet a 2/2017.(II.15.) önkormányzati rendelethez"</t>
  </si>
  <si>
    <t>"3. sz. melléklet a 2/2017.(II.15.) önkormányzati rendelethez"</t>
  </si>
  <si>
    <t>"4. sz. melléklet  a 2/2017.(II.15.) önkormányzati rendelethez"</t>
  </si>
  <si>
    <t>"5. sz. melléklet a 2/2017.(II.15.) sz. önkormányzati rendelethez"</t>
  </si>
  <si>
    <t>"10. melléklet a 2/2017.(II.15.) sz. önkormányzati rendelethez"</t>
  </si>
  <si>
    <t>"11. melléklet a 2/2017.(II.15.) önkormányzati rendelethez"</t>
  </si>
  <si>
    <t>Hosszabb idejú közfoglalkoztatás</t>
  </si>
  <si>
    <t>041233</t>
  </si>
  <si>
    <t>Hosszabbidejű közfoglalkoztatás</t>
  </si>
  <si>
    <t>21.</t>
  </si>
  <si>
    <t>2.1.6.</t>
  </si>
  <si>
    <t>Tartalék</t>
  </si>
  <si>
    <t>Sorsz</t>
  </si>
  <si>
    <t>Nem veszélyes (települési) hulladék vegyes (ömlesztett ) begyűjtése, szállítása</t>
  </si>
  <si>
    <t>BERUHÁZÁSI KIADÁSOK</t>
  </si>
  <si>
    <t>063020 Víztermelés-,  kezelés-, ellátás</t>
  </si>
  <si>
    <t>Porpác,Bögöt ívóvízminőség-javtása pályázat építési munkák költségei</t>
  </si>
  <si>
    <t>Összesen:</t>
  </si>
  <si>
    <t>066020 Város és községgazdálkodási egyéb szolgáltatások</t>
  </si>
  <si>
    <t>Fűnyíró kistraktor beszerzése</t>
  </si>
  <si>
    <t>Kisértékű tárgyieszköz beszerzés: papírpréselőgép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</si>
  <si>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</si>
  <si>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</si>
  <si>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</si>
  <si>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</si>
  <si>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</si>
  <si>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"9 sz. melléklet a 2/2017.(II.15.) sz. önkormányzati rendelethez"</t>
  </si>
  <si>
    <t>tervezett  előirányzat         ( Ft)</t>
  </si>
  <si>
    <t>Település arculati kézikönyv elkészítésére</t>
  </si>
  <si>
    <t>Polgármesteri béremelés különbözetének támogatására</t>
  </si>
  <si>
    <t>Működési célú költségvetési és kiegészítő támogatás</t>
  </si>
  <si>
    <t>2.Települési önkormányzatok szociális, gyermekjóléti és gyermekétkeztetési feladatainak támogatása</t>
  </si>
  <si>
    <t>4.Települési önkormányzatok kulturális feladatainak támogatása</t>
  </si>
  <si>
    <t>nyári diákmuka támogatása</t>
  </si>
  <si>
    <t>4.2</t>
  </si>
  <si>
    <t>4.3</t>
  </si>
  <si>
    <t>Falugondnoki, tanyagondnoki szolgálat</t>
  </si>
  <si>
    <t>107055 Falugondnoki, tanyagondnoki szolgálat</t>
  </si>
  <si>
    <t>Hűtőgép beszerzése</t>
  </si>
  <si>
    <t>Pendrive beszerzése</t>
  </si>
  <si>
    <t>Működési célú költségvetési és kiegészítő támogatása</t>
  </si>
  <si>
    <t xml:space="preserve"> f, szociális ágazati összevont pótlék</t>
  </si>
  <si>
    <t>Zene Háza Sárvár TOP pályázatból Porpác Önkormányzatra jutó támogatás</t>
  </si>
  <si>
    <t xml:space="preserve">6. </t>
  </si>
  <si>
    <t>Települési arculati kézikönyv elkészítésének támogatása</t>
  </si>
  <si>
    <t>4.1.</t>
  </si>
  <si>
    <t>3.sz.módosítása</t>
  </si>
  <si>
    <t>3.3.</t>
  </si>
  <si>
    <t>3.2.</t>
  </si>
  <si>
    <t>5.1.</t>
  </si>
  <si>
    <t>5.2.</t>
  </si>
  <si>
    <t>5.3</t>
  </si>
  <si>
    <t>5.4</t>
  </si>
  <si>
    <r>
      <t>3</t>
    </r>
    <r>
      <rPr>
        <sz val="11"/>
        <rFont val="Times New Roman"/>
        <family val="1"/>
      </rPr>
      <t>.</t>
    </r>
  </si>
  <si>
    <t>Szociális célú tűzifavásárlás támogatása</t>
  </si>
  <si>
    <t>Falukirándulás támogatása (pályázat)</t>
  </si>
  <si>
    <t>1. melléklet a 11/2017.(XII.01.) önkormányzati rendelethez</t>
  </si>
  <si>
    <t>2. melléklet a 11/2017. (XII.01.) önkormányzati rendelethez</t>
  </si>
  <si>
    <t>3. melléklet a 11/2017 ( XII.01.) önkormányzati rendelethez</t>
  </si>
  <si>
    <t>4. melléklet a 11 /2017.(XII.01.) önkormányzati rendelethez</t>
  </si>
  <si>
    <t>5. melléklet a 11/2017. (XII.01.) önkormányzati rendelethez</t>
  </si>
  <si>
    <t>6. melléklet a 11/2017. (XII.01.) önkormányzati rendelethez</t>
  </si>
  <si>
    <t>7. melléklet a 11/2017. ( XII.01.) önkormányzati rendelethez</t>
  </si>
  <si>
    <t>8. melléklet a 11/2017. (XII.01.)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</si>
</sst>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2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7" fillId="0" borderId="0" xfId="61" applyFont="1">
      <alignment/>
      <protection/>
    </xf>
    <xf numFmtId="0" fontId="15" fillId="0" borderId="0" xfId="61" applyFont="1">
      <alignment/>
      <protection/>
    </xf>
    <xf numFmtId="0" fontId="17" fillId="0" borderId="0" xfId="61" applyFont="1" applyAlignment="1">
      <alignment horizontal="center"/>
      <protection/>
    </xf>
    <xf numFmtId="168" fontId="15" fillId="0" borderId="0" xfId="40" applyNumberFormat="1" applyFont="1" applyAlignment="1">
      <alignment/>
    </xf>
    <xf numFmtId="168" fontId="13" fillId="0" borderId="0" xfId="40" applyNumberFormat="1" applyFont="1" applyAlignment="1">
      <alignment/>
    </xf>
    <xf numFmtId="168" fontId="15" fillId="0" borderId="0" xfId="40" applyNumberFormat="1" applyFont="1" applyAlignment="1">
      <alignment horizontal="right"/>
    </xf>
    <xf numFmtId="0" fontId="15" fillId="0" borderId="0" xfId="61" applyFont="1" applyBorder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56" applyFont="1">
      <alignment/>
      <protection/>
    </xf>
    <xf numFmtId="168" fontId="8" fillId="0" borderId="0" xfId="40" applyNumberFormat="1" applyFont="1" applyAlignment="1">
      <alignment/>
    </xf>
    <xf numFmtId="0" fontId="15" fillId="0" borderId="0" xfId="56" applyFont="1">
      <alignment/>
      <protection/>
    </xf>
    <xf numFmtId="168" fontId="15" fillId="0" borderId="0" xfId="40" applyNumberFormat="1" applyFont="1" applyAlignment="1">
      <alignment/>
    </xf>
    <xf numFmtId="0" fontId="15" fillId="0" borderId="0" xfId="56" applyFont="1" applyAlignment="1">
      <alignment horizontal="right"/>
      <protection/>
    </xf>
    <xf numFmtId="0" fontId="16" fillId="0" borderId="0" xfId="0" applyFont="1" applyAlignment="1">
      <alignment/>
    </xf>
    <xf numFmtId="0" fontId="13" fillId="0" borderId="10" xfId="56" applyFont="1" applyBorder="1" applyAlignment="1">
      <alignment/>
      <protection/>
    </xf>
    <xf numFmtId="0" fontId="13" fillId="0" borderId="10" xfId="56" applyFont="1" applyBorder="1" applyAlignment="1">
      <alignment horizontal="center"/>
      <protection/>
    </xf>
    <xf numFmtId="168" fontId="13" fillId="0" borderId="10" xfId="40" applyNumberFormat="1" applyFont="1" applyBorder="1" applyAlignment="1">
      <alignment horizontal="center"/>
    </xf>
    <xf numFmtId="0" fontId="13" fillId="0" borderId="11" xfId="56" applyFont="1" applyBorder="1">
      <alignment/>
      <protection/>
    </xf>
    <xf numFmtId="0" fontId="13" fillId="0" borderId="11" xfId="56" applyFont="1" applyBorder="1" applyAlignment="1">
      <alignment horizontal="center"/>
      <protection/>
    </xf>
    <xf numFmtId="168" fontId="13" fillId="0" borderId="11" xfId="40" applyNumberFormat="1" applyFont="1" applyBorder="1" applyAlignment="1">
      <alignment horizontal="center"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168" fontId="13" fillId="0" borderId="12" xfId="40" applyNumberFormat="1" applyFont="1" applyBorder="1" applyAlignment="1">
      <alignment horizontal="center"/>
    </xf>
    <xf numFmtId="0" fontId="15" fillId="0" borderId="0" xfId="56" applyFont="1" applyBorder="1" applyAlignment="1">
      <alignment horizontal="right"/>
      <protection/>
    </xf>
    <xf numFmtId="0" fontId="15" fillId="0" borderId="0" xfId="56" applyFont="1" applyBorder="1" applyAlignment="1">
      <alignment/>
      <protection/>
    </xf>
    <xf numFmtId="168" fontId="15" fillId="0" borderId="0" xfId="40" applyNumberFormat="1" applyFont="1" applyBorder="1" applyAlignment="1">
      <alignment/>
    </xf>
    <xf numFmtId="0" fontId="15" fillId="0" borderId="0" xfId="56" applyFont="1" applyBorder="1" applyAlignment="1">
      <alignment wrapText="1"/>
      <protection/>
    </xf>
    <xf numFmtId="0" fontId="15" fillId="0" borderId="13" xfId="56" applyFont="1" applyBorder="1" applyAlignment="1">
      <alignment horizontal="right"/>
      <protection/>
    </xf>
    <xf numFmtId="168" fontId="15" fillId="0" borderId="13" xfId="40" applyNumberFormat="1" applyFont="1" applyBorder="1" applyAlignment="1">
      <alignment/>
    </xf>
    <xf numFmtId="0" fontId="24" fillId="0" borderId="0" xfId="0" applyFont="1" applyAlignment="1">
      <alignment/>
    </xf>
    <xf numFmtId="0" fontId="15" fillId="0" borderId="0" xfId="56" applyFont="1" applyAlignment="1">
      <alignment/>
      <protection/>
    </xf>
    <xf numFmtId="0" fontId="13" fillId="0" borderId="14" xfId="56" applyFont="1" applyBorder="1" applyAlignment="1">
      <alignment horizontal="right"/>
      <protection/>
    </xf>
    <xf numFmtId="0" fontId="13" fillId="0" borderId="14" xfId="56" applyFont="1" applyBorder="1">
      <alignment/>
      <protection/>
    </xf>
    <xf numFmtId="168" fontId="13" fillId="0" borderId="14" xfId="40" applyNumberFormat="1" applyFont="1" applyBorder="1" applyAlignment="1">
      <alignment/>
    </xf>
    <xf numFmtId="0" fontId="13" fillId="0" borderId="0" xfId="56" applyFont="1" applyBorder="1" applyAlignment="1">
      <alignment horizontal="right"/>
      <protection/>
    </xf>
    <xf numFmtId="0" fontId="13" fillId="0" borderId="0" xfId="56" applyFont="1" applyBorder="1">
      <alignment/>
      <protection/>
    </xf>
    <xf numFmtId="168" fontId="13" fillId="0" borderId="0" xfId="40" applyNumberFormat="1" applyFont="1" applyBorder="1" applyAlignment="1">
      <alignment/>
    </xf>
    <xf numFmtId="0" fontId="13" fillId="0" borderId="0" xfId="57" applyFont="1" applyBorder="1" applyAlignment="1">
      <alignment horizontal="center"/>
      <protection/>
    </xf>
    <xf numFmtId="0" fontId="24" fillId="0" borderId="13" xfId="0" applyFont="1" applyBorder="1" applyAlignment="1">
      <alignment/>
    </xf>
    <xf numFmtId="168" fontId="13" fillId="0" borderId="13" xfId="40" applyNumberFormat="1" applyFont="1" applyBorder="1" applyAlignment="1">
      <alignment/>
    </xf>
    <xf numFmtId="0" fontId="13" fillId="0" borderId="14" xfId="57" applyFont="1" applyBorder="1" applyAlignment="1">
      <alignment horizontal="right"/>
      <protection/>
    </xf>
    <xf numFmtId="0" fontId="13" fillId="0" borderId="14" xfId="57" applyFont="1" applyBorder="1">
      <alignment/>
      <protection/>
    </xf>
    <xf numFmtId="168" fontId="13" fillId="0" borderId="14" xfId="57" applyNumberFormat="1" applyFont="1" applyBorder="1" applyAlignment="1">
      <alignment/>
      <protection/>
    </xf>
    <xf numFmtId="0" fontId="13" fillId="0" borderId="0" xfId="56" applyFont="1" applyAlignment="1">
      <alignment/>
      <protection/>
    </xf>
    <xf numFmtId="0" fontId="13" fillId="0" borderId="13" xfId="56" applyFont="1" applyBorder="1" applyAlignment="1">
      <alignment horizontal="right"/>
      <protection/>
    </xf>
    <xf numFmtId="0" fontId="13" fillId="0" borderId="13" xfId="56" applyFont="1" applyBorder="1" applyAlignment="1">
      <alignment/>
      <protection/>
    </xf>
    <xf numFmtId="0" fontId="15" fillId="0" borderId="0" xfId="58" applyFont="1">
      <alignment/>
      <protection/>
    </xf>
    <xf numFmtId="0" fontId="22" fillId="0" borderId="0" xfId="58" applyFont="1">
      <alignment/>
      <protection/>
    </xf>
    <xf numFmtId="0" fontId="13" fillId="0" borderId="0" xfId="58" applyFont="1">
      <alignment/>
      <protection/>
    </xf>
    <xf numFmtId="0" fontId="15" fillId="0" borderId="0" xfId="58" applyFont="1" applyAlignment="1">
      <alignment wrapText="1"/>
      <protection/>
    </xf>
    <xf numFmtId="168" fontId="15" fillId="0" borderId="0" xfId="40" applyNumberFormat="1" applyFont="1" applyAlignment="1">
      <alignment wrapText="1"/>
    </xf>
    <xf numFmtId="0" fontId="15" fillId="0" borderId="0" xfId="58" applyFont="1" applyAlignment="1">
      <alignment horizontal="left"/>
      <protection/>
    </xf>
    <xf numFmtId="0" fontId="13" fillId="0" borderId="0" xfId="56" applyFont="1">
      <alignment/>
      <protection/>
    </xf>
    <xf numFmtId="168" fontId="13" fillId="0" borderId="0" xfId="40" applyNumberFormat="1" applyFont="1" applyAlignment="1">
      <alignment horizontal="right"/>
    </xf>
    <xf numFmtId="0" fontId="13" fillId="0" borderId="0" xfId="58" applyFont="1" applyAlignment="1">
      <alignment horizontal="left" wrapText="1"/>
      <protection/>
    </xf>
    <xf numFmtId="0" fontId="25" fillId="0" borderId="0" xfId="61" applyFont="1" applyAlignment="1">
      <alignment horizontal="center"/>
      <protection/>
    </xf>
    <xf numFmtId="0" fontId="17" fillId="0" borderId="15" xfId="61" applyFont="1" applyBorder="1" applyAlignment="1" quotePrefix="1">
      <alignment horizontal="center" vertical="center" wrapText="1"/>
      <protection/>
    </xf>
    <xf numFmtId="0" fontId="17" fillId="0" borderId="16" xfId="61" applyFont="1" applyBorder="1" applyAlignment="1">
      <alignment horizontal="left" wrapText="1"/>
      <protection/>
    </xf>
    <xf numFmtId="0" fontId="17" fillId="0" borderId="17" xfId="61" applyFont="1" applyBorder="1" applyAlignment="1" quotePrefix="1">
      <alignment horizontal="center" vertical="center" wrapText="1"/>
      <protection/>
    </xf>
    <xf numFmtId="0" fontId="17" fillId="0" borderId="18" xfId="61" applyFont="1" applyBorder="1" applyAlignment="1">
      <alignment horizontal="left" wrapText="1"/>
      <protection/>
    </xf>
    <xf numFmtId="0" fontId="17" fillId="0" borderId="19" xfId="61" applyFont="1" applyBorder="1" applyAlignment="1" quotePrefix="1">
      <alignment horizontal="center" vertical="center" wrapText="1"/>
      <protection/>
    </xf>
    <xf numFmtId="0" fontId="17" fillId="0" borderId="20" xfId="61" applyFont="1" applyBorder="1" applyAlignment="1">
      <alignment horizontal="left" wrapText="1"/>
      <protection/>
    </xf>
    <xf numFmtId="0" fontId="17" fillId="0" borderId="18" xfId="61" applyFont="1" applyBorder="1">
      <alignment/>
      <protection/>
    </xf>
    <xf numFmtId="0" fontId="17" fillId="0" borderId="18" xfId="61" applyFont="1" applyBorder="1" applyAlignment="1">
      <alignment wrapText="1"/>
      <protection/>
    </xf>
    <xf numFmtId="0" fontId="15" fillId="0" borderId="21" xfId="61" applyFont="1" applyBorder="1">
      <alignment/>
      <protection/>
    </xf>
    <xf numFmtId="0" fontId="13" fillId="0" borderId="12" xfId="61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0" fillId="0" borderId="0" xfId="40" applyNumberFormat="1" applyFont="1" applyAlignment="1">
      <alignment wrapText="1"/>
    </xf>
    <xf numFmtId="168" fontId="30" fillId="0" borderId="0" xfId="40" applyNumberFormat="1" applyFont="1" applyAlignment="1">
      <alignment/>
    </xf>
    <xf numFmtId="164" fontId="30" fillId="0" borderId="0" xfId="0" applyNumberFormat="1" applyFont="1" applyAlignment="1">
      <alignment/>
    </xf>
    <xf numFmtId="0" fontId="24" fillId="0" borderId="0" xfId="0" applyFont="1" applyAlignment="1" quotePrefix="1">
      <alignment/>
    </xf>
    <xf numFmtId="0" fontId="9" fillId="0" borderId="0" xfId="0" applyFont="1" applyAlignment="1">
      <alignment horizontal="left" wrapText="1"/>
    </xf>
    <xf numFmtId="0" fontId="11" fillId="0" borderId="10" xfId="56" applyFont="1" applyBorder="1" applyAlignment="1">
      <alignment horizontal="center"/>
      <protection/>
    </xf>
    <xf numFmtId="0" fontId="9" fillId="0" borderId="0" xfId="59" applyFont="1" applyAlignment="1">
      <alignment horizontal="left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left"/>
      <protection/>
    </xf>
    <xf numFmtId="0" fontId="9" fillId="0" borderId="0" xfId="59" applyFont="1" applyAlignment="1">
      <alignment vertical="justify"/>
      <protection/>
    </xf>
    <xf numFmtId="0" fontId="11" fillId="0" borderId="0" xfId="59" applyFont="1" applyAlignment="1">
      <alignment horizontal="left"/>
      <protection/>
    </xf>
    <xf numFmtId="0" fontId="11" fillId="0" borderId="0" xfId="56" applyFont="1" applyBorder="1" applyAlignment="1">
      <alignment horizontal="left" vertical="center"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6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6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5" fillId="0" borderId="0" xfId="56" applyFont="1" applyBorder="1" applyAlignment="1">
      <alignment horizontal="center"/>
      <protection/>
    </xf>
    <xf numFmtId="0" fontId="15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5" fillId="0" borderId="0" xfId="60" applyFont="1">
      <alignment/>
      <protection/>
    </xf>
    <xf numFmtId="0" fontId="15" fillId="0" borderId="0" xfId="61" applyFont="1" applyAlignment="1">
      <alignment horizontal="center"/>
      <protection/>
    </xf>
    <xf numFmtId="0" fontId="13" fillId="0" borderId="0" xfId="61" applyFont="1" applyAlignment="1">
      <alignment horizontal="center"/>
      <protection/>
    </xf>
    <xf numFmtId="0" fontId="15" fillId="0" borderId="0" xfId="61" applyFont="1" applyAlignment="1">
      <alignment horizontal="right"/>
      <protection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5" xfId="61" applyFont="1" applyBorder="1" applyAlignment="1" quotePrefix="1">
      <alignment horizontal="center" vertical="center" wrapText="1"/>
      <protection/>
    </xf>
    <xf numFmtId="0" fontId="15" fillId="0" borderId="16" xfId="61" applyFont="1" applyBorder="1" applyAlignment="1">
      <alignment horizontal="left" wrapText="1"/>
      <protection/>
    </xf>
    <xf numFmtId="41" fontId="15" fillId="0" borderId="16" xfId="61" applyNumberFormat="1" applyFont="1" applyBorder="1" applyAlignment="1">
      <alignment horizontal="right"/>
      <protection/>
    </xf>
    <xf numFmtId="0" fontId="15" fillId="0" borderId="0" xfId="61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5" fillId="0" borderId="0" xfId="61" applyFont="1" applyBorder="1" applyAlignment="1">
      <alignment/>
      <protection/>
    </xf>
    <xf numFmtId="0" fontId="15" fillId="0" borderId="17" xfId="61" applyFont="1" applyBorder="1" applyAlignment="1" quotePrefix="1">
      <alignment horizontal="center" vertical="center" wrapText="1"/>
      <protection/>
    </xf>
    <xf numFmtId="0" fontId="15" fillId="0" borderId="18" xfId="61" applyFont="1" applyBorder="1" applyAlignment="1">
      <alignment horizontal="left" wrapText="1"/>
      <protection/>
    </xf>
    <xf numFmtId="41" fontId="15" fillId="0" borderId="18" xfId="61" applyNumberFormat="1" applyFont="1" applyBorder="1" applyAlignment="1">
      <alignment horizontal="right"/>
      <protection/>
    </xf>
    <xf numFmtId="41" fontId="15" fillId="0" borderId="22" xfId="61" applyNumberFormat="1" applyFont="1" applyBorder="1" applyAlignment="1">
      <alignment horizontal="right"/>
      <protection/>
    </xf>
    <xf numFmtId="0" fontId="15" fillId="0" borderId="23" xfId="61" applyFont="1" applyBorder="1">
      <alignment/>
      <protection/>
    </xf>
    <xf numFmtId="0" fontId="13" fillId="0" borderId="14" xfId="61" applyFont="1" applyBorder="1">
      <alignment/>
      <protection/>
    </xf>
    <xf numFmtId="41" fontId="13" fillId="0" borderId="24" xfId="61" applyNumberFormat="1" applyFont="1" applyBorder="1" applyAlignment="1">
      <alignment horizontal="right"/>
      <protection/>
    </xf>
    <xf numFmtId="41" fontId="13" fillId="0" borderId="25" xfId="61" applyNumberFormat="1" applyFont="1" applyBorder="1" applyAlignment="1">
      <alignment horizontal="right"/>
      <protection/>
    </xf>
    <xf numFmtId="41" fontId="13" fillId="0" borderId="14" xfId="61" applyNumberFormat="1" applyFont="1" applyBorder="1" applyAlignment="1">
      <alignment horizontal="right"/>
      <protection/>
    </xf>
    <xf numFmtId="0" fontId="16" fillId="0" borderId="0" xfId="61" applyFont="1" applyBorder="1" applyAlignment="1">
      <alignment horizontal="right"/>
      <protection/>
    </xf>
    <xf numFmtId="0" fontId="15" fillId="0" borderId="0" xfId="60" applyFont="1" applyBorder="1">
      <alignment/>
      <protection/>
    </xf>
    <xf numFmtId="0" fontId="15" fillId="0" borderId="0" xfId="60" applyFont="1" applyAlignment="1">
      <alignment horizontal="left" indent="14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15" fillId="0" borderId="16" xfId="61" applyFont="1" applyBorder="1" applyAlignment="1" quotePrefix="1">
      <alignment horizontal="center" vertical="center" wrapText="1"/>
      <protection/>
    </xf>
    <xf numFmtId="0" fontId="15" fillId="0" borderId="26" xfId="61" applyFont="1" applyBorder="1" applyAlignment="1">
      <alignment horizontal="left" wrapText="1"/>
      <protection/>
    </xf>
    <xf numFmtId="41" fontId="15" fillId="0" borderId="27" xfId="61" applyNumberFormat="1" applyFont="1" applyBorder="1" applyAlignment="1">
      <alignment horizontal="right"/>
      <protection/>
    </xf>
    <xf numFmtId="41" fontId="15" fillId="0" borderId="28" xfId="61" applyNumberFormat="1" applyFont="1" applyBorder="1" applyAlignment="1">
      <alignment horizontal="right"/>
      <protection/>
    </xf>
    <xf numFmtId="41" fontId="15" fillId="0" borderId="29" xfId="61" applyNumberFormat="1" applyFont="1" applyBorder="1" applyAlignment="1">
      <alignment horizontal="right"/>
      <protection/>
    </xf>
    <xf numFmtId="0" fontId="15" fillId="0" borderId="18" xfId="61" applyFont="1" applyBorder="1" applyAlignment="1" quotePrefix="1">
      <alignment horizontal="center" vertical="center" wrapText="1"/>
      <protection/>
    </xf>
    <xf numFmtId="41" fontId="15" fillId="0" borderId="30" xfId="61" applyNumberFormat="1" applyFont="1" applyBorder="1" applyAlignment="1">
      <alignment horizontal="right"/>
      <protection/>
    </xf>
    <xf numFmtId="41" fontId="15" fillId="0" borderId="13" xfId="61" applyNumberFormat="1" applyFont="1" applyBorder="1" applyAlignment="1">
      <alignment horizontal="right"/>
      <protection/>
    </xf>
    <xf numFmtId="41" fontId="15" fillId="0" borderId="31" xfId="61" applyNumberFormat="1" applyFont="1" applyBorder="1" applyAlignment="1">
      <alignment horizontal="right"/>
      <protection/>
    </xf>
    <xf numFmtId="0" fontId="15" fillId="0" borderId="17" xfId="61" applyFont="1" applyBorder="1" applyAlignment="1">
      <alignment wrapText="1"/>
      <protection/>
    </xf>
    <xf numFmtId="41" fontId="15" fillId="0" borderId="32" xfId="61" applyNumberFormat="1" applyFont="1" applyBorder="1" applyAlignment="1">
      <alignment horizontal="right"/>
      <protection/>
    </xf>
    <xf numFmtId="41" fontId="15" fillId="0" borderId="33" xfId="61" applyNumberFormat="1" applyFont="1" applyBorder="1" applyAlignment="1">
      <alignment horizontal="right"/>
      <protection/>
    </xf>
    <xf numFmtId="41" fontId="15" fillId="0" borderId="34" xfId="61" applyNumberFormat="1" applyFont="1" applyBorder="1" applyAlignment="1">
      <alignment horizontal="right"/>
      <protection/>
    </xf>
    <xf numFmtId="0" fontId="13" fillId="0" borderId="23" xfId="61" applyFont="1" applyBorder="1">
      <alignment/>
      <protection/>
    </xf>
    <xf numFmtId="41" fontId="13" fillId="0" borderId="23" xfId="61" applyNumberFormat="1" applyFont="1" applyBorder="1" applyAlignment="1">
      <alignment horizontal="right"/>
      <protection/>
    </xf>
    <xf numFmtId="168" fontId="31" fillId="0" borderId="0" xfId="40" applyNumberFormat="1" applyFont="1" applyAlignment="1">
      <alignment/>
    </xf>
    <xf numFmtId="168" fontId="31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35" xfId="0" applyFont="1" applyBorder="1" applyAlignment="1">
      <alignment/>
    </xf>
    <xf numFmtId="168" fontId="31" fillId="0" borderId="10" xfId="40" applyNumberFormat="1" applyFont="1" applyBorder="1" applyAlignment="1">
      <alignment/>
    </xf>
    <xf numFmtId="168" fontId="31" fillId="0" borderId="36" xfId="40" applyNumberFormat="1" applyFont="1" applyBorder="1" applyAlignment="1">
      <alignment/>
    </xf>
    <xf numFmtId="168" fontId="31" fillId="0" borderId="37" xfId="40" applyNumberFormat="1" applyFont="1" applyBorder="1" applyAlignment="1">
      <alignment/>
    </xf>
    <xf numFmtId="168" fontId="31" fillId="0" borderId="38" xfId="40" applyNumberFormat="1" applyFont="1" applyBorder="1" applyAlignment="1">
      <alignment/>
    </xf>
    <xf numFmtId="168" fontId="5" fillId="0" borderId="38" xfId="40" applyNumberFormat="1" applyFont="1" applyBorder="1" applyAlignment="1">
      <alignment/>
    </xf>
    <xf numFmtId="168" fontId="5" fillId="0" borderId="37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0" xfId="40" applyNumberFormat="1" applyFont="1" applyBorder="1" applyAlignment="1">
      <alignment horizontal="center"/>
    </xf>
    <xf numFmtId="168" fontId="5" fillId="0" borderId="41" xfId="40" applyNumberFormat="1" applyFont="1" applyBorder="1" applyAlignment="1">
      <alignment horizontal="center"/>
    </xf>
    <xf numFmtId="168" fontId="5" fillId="0" borderId="42" xfId="40" applyNumberFormat="1" applyFont="1" applyBorder="1" applyAlignment="1">
      <alignment horizontal="center"/>
    </xf>
    <xf numFmtId="168" fontId="31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4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0" fontId="5" fillId="0" borderId="46" xfId="0" applyFont="1" applyBorder="1" applyAlignment="1">
      <alignment/>
    </xf>
    <xf numFmtId="0" fontId="31" fillId="0" borderId="0" xfId="0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40" xfId="40" applyNumberFormat="1" applyFont="1" applyBorder="1" applyAlignment="1">
      <alignment/>
    </xf>
    <xf numFmtId="168" fontId="5" fillId="0" borderId="41" xfId="40" applyNumberFormat="1" applyFont="1" applyBorder="1" applyAlignment="1">
      <alignment/>
    </xf>
    <xf numFmtId="168" fontId="5" fillId="0" borderId="47" xfId="4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31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49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49" xfId="40" applyNumberFormat="1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31" fillId="0" borderId="14" xfId="0" applyFont="1" applyBorder="1" applyAlignment="1">
      <alignment/>
    </xf>
    <xf numFmtId="168" fontId="31" fillId="0" borderId="51" xfId="40" applyNumberFormat="1" applyFont="1" applyBorder="1" applyAlignment="1">
      <alignment/>
    </xf>
    <xf numFmtId="168" fontId="31" fillId="0" borderId="14" xfId="4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0" fontId="31" fillId="0" borderId="28" xfId="0" applyFont="1" applyBorder="1" applyAlignment="1">
      <alignment/>
    </xf>
    <xf numFmtId="168" fontId="5" fillId="0" borderId="52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1" fillId="0" borderId="23" xfId="0" applyFont="1" applyBorder="1" applyAlignment="1">
      <alignment/>
    </xf>
    <xf numFmtId="168" fontId="5" fillId="0" borderId="53" xfId="40" applyNumberFormat="1" applyFont="1" applyBorder="1" applyAlignment="1">
      <alignment/>
    </xf>
    <xf numFmtId="168" fontId="5" fillId="0" borderId="54" xfId="4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0" xfId="61" applyFont="1" applyFill="1" applyBorder="1">
      <alignment/>
      <protection/>
    </xf>
    <xf numFmtId="0" fontId="15" fillId="0" borderId="0" xfId="61" applyFont="1" applyAlignment="1">
      <alignment horizontal="center" vertical="center"/>
      <protection/>
    </xf>
    <xf numFmtId="0" fontId="11" fillId="0" borderId="0" xfId="56" applyFont="1" applyAlignment="1">
      <alignment horizontal="center" vertical="center"/>
      <protection/>
    </xf>
    <xf numFmtId="0" fontId="13" fillId="0" borderId="0" xfId="58" applyFont="1" applyAlignment="1">
      <alignment/>
      <protection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3" fontId="18" fillId="0" borderId="55" xfId="61" applyNumberFormat="1" applyFont="1" applyBorder="1" applyAlignment="1">
      <alignment horizontal="right"/>
      <protection/>
    </xf>
    <xf numFmtId="3" fontId="17" fillId="0" borderId="48" xfId="61" applyNumberFormat="1" applyFont="1" applyBorder="1" applyAlignment="1">
      <alignment horizontal="right"/>
      <protection/>
    </xf>
    <xf numFmtId="3" fontId="17" fillId="0" borderId="13" xfId="61" applyNumberFormat="1" applyFont="1" applyBorder="1" applyAlignment="1">
      <alignment horizontal="right"/>
      <protection/>
    </xf>
    <xf numFmtId="3" fontId="26" fillId="0" borderId="31" xfId="61" applyNumberFormat="1" applyFont="1" applyBorder="1">
      <alignment/>
      <protection/>
    </xf>
    <xf numFmtId="3" fontId="17" fillId="0" borderId="48" xfId="61" applyNumberFormat="1" applyFont="1" applyBorder="1">
      <alignment/>
      <protection/>
    </xf>
    <xf numFmtId="3" fontId="17" fillId="0" borderId="13" xfId="61" applyNumberFormat="1" applyFont="1" applyBorder="1">
      <alignment/>
      <protection/>
    </xf>
    <xf numFmtId="3" fontId="25" fillId="0" borderId="56" xfId="61" applyNumberFormat="1" applyFont="1" applyBorder="1">
      <alignment/>
      <protection/>
    </xf>
    <xf numFmtId="3" fontId="17" fillId="0" borderId="49" xfId="61" applyNumberFormat="1" applyFont="1" applyBorder="1">
      <alignment/>
      <protection/>
    </xf>
    <xf numFmtId="3" fontId="17" fillId="0" borderId="15" xfId="61" applyNumberFormat="1" applyFont="1" applyBorder="1">
      <alignment/>
      <protection/>
    </xf>
    <xf numFmtId="3" fontId="14" fillId="0" borderId="18" xfId="0" applyNumberFormat="1" applyFont="1" applyBorder="1" applyAlignment="1">
      <alignment/>
    </xf>
    <xf numFmtId="3" fontId="18" fillId="0" borderId="56" xfId="61" applyNumberFormat="1" applyFont="1" applyBorder="1" applyAlignment="1">
      <alignment horizontal="right"/>
      <protection/>
    </xf>
    <xf numFmtId="3" fontId="17" fillId="0" borderId="19" xfId="61" applyNumberFormat="1" applyFont="1" applyBorder="1">
      <alignment/>
      <protection/>
    </xf>
    <xf numFmtId="3" fontId="17" fillId="0" borderId="17" xfId="61" applyNumberFormat="1" applyFont="1" applyBorder="1">
      <alignment/>
      <protection/>
    </xf>
    <xf numFmtId="3" fontId="25" fillId="0" borderId="30" xfId="61" applyNumberFormat="1" applyFont="1" applyBorder="1">
      <alignment/>
      <protection/>
    </xf>
    <xf numFmtId="3" fontId="17" fillId="0" borderId="50" xfId="61" applyNumberFormat="1" applyFont="1" applyBorder="1" applyAlignment="1">
      <alignment horizontal="right"/>
      <protection/>
    </xf>
    <xf numFmtId="3" fontId="17" fillId="0" borderId="33" xfId="61" applyNumberFormat="1" applyFont="1" applyBorder="1" applyAlignment="1">
      <alignment horizontal="right"/>
      <protection/>
    </xf>
    <xf numFmtId="3" fontId="17" fillId="0" borderId="50" xfId="61" applyNumberFormat="1" applyFont="1" applyBorder="1">
      <alignment/>
      <protection/>
    </xf>
    <xf numFmtId="3" fontId="17" fillId="0" borderId="33" xfId="61" applyNumberFormat="1" applyFont="1" applyBorder="1">
      <alignment/>
      <protection/>
    </xf>
    <xf numFmtId="3" fontId="14" fillId="0" borderId="57" xfId="0" applyNumberFormat="1" applyFont="1" applyBorder="1" applyAlignment="1">
      <alignment/>
    </xf>
    <xf numFmtId="3" fontId="18" fillId="0" borderId="58" xfId="61" applyNumberFormat="1" applyFont="1" applyBorder="1" applyAlignment="1">
      <alignment horizontal="right"/>
      <protection/>
    </xf>
    <xf numFmtId="3" fontId="17" fillId="0" borderId="59" xfId="61" applyNumberFormat="1" applyFont="1" applyBorder="1" applyAlignment="1">
      <alignment horizontal="right"/>
      <protection/>
    </xf>
    <xf numFmtId="3" fontId="17" fillId="0" borderId="60" xfId="61" applyNumberFormat="1" applyFont="1" applyBorder="1" applyAlignment="1">
      <alignment horizontal="right"/>
      <protection/>
    </xf>
    <xf numFmtId="3" fontId="26" fillId="0" borderId="61" xfId="61" applyNumberFormat="1" applyFont="1" applyBorder="1">
      <alignment/>
      <protection/>
    </xf>
    <xf numFmtId="3" fontId="17" fillId="0" borderId="59" xfId="61" applyNumberFormat="1" applyFont="1" applyBorder="1">
      <alignment/>
      <protection/>
    </xf>
    <xf numFmtId="3" fontId="17" fillId="0" borderId="60" xfId="61" applyNumberFormat="1" applyFont="1" applyBorder="1">
      <alignment/>
      <protection/>
    </xf>
    <xf numFmtId="3" fontId="13" fillId="0" borderId="23" xfId="61" applyNumberFormat="1" applyFont="1" applyBorder="1" applyAlignment="1">
      <alignment horizontal="right"/>
      <protection/>
    </xf>
    <xf numFmtId="3" fontId="27" fillId="0" borderId="14" xfId="61" applyNumberFormat="1" applyFont="1" applyBorder="1">
      <alignment/>
      <protection/>
    </xf>
    <xf numFmtId="3" fontId="13" fillId="0" borderId="14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15" fillId="0" borderId="62" xfId="61" applyNumberFormat="1" applyFont="1" applyBorder="1" applyAlignment="1">
      <alignment horizontal="right" vertical="center"/>
      <protection/>
    </xf>
    <xf numFmtId="41" fontId="15" fillId="0" borderId="16" xfId="61" applyNumberFormat="1" applyFont="1" applyBorder="1" applyAlignment="1">
      <alignment horizontal="right" vertical="center"/>
      <protection/>
    </xf>
    <xf numFmtId="41" fontId="15" fillId="0" borderId="63" xfId="61" applyNumberFormat="1" applyFont="1" applyBorder="1" applyAlignment="1">
      <alignment horizontal="right" vertical="center"/>
      <protection/>
    </xf>
    <xf numFmtId="41" fontId="15" fillId="0" borderId="56" xfId="61" applyNumberFormat="1" applyFont="1" applyBorder="1" applyAlignment="1">
      <alignment horizontal="right" vertical="center"/>
      <protection/>
    </xf>
    <xf numFmtId="41" fontId="15" fillId="0" borderId="18" xfId="61" applyNumberFormat="1" applyFont="1" applyBorder="1" applyAlignment="1">
      <alignment horizontal="right" vertical="center"/>
      <protection/>
    </xf>
    <xf numFmtId="41" fontId="15" fillId="0" borderId="64" xfId="61" applyNumberFormat="1" applyFont="1" applyBorder="1" applyAlignment="1">
      <alignment horizontal="right" vertical="center"/>
      <protection/>
    </xf>
    <xf numFmtId="41" fontId="15" fillId="0" borderId="57" xfId="61" applyNumberFormat="1" applyFont="1" applyBorder="1" applyAlignment="1">
      <alignment horizontal="right" vertical="center"/>
      <protection/>
    </xf>
    <xf numFmtId="41" fontId="15" fillId="0" borderId="22" xfId="61" applyNumberFormat="1" applyFont="1" applyBorder="1" applyAlignment="1">
      <alignment horizontal="right" vertical="center"/>
      <protection/>
    </xf>
    <xf numFmtId="0" fontId="0" fillId="0" borderId="5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65" xfId="61" applyFont="1" applyBorder="1" applyAlignment="1" quotePrefix="1">
      <alignment horizontal="center" vertical="center" wrapText="1"/>
      <protection/>
    </xf>
    <xf numFmtId="0" fontId="17" fillId="0" borderId="22" xfId="61" applyFont="1" applyBorder="1" applyAlignment="1">
      <alignment wrapText="1"/>
      <protection/>
    </xf>
    <xf numFmtId="0" fontId="17" fillId="0" borderId="18" xfId="61" applyFont="1" applyBorder="1" applyAlignment="1">
      <alignment horizontal="left" vertical="center" wrapText="1"/>
      <protection/>
    </xf>
    <xf numFmtId="3" fontId="18" fillId="0" borderId="56" xfId="61" applyNumberFormat="1" applyFont="1" applyBorder="1" applyAlignment="1">
      <alignment horizontal="right" vertical="center"/>
      <protection/>
    </xf>
    <xf numFmtId="3" fontId="17" fillId="0" borderId="48" xfId="61" applyNumberFormat="1" applyFont="1" applyBorder="1" applyAlignment="1">
      <alignment horizontal="right" vertical="center"/>
      <protection/>
    </xf>
    <xf numFmtId="3" fontId="17" fillId="0" borderId="13" xfId="61" applyNumberFormat="1" applyFont="1" applyBorder="1" applyAlignment="1">
      <alignment horizontal="right" vertical="center"/>
      <protection/>
    </xf>
    <xf numFmtId="3" fontId="17" fillId="0" borderId="13" xfId="61" applyNumberFormat="1" applyFont="1" applyBorder="1" applyAlignment="1">
      <alignment vertical="center"/>
      <protection/>
    </xf>
    <xf numFmtId="3" fontId="26" fillId="0" borderId="31" xfId="61" applyNumberFormat="1" applyFont="1" applyBorder="1" applyAlignment="1">
      <alignment vertical="center"/>
      <protection/>
    </xf>
    <xf numFmtId="3" fontId="17" fillId="0" borderId="48" xfId="61" applyNumberFormat="1" applyFont="1" applyBorder="1" applyAlignment="1">
      <alignment vertical="center"/>
      <protection/>
    </xf>
    <xf numFmtId="3" fontId="25" fillId="0" borderId="56" xfId="61" applyNumberFormat="1" applyFont="1" applyBorder="1" applyAlignment="1">
      <alignment vertical="center"/>
      <protection/>
    </xf>
    <xf numFmtId="3" fontId="17" fillId="0" borderId="49" xfId="61" applyNumberFormat="1" applyFont="1" applyBorder="1" applyAlignment="1">
      <alignment vertical="center"/>
      <protection/>
    </xf>
    <xf numFmtId="3" fontId="17" fillId="0" borderId="17" xfId="61" applyNumberFormat="1" applyFont="1" applyBorder="1" applyAlignment="1">
      <alignment vertical="center"/>
      <protection/>
    </xf>
    <xf numFmtId="3" fontId="14" fillId="0" borderId="18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168" fontId="11" fillId="0" borderId="0" xfId="40" applyNumberFormat="1" applyFont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Alignment="1" quotePrefix="1">
      <alignment/>
    </xf>
    <xf numFmtId="0" fontId="9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justify"/>
    </xf>
    <xf numFmtId="0" fontId="30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61" applyFont="1" applyBorder="1" applyAlignment="1">
      <alignment horizontal="left" wrapText="1"/>
      <protection/>
    </xf>
    <xf numFmtId="3" fontId="15" fillId="0" borderId="24" xfId="61" applyNumberFormat="1" applyFont="1" applyBorder="1" applyAlignment="1">
      <alignment horizontal="right"/>
      <protection/>
    </xf>
    <xf numFmtId="0" fontId="11" fillId="0" borderId="0" xfId="59" applyFont="1" applyAlignment="1">
      <alignment horizontal="left" wrapText="1"/>
      <protection/>
    </xf>
    <xf numFmtId="0" fontId="20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58" applyFont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15" fillId="0" borderId="0" xfId="60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1" fillId="0" borderId="0" xfId="56" applyFont="1" applyAlignment="1">
      <alignment horizontal="left"/>
      <protection/>
    </xf>
    <xf numFmtId="0" fontId="0" fillId="0" borderId="0" xfId="0" applyAlignment="1">
      <alignment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9" fillId="0" borderId="0" xfId="56" applyFont="1" applyAlignment="1">
      <alignment horizontal="center"/>
      <protection/>
    </xf>
    <xf numFmtId="0" fontId="11" fillId="0" borderId="66" xfId="56" applyFont="1" applyBorder="1" applyAlignment="1">
      <alignment horizontal="right"/>
      <protection/>
    </xf>
    <xf numFmtId="0" fontId="11" fillId="0" borderId="35" xfId="56" applyFont="1" applyBorder="1" applyAlignment="1">
      <alignment horizontal="center" vertical="center"/>
      <protection/>
    </xf>
    <xf numFmtId="0" fontId="11" fillId="0" borderId="67" xfId="56" applyFont="1" applyBorder="1" applyAlignment="1">
      <alignment horizontal="center" vertical="center"/>
      <protection/>
    </xf>
    <xf numFmtId="0" fontId="11" fillId="0" borderId="68" xfId="56" applyFont="1" applyBorder="1" applyAlignment="1">
      <alignment horizontal="center" vertical="center"/>
      <protection/>
    </xf>
    <xf numFmtId="0" fontId="11" fillId="0" borderId="39" xfId="56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11" fillId="0" borderId="69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11" fillId="0" borderId="66" xfId="56" applyFont="1" applyBorder="1" applyAlignment="1">
      <alignment horizontal="center" vertical="center"/>
      <protection/>
    </xf>
    <xf numFmtId="0" fontId="11" fillId="0" borderId="70" xfId="56" applyFont="1" applyBorder="1" applyAlignment="1">
      <alignment horizontal="center" vertical="center"/>
      <protection/>
    </xf>
    <xf numFmtId="0" fontId="2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59" applyFont="1" applyAlignment="1">
      <alignment horizontal="left" wrapText="1"/>
      <protection/>
    </xf>
    <xf numFmtId="0" fontId="11" fillId="0" borderId="0" xfId="0" applyFont="1" applyAlignment="1">
      <alignment vertical="justify"/>
    </xf>
    <xf numFmtId="0" fontId="11" fillId="0" borderId="0" xfId="56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5" fillId="0" borderId="0" xfId="60" applyFont="1" applyAlignment="1">
      <alignment horizontal="left"/>
      <protection/>
    </xf>
    <xf numFmtId="0" fontId="34" fillId="0" borderId="10" xfId="0" applyFont="1" applyBorder="1" applyAlignment="1">
      <alignment horizontal="center" vertical="center" textRotation="255"/>
    </xf>
    <xf numFmtId="0" fontId="34" fillId="0" borderId="11" xfId="0" applyFont="1" applyBorder="1" applyAlignment="1">
      <alignment horizontal="center" vertical="center" textRotation="255"/>
    </xf>
    <xf numFmtId="0" fontId="34" fillId="0" borderId="12" xfId="0" applyFont="1" applyBorder="1" applyAlignment="1">
      <alignment horizontal="center" vertical="center" textRotation="255"/>
    </xf>
    <xf numFmtId="0" fontId="15" fillId="0" borderId="0" xfId="61" applyFont="1" applyAlignment="1">
      <alignment horizontal="center"/>
      <protection/>
    </xf>
    <xf numFmtId="0" fontId="15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/>
      <protection/>
    </xf>
    <xf numFmtId="0" fontId="13" fillId="0" borderId="0" xfId="61" applyFont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5" fillId="0" borderId="10" xfId="61" applyFont="1" applyBorder="1" applyAlignment="1">
      <alignment horizontal="center" vertical="center" wrapText="1"/>
      <protection/>
    </xf>
    <xf numFmtId="0" fontId="15" fillId="0" borderId="11" xfId="61" applyFont="1" applyBorder="1" applyAlignment="1">
      <alignment horizontal="center" vertical="center" wrapText="1"/>
      <protection/>
    </xf>
    <xf numFmtId="0" fontId="15" fillId="0" borderId="12" xfId="61" applyFont="1" applyBorder="1" applyAlignment="1">
      <alignment horizontal="center" vertical="center" wrapText="1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11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5" fillId="0" borderId="11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 vertical="center" wrapText="1"/>
      <protection/>
    </xf>
    <xf numFmtId="0" fontId="15" fillId="0" borderId="23" xfId="56" applyFont="1" applyBorder="1" applyAlignment="1">
      <alignment horizontal="center"/>
      <protection/>
    </xf>
    <xf numFmtId="0" fontId="15" fillId="0" borderId="25" xfId="56" applyFont="1" applyBorder="1" applyAlignment="1">
      <alignment horizontal="center"/>
      <protection/>
    </xf>
    <xf numFmtId="0" fontId="15" fillId="0" borderId="24" xfId="56" applyFont="1" applyBorder="1" applyAlignment="1">
      <alignment horizontal="center"/>
      <protection/>
    </xf>
    <xf numFmtId="0" fontId="15" fillId="0" borderId="3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7" fillId="0" borderId="0" xfId="61" applyFont="1" applyAlignment="1">
      <alignment horizontal="left"/>
      <protection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23" fillId="0" borderId="0" xfId="61" applyFont="1" applyAlignment="1">
      <alignment horizont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center" vertical="center" wrapText="1"/>
      <protection/>
    </xf>
    <xf numFmtId="0" fontId="17" fillId="0" borderId="12" xfId="56" applyFont="1" applyBorder="1" applyAlignment="1">
      <alignment horizontal="center" vertical="center" wrapText="1"/>
      <protection/>
    </xf>
    <xf numFmtId="0" fontId="19" fillId="0" borderId="35" xfId="56" applyFont="1" applyBorder="1" applyAlignment="1">
      <alignment horizontal="center" vertical="center" wrapText="1"/>
      <protection/>
    </xf>
    <xf numFmtId="0" fontId="19" fillId="0" borderId="39" xfId="56" applyFont="1" applyBorder="1" applyAlignment="1">
      <alignment horizontal="center" vertical="center" wrapText="1"/>
      <protection/>
    </xf>
    <xf numFmtId="0" fontId="19" fillId="0" borderId="21" xfId="56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4" fontId="17" fillId="0" borderId="23" xfId="63" applyFont="1" applyBorder="1" applyAlignment="1">
      <alignment horizontal="center"/>
    </xf>
    <xf numFmtId="44" fontId="17" fillId="0" borderId="25" xfId="63" applyFont="1" applyBorder="1" applyAlignment="1">
      <alignment horizontal="center"/>
    </xf>
    <xf numFmtId="44" fontId="17" fillId="0" borderId="24" xfId="63" applyFont="1" applyBorder="1" applyAlignment="1">
      <alignment horizontal="center"/>
    </xf>
    <xf numFmtId="0" fontId="17" fillId="0" borderId="25" xfId="56" applyFont="1" applyBorder="1" applyAlignment="1">
      <alignment horizont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17" fillId="0" borderId="68" xfId="56" applyFont="1" applyBorder="1" applyAlignment="1">
      <alignment horizontal="center" vertical="center" wrapText="1"/>
      <protection/>
    </xf>
    <xf numFmtId="0" fontId="17" fillId="0" borderId="69" xfId="56" applyFont="1" applyBorder="1" applyAlignment="1">
      <alignment horizontal="center" vertical="center" wrapText="1"/>
      <protection/>
    </xf>
    <xf numFmtId="0" fontId="17" fillId="0" borderId="70" xfId="56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Border="1" applyAlignment="1">
      <alignment horizontal="center" vertical="center" wrapText="1"/>
      <protection/>
    </xf>
    <xf numFmtId="0" fontId="17" fillId="0" borderId="35" xfId="61" applyFont="1" applyBorder="1" applyAlignment="1">
      <alignment horizontal="center" vertical="center"/>
      <protection/>
    </xf>
    <xf numFmtId="0" fontId="17" fillId="0" borderId="39" xfId="61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 wrapText="1"/>
      <protection/>
    </xf>
    <xf numFmtId="0" fontId="17" fillId="0" borderId="21" xfId="56" applyFont="1" applyBorder="1" applyAlignment="1">
      <alignment horizontal="center" vertical="center" wrapText="1"/>
      <protection/>
    </xf>
    <xf numFmtId="0" fontId="17" fillId="0" borderId="23" xfId="56" applyFont="1" applyBorder="1" applyAlignment="1">
      <alignment horizontal="center"/>
      <protection/>
    </xf>
    <xf numFmtId="0" fontId="17" fillId="0" borderId="25" xfId="56" applyFont="1" applyBorder="1" applyAlignment="1">
      <alignment horizontal="center"/>
      <protection/>
    </xf>
    <xf numFmtId="0" fontId="17" fillId="0" borderId="10" xfId="56" applyFont="1" applyBorder="1" applyAlignment="1">
      <alignment horizontal="center" vertical="center"/>
      <protection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7" fillId="0" borderId="11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center" vertical="center"/>
      <protection/>
    </xf>
    <xf numFmtId="0" fontId="17" fillId="0" borderId="24" xfId="56" applyFont="1" applyBorder="1" applyAlignment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0" xfId="60" applyFont="1" applyAlignment="1">
      <alignment horizontal="center"/>
      <protection/>
    </xf>
    <xf numFmtId="0" fontId="33" fillId="0" borderId="0" xfId="0" applyFont="1" applyAlignment="1">
      <alignment horizontal="center"/>
    </xf>
    <xf numFmtId="49" fontId="0" fillId="0" borderId="10" xfId="0" applyNumberFormat="1" applyBorder="1" applyAlignment="1">
      <alignment horizontal="center" textRotation="255"/>
    </xf>
    <xf numFmtId="0" fontId="0" fillId="0" borderId="11" xfId="0" applyBorder="1" applyAlignment="1">
      <alignment horizontal="center" textRotation="255"/>
    </xf>
    <xf numFmtId="0" fontId="0" fillId="0" borderId="12" xfId="0" applyBorder="1" applyAlignment="1">
      <alignment horizontal="center" textRotation="255"/>
    </xf>
    <xf numFmtId="0" fontId="0" fillId="0" borderId="0" xfId="0" applyAlignment="1">
      <alignment horizontal="center"/>
    </xf>
    <xf numFmtId="0" fontId="16" fillId="0" borderId="0" xfId="56" applyFont="1" applyAlignment="1">
      <alignment horizontal="left"/>
      <protection/>
    </xf>
    <xf numFmtId="0" fontId="15" fillId="0" borderId="0" xfId="0" applyFont="1" applyAlignment="1">
      <alignment horizontal="left"/>
    </xf>
    <xf numFmtId="0" fontId="15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67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TGV99" xfId="56"/>
    <cellStyle name="Normál_mérleg" xfId="57"/>
    <cellStyle name="Normál_Munka1" xfId="58"/>
    <cellStyle name="Normál_Munka2" xfId="59"/>
    <cellStyle name="Normál_Munka3" xfId="60"/>
    <cellStyle name="Normál_PHKV9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view="pageBreakPreview" zoomScaleSheetLayoutView="100" zoomScalePageLayoutView="0" workbookViewId="0" topLeftCell="A14">
      <selection activeCell="J50" sqref="J50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1"/>
      <c r="O38" s="21"/>
      <c r="P38" s="21"/>
      <c r="Q38" s="21"/>
      <c r="R38" s="21"/>
      <c r="S38" s="21"/>
      <c r="T38" s="21"/>
      <c r="U38" s="21"/>
    </row>
    <row r="39" spans="9:21" ht="27.75">
      <c r="I39" s="5"/>
      <c r="J39" s="2"/>
      <c r="N39" s="302" t="s">
        <v>2</v>
      </c>
      <c r="O39" s="302"/>
      <c r="P39" s="302"/>
      <c r="Q39" s="302"/>
      <c r="R39" s="302"/>
      <c r="S39" s="302"/>
      <c r="T39" s="302"/>
      <c r="U39" s="302"/>
    </row>
    <row r="40" spans="9:21" ht="2.25" customHeight="1">
      <c r="I40" s="3"/>
      <c r="J40" s="2"/>
      <c r="N40" s="21"/>
      <c r="O40" s="22"/>
      <c r="P40" s="23"/>
      <c r="Q40" s="23"/>
      <c r="R40" s="23"/>
      <c r="S40" s="23"/>
      <c r="T40" s="23"/>
      <c r="U40" s="23"/>
    </row>
    <row r="41" spans="9:21" ht="27.75">
      <c r="I41" s="4"/>
      <c r="J41" s="2"/>
      <c r="N41" s="302" t="s">
        <v>284</v>
      </c>
      <c r="O41" s="302"/>
      <c r="P41" s="302"/>
      <c r="Q41" s="302"/>
      <c r="R41" s="302"/>
      <c r="S41" s="302"/>
      <c r="T41" s="302"/>
      <c r="U41" s="302"/>
    </row>
    <row r="42" spans="9:21" ht="12.75" customHeight="1" hidden="1">
      <c r="I42" s="3"/>
      <c r="J42" s="2"/>
      <c r="N42" s="21"/>
      <c r="O42" s="22"/>
      <c r="P42" s="23"/>
      <c r="Q42" s="23"/>
      <c r="R42" s="23"/>
      <c r="S42" s="23"/>
      <c r="T42" s="23"/>
      <c r="U42" s="23"/>
    </row>
    <row r="43" spans="9:21" ht="27.75">
      <c r="I43" s="4"/>
      <c r="J43" s="2"/>
      <c r="N43" s="302" t="s">
        <v>264</v>
      </c>
      <c r="O43" s="302"/>
      <c r="P43" s="302"/>
      <c r="Q43" s="302"/>
      <c r="R43" s="302"/>
      <c r="S43" s="302"/>
      <c r="T43" s="302"/>
      <c r="U43" s="302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0"/>
      <c r="O44" s="20"/>
      <c r="P44" s="20"/>
      <c r="Q44" s="20"/>
      <c r="R44" s="20"/>
      <c r="S44" s="20"/>
      <c r="T44" s="20"/>
      <c r="U44" s="20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0"/>
      <c r="O45" s="303" t="s">
        <v>380</v>
      </c>
      <c r="P45" s="303"/>
      <c r="Q45" s="303"/>
      <c r="R45" s="303"/>
      <c r="S45" s="303"/>
      <c r="T45" s="303"/>
      <c r="U45" s="20"/>
    </row>
    <row r="46" spans="2:20" ht="27.75">
      <c r="B46" s="2"/>
      <c r="C46" s="2"/>
      <c r="D46" s="2"/>
      <c r="E46" s="2"/>
      <c r="F46" s="2"/>
      <c r="G46" s="2"/>
      <c r="H46" s="2"/>
      <c r="I46" s="2"/>
      <c r="J46" s="2"/>
      <c r="O46" s="304"/>
      <c r="P46" s="305"/>
      <c r="Q46" s="305"/>
      <c r="R46" s="305"/>
      <c r="S46" s="305"/>
      <c r="T46" s="305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O45:T45"/>
    <mergeCell ref="O46:T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="115" zoomScaleSheetLayoutView="115" zoomScalePageLayoutView="0" workbookViewId="0" topLeftCell="A1">
      <selection activeCell="I13" sqref="I13"/>
    </sheetView>
  </sheetViews>
  <sheetFormatPr defaultColWidth="9.00390625" defaultRowHeight="12.75"/>
  <cols>
    <col min="1" max="1" width="9.125" style="258" customWidth="1"/>
    <col min="2" max="2" width="58.625" style="0" customWidth="1"/>
    <col min="3" max="3" width="13.125" style="0" customWidth="1"/>
    <col min="4" max="4" width="4.375" style="0" customWidth="1"/>
    <col min="5" max="5" width="14.125" style="0" customWidth="1"/>
    <col min="6" max="6" width="6.75390625" style="0" customWidth="1"/>
  </cols>
  <sheetData>
    <row r="1" spans="2:6" ht="12.75">
      <c r="B1" s="306" t="s">
        <v>390</v>
      </c>
      <c r="C1" s="306"/>
      <c r="D1" s="306"/>
      <c r="E1" s="306"/>
      <c r="F1" s="306"/>
    </row>
    <row r="3" spans="1:7" ht="15.75">
      <c r="A3" s="309" t="s">
        <v>333</v>
      </c>
      <c r="B3" s="310"/>
      <c r="C3" s="310"/>
      <c r="D3" s="310"/>
      <c r="E3" s="310"/>
      <c r="F3" s="310"/>
      <c r="G3" s="227"/>
    </row>
    <row r="4" spans="2:6" ht="19.5" customHeight="1">
      <c r="B4" s="308"/>
      <c r="C4" s="308"/>
      <c r="D4" s="308"/>
      <c r="E4" s="308"/>
      <c r="F4" s="308"/>
    </row>
    <row r="5" spans="2:6" ht="15.75">
      <c r="B5" s="307" t="s">
        <v>4</v>
      </c>
      <c r="C5" s="307"/>
      <c r="D5" s="307"/>
      <c r="E5" s="307"/>
      <c r="F5" s="307"/>
    </row>
    <row r="6" spans="2:6" ht="15.75">
      <c r="B6" s="307" t="s">
        <v>75</v>
      </c>
      <c r="C6" s="307"/>
      <c r="D6" s="307"/>
      <c r="E6" s="307"/>
      <c r="F6" s="307"/>
    </row>
    <row r="7" spans="2:6" ht="15.75">
      <c r="B7" s="307" t="s">
        <v>285</v>
      </c>
      <c r="C7" s="307"/>
      <c r="D7" s="307"/>
      <c r="E7" s="307"/>
      <c r="F7" s="307"/>
    </row>
    <row r="8" spans="2:6" ht="7.5" customHeight="1">
      <c r="B8" s="63"/>
      <c r="C8" s="16"/>
      <c r="D8" s="63"/>
      <c r="E8" s="17"/>
      <c r="F8" s="63"/>
    </row>
    <row r="9" spans="1:6" ht="15.75">
      <c r="A9" s="258" t="s">
        <v>7</v>
      </c>
      <c r="B9" s="64" t="s">
        <v>76</v>
      </c>
      <c r="C9" s="16"/>
      <c r="D9" s="63"/>
      <c r="E9" s="17"/>
      <c r="F9" s="63"/>
    </row>
    <row r="10" spans="1:6" ht="15.75">
      <c r="A10" s="258" t="s">
        <v>297</v>
      </c>
      <c r="B10" s="65" t="s">
        <v>77</v>
      </c>
      <c r="C10" s="16"/>
      <c r="D10" s="63"/>
      <c r="E10" s="17">
        <f>C11+C12</f>
        <v>17300178</v>
      </c>
      <c r="F10" s="63" t="s">
        <v>207</v>
      </c>
    </row>
    <row r="11" spans="2:6" ht="31.5">
      <c r="B11" s="66" t="s">
        <v>78</v>
      </c>
      <c r="C11" s="67">
        <f>Bevételek!$H$46</f>
        <v>14918322</v>
      </c>
      <c r="D11" s="66" t="s">
        <v>207</v>
      </c>
      <c r="E11" s="17"/>
      <c r="F11" s="63"/>
    </row>
    <row r="12" spans="2:6" ht="31.5">
      <c r="B12" s="66" t="s">
        <v>79</v>
      </c>
      <c r="C12" s="67">
        <f>Bevételek!$H$52</f>
        <v>2381856</v>
      </c>
      <c r="D12" s="66" t="s">
        <v>207</v>
      </c>
      <c r="E12" s="17"/>
      <c r="F12" s="63"/>
    </row>
    <row r="13" spans="1:6" ht="15.75">
      <c r="A13" s="258" t="s">
        <v>302</v>
      </c>
      <c r="B13" s="65" t="s">
        <v>80</v>
      </c>
      <c r="C13" s="16"/>
      <c r="D13" s="63"/>
      <c r="E13" s="17">
        <f>Bevételek!$H$59</f>
        <v>34587111</v>
      </c>
      <c r="F13" s="63" t="s">
        <v>207</v>
      </c>
    </row>
    <row r="14" spans="1:6" ht="15.75">
      <c r="A14" s="258" t="s">
        <v>303</v>
      </c>
      <c r="B14" s="65" t="s">
        <v>81</v>
      </c>
      <c r="C14" s="16"/>
      <c r="D14" s="63"/>
      <c r="E14" s="17">
        <f>Bevételek!$H$70</f>
        <v>1320000</v>
      </c>
      <c r="F14" s="63" t="s">
        <v>207</v>
      </c>
    </row>
    <row r="15" spans="1:6" ht="15.75">
      <c r="A15" s="258" t="s">
        <v>304</v>
      </c>
      <c r="B15" s="65" t="s">
        <v>82</v>
      </c>
      <c r="C15" s="16"/>
      <c r="D15" s="63"/>
      <c r="E15" s="17">
        <f>Bevételek!$H$78</f>
        <v>11068723</v>
      </c>
      <c r="F15" s="63" t="s">
        <v>207</v>
      </c>
    </row>
    <row r="16" spans="2:6" ht="3" customHeight="1">
      <c r="B16" s="65"/>
      <c r="C16" s="17"/>
      <c r="D16" s="65"/>
      <c r="E16" s="17">
        <v>0</v>
      </c>
      <c r="F16" s="63" t="s">
        <v>207</v>
      </c>
    </row>
    <row r="17" spans="1:6" ht="15.75">
      <c r="A17" s="258" t="s">
        <v>332</v>
      </c>
      <c r="B17" s="65" t="s">
        <v>83</v>
      </c>
      <c r="C17" s="16"/>
      <c r="D17" s="63"/>
      <c r="E17" s="17">
        <v>0</v>
      </c>
      <c r="F17" s="63" t="s">
        <v>207</v>
      </c>
    </row>
    <row r="18" spans="2:6" ht="31.5">
      <c r="B18" s="66" t="s">
        <v>84</v>
      </c>
      <c r="C18" s="67">
        <v>0</v>
      </c>
      <c r="D18" s="66" t="s">
        <v>207</v>
      </c>
      <c r="E18" s="66"/>
      <c r="F18" s="63"/>
    </row>
    <row r="19" spans="2:6" ht="15.75">
      <c r="B19" s="68" t="s">
        <v>85</v>
      </c>
      <c r="C19" s="67">
        <v>0</v>
      </c>
      <c r="D19" s="63" t="s">
        <v>207</v>
      </c>
      <c r="E19" s="17"/>
      <c r="F19" s="63"/>
    </row>
    <row r="20" spans="1:6" ht="15.75">
      <c r="A20" s="258" t="s">
        <v>331</v>
      </c>
      <c r="B20" s="65" t="s">
        <v>86</v>
      </c>
      <c r="C20" s="16"/>
      <c r="D20" s="63"/>
      <c r="E20" s="17">
        <f>C21+C22</f>
        <v>0</v>
      </c>
      <c r="F20" s="63" t="s">
        <v>207</v>
      </c>
    </row>
    <row r="21" spans="2:6" ht="31.5">
      <c r="B21" s="66" t="s">
        <v>87</v>
      </c>
      <c r="C21" s="16"/>
      <c r="D21" s="63" t="s">
        <v>207</v>
      </c>
      <c r="E21" s="17"/>
      <c r="F21" s="63"/>
    </row>
    <row r="22" spans="2:6" ht="15.75">
      <c r="B22" s="63" t="s">
        <v>88</v>
      </c>
      <c r="C22" s="18"/>
      <c r="D22" s="63" t="s">
        <v>207</v>
      </c>
      <c r="E22" s="17"/>
      <c r="F22" s="63"/>
    </row>
    <row r="23" spans="1:6" ht="15.75">
      <c r="A23" s="258" t="s">
        <v>330</v>
      </c>
      <c r="B23" s="65" t="s">
        <v>89</v>
      </c>
      <c r="C23" s="17"/>
      <c r="D23" s="65"/>
      <c r="E23" s="17">
        <f>E10+E14+E15+E13+E20</f>
        <v>64276012</v>
      </c>
      <c r="F23" s="65" t="s">
        <v>286</v>
      </c>
    </row>
    <row r="24" spans="2:6" ht="15.75">
      <c r="B24" s="65"/>
      <c r="C24" s="17"/>
      <c r="D24" s="65"/>
      <c r="E24" s="17"/>
      <c r="F24" s="65"/>
    </row>
    <row r="25" spans="1:6" ht="15.75">
      <c r="A25" s="258" t="s">
        <v>8</v>
      </c>
      <c r="B25" s="64" t="s">
        <v>90</v>
      </c>
      <c r="C25" s="16"/>
      <c r="D25" s="63"/>
      <c r="E25" s="17"/>
      <c r="F25" s="63"/>
    </row>
    <row r="26" spans="1:6" ht="15.75">
      <c r="A26" s="258" t="s">
        <v>305</v>
      </c>
      <c r="B26" s="69" t="s">
        <v>91</v>
      </c>
      <c r="C26" s="16"/>
      <c r="D26" s="63"/>
      <c r="E26" s="17">
        <f>C28+C29+C30+C31+C32+C33</f>
        <v>41754758</v>
      </c>
      <c r="F26" s="63" t="s">
        <v>207</v>
      </c>
    </row>
    <row r="27" spans="2:6" ht="15.75">
      <c r="B27" s="27" t="s">
        <v>92</v>
      </c>
      <c r="C27" s="16"/>
      <c r="D27" s="63"/>
      <c r="E27" s="17"/>
      <c r="F27" s="63"/>
    </row>
    <row r="28" spans="1:6" ht="15.75">
      <c r="A28" s="258" t="s">
        <v>306</v>
      </c>
      <c r="B28" s="63" t="s">
        <v>311</v>
      </c>
      <c r="C28" s="16">
        <f>'Korm.funkciók'!E33</f>
        <v>8418934</v>
      </c>
      <c r="D28" s="63" t="s">
        <v>207</v>
      </c>
      <c r="E28" s="17"/>
      <c r="F28" s="63"/>
    </row>
    <row r="29" spans="1:6" ht="15.75">
      <c r="A29" s="258" t="s">
        <v>307</v>
      </c>
      <c r="B29" s="63" t="s">
        <v>312</v>
      </c>
      <c r="C29" s="16">
        <f>'Korm.funkciók'!F33</f>
        <v>1820642</v>
      </c>
      <c r="D29" s="63" t="s">
        <v>207</v>
      </c>
      <c r="E29" s="17"/>
      <c r="F29" s="63"/>
    </row>
    <row r="30" spans="1:6" ht="15.75">
      <c r="A30" s="258" t="s">
        <v>308</v>
      </c>
      <c r="B30" s="63" t="s">
        <v>313</v>
      </c>
      <c r="C30" s="16">
        <f>'Korm.funkciók'!G33</f>
        <v>18302397</v>
      </c>
      <c r="D30" s="63" t="s">
        <v>207</v>
      </c>
      <c r="E30" s="17"/>
      <c r="F30" s="63"/>
    </row>
    <row r="31" spans="1:6" ht="15.75">
      <c r="A31" s="258" t="s">
        <v>309</v>
      </c>
      <c r="B31" s="14" t="s">
        <v>314</v>
      </c>
      <c r="C31" s="16">
        <f>'Korm.funkciók'!H33</f>
        <v>1522200</v>
      </c>
      <c r="D31" s="63" t="s">
        <v>207</v>
      </c>
      <c r="E31" s="17"/>
      <c r="F31" s="63"/>
    </row>
    <row r="32" spans="1:6" ht="15.75">
      <c r="A32" s="258" t="s">
        <v>310</v>
      </c>
      <c r="B32" s="63" t="s">
        <v>315</v>
      </c>
      <c r="C32" s="16">
        <v>579986</v>
      </c>
      <c r="D32" s="63" t="s">
        <v>207</v>
      </c>
      <c r="E32" s="17"/>
      <c r="F32" s="63"/>
    </row>
    <row r="33" spans="1:6" ht="15.75">
      <c r="A33" s="258" t="s">
        <v>344</v>
      </c>
      <c r="B33" s="63" t="s">
        <v>345</v>
      </c>
      <c r="C33" s="16">
        <f>10492649+661875-239550-25000+220625</f>
        <v>11110599</v>
      </c>
      <c r="D33" s="63" t="s">
        <v>207</v>
      </c>
      <c r="E33" s="17"/>
      <c r="F33" s="63"/>
    </row>
    <row r="34" spans="1:6" ht="15.75">
      <c r="A34" s="258" t="s">
        <v>298</v>
      </c>
      <c r="B34" s="69" t="s">
        <v>93</v>
      </c>
      <c r="C34" s="17"/>
      <c r="D34" s="65"/>
      <c r="E34" s="70">
        <f>C36+C37</f>
        <v>37282266</v>
      </c>
      <c r="F34" s="65" t="s">
        <v>207</v>
      </c>
    </row>
    <row r="35" spans="2:6" ht="15.75">
      <c r="B35" s="27" t="s">
        <v>92</v>
      </c>
      <c r="C35" s="16"/>
      <c r="D35" s="63"/>
      <c r="E35" s="17"/>
      <c r="F35" s="63"/>
    </row>
    <row r="36" spans="1:6" ht="15.75">
      <c r="A36" s="258" t="s">
        <v>316</v>
      </c>
      <c r="B36" s="63" t="s">
        <v>320</v>
      </c>
      <c r="C36" s="18">
        <f>'Korm.funkciók'!K33</f>
        <v>36465093</v>
      </c>
      <c r="D36" s="63" t="s">
        <v>207</v>
      </c>
      <c r="E36" s="17"/>
      <c r="F36" s="63"/>
    </row>
    <row r="37" spans="1:6" ht="15.75">
      <c r="A37" s="258" t="s">
        <v>317</v>
      </c>
      <c r="B37" s="63" t="s">
        <v>321</v>
      </c>
      <c r="C37" s="18">
        <f>'Korm.funkciók'!L33</f>
        <v>817173</v>
      </c>
      <c r="D37" s="63" t="s">
        <v>207</v>
      </c>
      <c r="E37" s="17"/>
      <c r="F37" s="63"/>
    </row>
    <row r="38" spans="1:6" ht="15.75">
      <c r="A38" s="258" t="s">
        <v>318</v>
      </c>
      <c r="B38" s="63" t="s">
        <v>322</v>
      </c>
      <c r="C38" s="18"/>
      <c r="D38" s="63" t="s">
        <v>207</v>
      </c>
      <c r="E38" s="17"/>
      <c r="F38" s="63"/>
    </row>
    <row r="39" spans="1:6" ht="15.75">
      <c r="A39" s="258" t="s">
        <v>319</v>
      </c>
      <c r="B39" s="63" t="s">
        <v>323</v>
      </c>
      <c r="C39" s="18"/>
      <c r="D39" s="63" t="s">
        <v>207</v>
      </c>
      <c r="E39" s="17"/>
      <c r="F39" s="63"/>
    </row>
    <row r="40" spans="1:6" ht="15.75">
      <c r="A40" s="258" t="s">
        <v>324</v>
      </c>
      <c r="B40" s="65" t="s">
        <v>94</v>
      </c>
      <c r="C40" s="18"/>
      <c r="D40" s="63"/>
      <c r="E40" s="17">
        <f>C41+C42</f>
        <v>498541</v>
      </c>
      <c r="F40" s="63" t="s">
        <v>207</v>
      </c>
    </row>
    <row r="41" spans="2:6" ht="15.75">
      <c r="B41" s="63" t="s">
        <v>283</v>
      </c>
      <c r="C41" s="16">
        <v>498541</v>
      </c>
      <c r="D41" s="63" t="s">
        <v>207</v>
      </c>
      <c r="E41" s="17"/>
      <c r="F41" s="63"/>
    </row>
    <row r="42" spans="2:6" ht="15.75">
      <c r="B42" s="63" t="s">
        <v>95</v>
      </c>
      <c r="C42" s="16"/>
      <c r="D42" s="63" t="s">
        <v>207</v>
      </c>
      <c r="E42" s="17"/>
      <c r="F42" s="63"/>
    </row>
    <row r="43" spans="1:6" ht="23.25" customHeight="1">
      <c r="A43" s="258" t="s">
        <v>325</v>
      </c>
      <c r="B43" s="65" t="s">
        <v>96</v>
      </c>
      <c r="C43" s="17"/>
      <c r="D43" s="65"/>
      <c r="E43" s="17">
        <f>E26+E34+E40</f>
        <v>79535565</v>
      </c>
      <c r="F43" s="65" t="s">
        <v>286</v>
      </c>
    </row>
    <row r="44" spans="1:6" ht="23.25" customHeight="1">
      <c r="A44" s="258" t="s">
        <v>9</v>
      </c>
      <c r="B44" s="65" t="s">
        <v>97</v>
      </c>
      <c r="C44" s="17"/>
      <c r="D44" s="65"/>
      <c r="E44" s="17">
        <f>E23-E43</f>
        <v>-15259553</v>
      </c>
      <c r="F44" s="65" t="s">
        <v>207</v>
      </c>
    </row>
    <row r="45" spans="2:6" ht="23.25" customHeight="1">
      <c r="B45" s="65"/>
      <c r="C45" s="17"/>
      <c r="D45" s="65"/>
      <c r="E45" s="17"/>
      <c r="F45" s="65"/>
    </row>
    <row r="46" spans="1:6" ht="15.75">
      <c r="A46" s="258" t="s">
        <v>10</v>
      </c>
      <c r="B46" s="71" t="s">
        <v>98</v>
      </c>
      <c r="C46" s="17"/>
      <c r="D46" s="65"/>
      <c r="E46" s="17">
        <f>4260731+10998822</f>
        <v>15259553</v>
      </c>
      <c r="F46" s="226" t="s">
        <v>207</v>
      </c>
    </row>
    <row r="47" spans="1:6" ht="25.5" customHeight="1">
      <c r="A47" s="258" t="s">
        <v>11</v>
      </c>
      <c r="B47" s="65" t="s">
        <v>99</v>
      </c>
      <c r="C47" s="17"/>
      <c r="D47" s="65"/>
      <c r="E47" s="17">
        <f>E44+E46</f>
        <v>0</v>
      </c>
      <c r="F47" s="65" t="s">
        <v>207</v>
      </c>
    </row>
  </sheetData>
  <sheetProtection/>
  <mergeCells count="6">
    <mergeCell ref="B1:F1"/>
    <mergeCell ref="B5:F5"/>
    <mergeCell ref="B6:F6"/>
    <mergeCell ref="B7:F7"/>
    <mergeCell ref="B4:F4"/>
    <mergeCell ref="A3:F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178"/>
  <sheetViews>
    <sheetView view="pageBreakPreview" zoomScale="60" zoomScalePageLayoutView="0" workbookViewId="0" topLeftCell="A45">
      <selection activeCell="AG29" sqref="AG2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6.75390625" style="0" customWidth="1"/>
    <col min="7" max="7" width="17.75390625" style="0" customWidth="1"/>
    <col min="8" max="8" width="17.1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06" t="s">
        <v>391</v>
      </c>
      <c r="B1" s="306"/>
      <c r="C1" s="306"/>
      <c r="D1" s="306"/>
      <c r="E1" s="306"/>
      <c r="F1" s="306"/>
      <c r="G1" s="306"/>
      <c r="H1" s="306"/>
      <c r="I1" s="306"/>
    </row>
    <row r="2" spans="1:9" ht="15">
      <c r="A2" s="311" t="s">
        <v>334</v>
      </c>
      <c r="B2" s="312"/>
      <c r="C2" s="312"/>
      <c r="D2" s="312"/>
      <c r="E2" s="312"/>
      <c r="F2" s="312"/>
      <c r="G2" s="312"/>
      <c r="H2" s="312"/>
      <c r="I2" s="312"/>
    </row>
    <row r="3" spans="1:9" ht="14.25">
      <c r="A3" s="317"/>
      <c r="B3" s="317"/>
      <c r="C3" s="317"/>
      <c r="D3" s="317"/>
      <c r="E3" s="317"/>
      <c r="F3" s="317"/>
      <c r="G3" s="317"/>
      <c r="H3" s="317"/>
      <c r="I3" s="317"/>
    </row>
    <row r="4" spans="1:9" ht="14.25">
      <c r="A4" s="317" t="s">
        <v>187</v>
      </c>
      <c r="B4" s="317"/>
      <c r="C4" s="317"/>
      <c r="D4" s="317"/>
      <c r="E4" s="317"/>
      <c r="F4" s="317"/>
      <c r="G4" s="317"/>
      <c r="H4" s="317"/>
      <c r="I4" s="317"/>
    </row>
    <row r="5" spans="1:9" ht="14.25">
      <c r="A5" s="317" t="s">
        <v>100</v>
      </c>
      <c r="B5" s="317"/>
      <c r="C5" s="317"/>
      <c r="D5" s="317"/>
      <c r="E5" s="317"/>
      <c r="F5" s="317"/>
      <c r="G5" s="317"/>
      <c r="H5" s="317"/>
      <c r="I5" s="317"/>
    </row>
    <row r="6" spans="1:9" ht="12.75" customHeight="1">
      <c r="A6" s="317" t="s">
        <v>287</v>
      </c>
      <c r="B6" s="317"/>
      <c r="C6" s="317"/>
      <c r="D6" s="317"/>
      <c r="E6" s="317"/>
      <c r="F6" s="317"/>
      <c r="G6" s="317"/>
      <c r="H6" s="317"/>
      <c r="I6" s="317"/>
    </row>
    <row r="7" spans="1:9" ht="15.75" thickBot="1">
      <c r="A7" s="110"/>
      <c r="B7" s="110"/>
      <c r="C7" s="109"/>
      <c r="D7" s="109"/>
      <c r="E7" s="109"/>
      <c r="F7" s="104"/>
      <c r="G7" s="87"/>
      <c r="H7" s="318" t="s">
        <v>289</v>
      </c>
      <c r="I7" s="318"/>
    </row>
    <row r="8" spans="1:9" ht="15">
      <c r="A8" s="319" t="s">
        <v>101</v>
      </c>
      <c r="B8" s="320"/>
      <c r="C8" s="320"/>
      <c r="D8" s="320"/>
      <c r="E8" s="320"/>
      <c r="F8" s="321"/>
      <c r="G8" s="111" t="s">
        <v>0</v>
      </c>
      <c r="H8" s="111" t="s">
        <v>0</v>
      </c>
      <c r="I8" s="101" t="s">
        <v>188</v>
      </c>
    </row>
    <row r="9" spans="1:9" ht="15">
      <c r="A9" s="322"/>
      <c r="B9" s="323"/>
      <c r="C9" s="323"/>
      <c r="D9" s="323"/>
      <c r="E9" s="323"/>
      <c r="F9" s="324"/>
      <c r="G9" s="112" t="s">
        <v>35</v>
      </c>
      <c r="H9" s="112" t="s">
        <v>35</v>
      </c>
      <c r="I9" s="113"/>
    </row>
    <row r="10" spans="1:9" ht="15.75" customHeight="1" thickBot="1">
      <c r="A10" s="325"/>
      <c r="B10" s="326"/>
      <c r="C10" s="326"/>
      <c r="D10" s="326"/>
      <c r="E10" s="326"/>
      <c r="F10" s="327"/>
      <c r="G10" s="114" t="s">
        <v>265</v>
      </c>
      <c r="H10" s="114" t="s">
        <v>287</v>
      </c>
      <c r="I10" s="115" t="s">
        <v>1</v>
      </c>
    </row>
    <row r="11" spans="1:9" ht="29.25" customHeight="1">
      <c r="A11" s="116" t="s">
        <v>102</v>
      </c>
      <c r="B11" s="313" t="s">
        <v>103</v>
      </c>
      <c r="C11" s="313"/>
      <c r="D11" s="313"/>
      <c r="E11" s="313"/>
      <c r="F11" s="313"/>
      <c r="G11" s="84"/>
      <c r="H11" s="83"/>
      <c r="I11" s="84"/>
    </row>
    <row r="12" spans="1:9" ht="15.75" customHeight="1">
      <c r="A12" s="9"/>
      <c r="B12" s="9" t="s">
        <v>7</v>
      </c>
      <c r="C12" s="9" t="s">
        <v>104</v>
      </c>
      <c r="D12" s="9"/>
      <c r="E12" s="9"/>
      <c r="F12" s="9"/>
      <c r="G12" s="91"/>
      <c r="H12" s="91"/>
      <c r="I12" s="9"/>
    </row>
    <row r="13" spans="1:9" ht="29.25" customHeight="1">
      <c r="A13" s="9"/>
      <c r="B13" s="9"/>
      <c r="C13" s="116" t="s">
        <v>7</v>
      </c>
      <c r="D13" s="313" t="s">
        <v>105</v>
      </c>
      <c r="E13" s="313"/>
      <c r="F13" s="313"/>
      <c r="G13" s="83"/>
      <c r="H13" s="83"/>
      <c r="I13" s="84"/>
    </row>
    <row r="14" spans="1:9" ht="28.5" customHeight="1">
      <c r="A14" s="9"/>
      <c r="B14" s="9"/>
      <c r="C14" s="9"/>
      <c r="D14" s="116" t="s">
        <v>7</v>
      </c>
      <c r="E14" s="313" t="s">
        <v>106</v>
      </c>
      <c r="F14" s="313"/>
      <c r="G14" s="83"/>
      <c r="H14" s="83"/>
      <c r="I14" s="84"/>
    </row>
    <row r="15" spans="1:9" ht="28.5" customHeight="1">
      <c r="A15" s="8"/>
      <c r="B15" s="8"/>
      <c r="C15" s="8"/>
      <c r="D15" s="117" t="s">
        <v>107</v>
      </c>
      <c r="E15" s="314" t="s">
        <v>108</v>
      </c>
      <c r="F15" s="315"/>
      <c r="G15" s="85"/>
      <c r="H15" s="85"/>
      <c r="I15" s="86"/>
    </row>
    <row r="16" spans="1:9" ht="29.25" customHeight="1">
      <c r="A16" s="8"/>
      <c r="B16" s="8"/>
      <c r="C16" s="8"/>
      <c r="D16" s="8"/>
      <c r="E16" s="117" t="s">
        <v>109</v>
      </c>
      <c r="F16" s="93" t="s">
        <v>110</v>
      </c>
      <c r="G16" s="87">
        <v>863010</v>
      </c>
      <c r="H16" s="87">
        <v>863010</v>
      </c>
      <c r="I16" s="86">
        <f aca="true" t="shared" si="0" ref="I16:I22">(H16/G16)*100</f>
        <v>100</v>
      </c>
    </row>
    <row r="17" spans="1:9" ht="15" customHeight="1">
      <c r="A17" s="8"/>
      <c r="B17" s="8"/>
      <c r="C17" s="8"/>
      <c r="D17" s="8"/>
      <c r="E17" s="8" t="s">
        <v>111</v>
      </c>
      <c r="F17" s="93" t="s">
        <v>112</v>
      </c>
      <c r="G17" s="87">
        <v>576000</v>
      </c>
      <c r="H17" s="87">
        <v>576000</v>
      </c>
      <c r="I17" s="86">
        <f t="shared" si="0"/>
        <v>100</v>
      </c>
    </row>
    <row r="18" spans="1:9" ht="27.75" customHeight="1">
      <c r="A18" s="8"/>
      <c r="B18" s="8"/>
      <c r="C18" s="8"/>
      <c r="D18" s="8"/>
      <c r="E18" s="117" t="s">
        <v>113</v>
      </c>
      <c r="F18" s="93" t="s">
        <v>114</v>
      </c>
      <c r="G18" s="87"/>
      <c r="H18" s="87"/>
      <c r="I18" s="86"/>
    </row>
    <row r="19" spans="1:9" ht="14.25" customHeight="1">
      <c r="A19" s="8"/>
      <c r="B19" s="8"/>
      <c r="C19" s="8"/>
      <c r="D19" s="8"/>
      <c r="E19" s="8" t="s">
        <v>115</v>
      </c>
      <c r="F19" s="93" t="s">
        <v>116</v>
      </c>
      <c r="G19" s="87">
        <v>808120</v>
      </c>
      <c r="H19" s="87">
        <v>808120</v>
      </c>
      <c r="I19" s="86">
        <f t="shared" si="0"/>
        <v>100</v>
      </c>
    </row>
    <row r="20" spans="1:9" ht="15.75" customHeight="1">
      <c r="A20" s="8"/>
      <c r="B20" s="8"/>
      <c r="C20" s="8"/>
      <c r="D20" s="8" t="s">
        <v>117</v>
      </c>
      <c r="E20" s="8" t="s">
        <v>189</v>
      </c>
      <c r="F20" s="8"/>
      <c r="G20" s="87">
        <v>5000000</v>
      </c>
      <c r="H20" s="87">
        <v>5000000</v>
      </c>
      <c r="I20" s="86">
        <f t="shared" si="0"/>
        <v>100</v>
      </c>
    </row>
    <row r="21" spans="1:9" ht="14.25" customHeight="1">
      <c r="A21" s="8"/>
      <c r="B21" s="8"/>
      <c r="C21" s="8"/>
      <c r="D21" s="8"/>
      <c r="E21" s="8"/>
      <c r="F21" s="118" t="s">
        <v>197</v>
      </c>
      <c r="G21" s="87">
        <v>-52753</v>
      </c>
      <c r="H21" s="87">
        <v>-57216</v>
      </c>
      <c r="I21" s="86">
        <f t="shared" si="0"/>
        <v>108.46018235929711</v>
      </c>
    </row>
    <row r="22" spans="1:9" ht="18" customHeight="1">
      <c r="A22" s="8"/>
      <c r="B22" s="8"/>
      <c r="C22" s="8"/>
      <c r="D22" s="8" t="s">
        <v>190</v>
      </c>
      <c r="E22" s="8"/>
      <c r="F22" s="8"/>
      <c r="G22" s="88">
        <v>43350</v>
      </c>
      <c r="H22" s="87">
        <v>43350</v>
      </c>
      <c r="I22" s="86">
        <f t="shared" si="0"/>
        <v>100</v>
      </c>
    </row>
    <row r="23" spans="1:9" ht="18" customHeight="1">
      <c r="A23" s="8"/>
      <c r="B23" s="8"/>
      <c r="C23" s="8"/>
      <c r="D23" s="8" t="s">
        <v>377</v>
      </c>
      <c r="E23" s="8" t="s">
        <v>378</v>
      </c>
      <c r="F23" s="8"/>
      <c r="G23" s="88"/>
      <c r="H23" s="87">
        <v>1000000</v>
      </c>
      <c r="I23" s="86"/>
    </row>
    <row r="24" spans="1:9" ht="13.5" customHeight="1">
      <c r="A24" s="8"/>
      <c r="B24" s="8"/>
      <c r="C24" s="8"/>
      <c r="D24" s="8"/>
      <c r="E24" s="8"/>
      <c r="F24" s="8"/>
      <c r="G24" s="88"/>
      <c r="H24" s="87"/>
      <c r="I24" s="86"/>
    </row>
    <row r="25" spans="1:9" ht="8.25" customHeight="1" hidden="1">
      <c r="A25" s="316" t="s">
        <v>118</v>
      </c>
      <c r="B25" s="316"/>
      <c r="C25" s="316"/>
      <c r="D25" s="316"/>
      <c r="E25" s="316"/>
      <c r="F25" s="316"/>
      <c r="G25" s="87"/>
      <c r="H25" s="87"/>
      <c r="I25" s="86"/>
    </row>
    <row r="26" spans="1:9" ht="15.75" customHeight="1">
      <c r="A26" s="316"/>
      <c r="B26" s="316"/>
      <c r="C26" s="316"/>
      <c r="D26" s="316"/>
      <c r="E26" s="316"/>
      <c r="F26" s="316"/>
      <c r="G26" s="96">
        <f>SUM(G15:G25)</f>
        <v>7237727</v>
      </c>
      <c r="H26" s="96">
        <f>SUM(H15:H25)</f>
        <v>8233264</v>
      </c>
      <c r="I26" s="90">
        <f>(H26/G26)*100</f>
        <v>113.75482938220797</v>
      </c>
    </row>
    <row r="27" spans="1:9" ht="32.25" customHeight="1">
      <c r="A27" s="116"/>
      <c r="B27" s="313" t="s">
        <v>365</v>
      </c>
      <c r="C27" s="313"/>
      <c r="D27" s="313"/>
      <c r="E27" s="313"/>
      <c r="F27" s="313"/>
      <c r="G27" s="83"/>
      <c r="H27" s="83"/>
      <c r="I27" s="86"/>
    </row>
    <row r="28" spans="1:9" ht="29.25" customHeight="1">
      <c r="A28" s="8"/>
      <c r="B28" s="8"/>
      <c r="C28" s="8"/>
      <c r="D28" s="117" t="s">
        <v>8</v>
      </c>
      <c r="E28" s="314" t="s">
        <v>191</v>
      </c>
      <c r="F28" s="314"/>
      <c r="G28" s="87">
        <v>1241084</v>
      </c>
      <c r="H28" s="87">
        <v>1124000</v>
      </c>
      <c r="I28" s="86">
        <f>(H28/G28)*100</f>
        <v>90.56598908695946</v>
      </c>
    </row>
    <row r="29" spans="1:9" ht="30" customHeight="1">
      <c r="A29" s="8"/>
      <c r="B29" s="8"/>
      <c r="C29" s="8"/>
      <c r="D29" s="117" t="s">
        <v>9</v>
      </c>
      <c r="E29" s="314" t="s">
        <v>271</v>
      </c>
      <c r="F29" s="314"/>
      <c r="G29" s="87">
        <v>276800</v>
      </c>
      <c r="H29" s="87">
        <f>332160+55360</f>
        <v>387520</v>
      </c>
      <c r="I29" s="86">
        <f>(H29/G29)*100</f>
        <v>140</v>
      </c>
    </row>
    <row r="30" spans="1:9" ht="15" customHeight="1">
      <c r="A30" s="8"/>
      <c r="B30" s="8"/>
      <c r="C30" s="8"/>
      <c r="D30" s="117"/>
      <c r="E30" s="314" t="s">
        <v>272</v>
      </c>
      <c r="F30" s="314"/>
      <c r="G30" s="87">
        <v>2500000</v>
      </c>
      <c r="H30" s="87">
        <v>2500000</v>
      </c>
      <c r="I30" s="86">
        <f>(H30/G30)*100</f>
        <v>100</v>
      </c>
    </row>
    <row r="31" spans="1:9" ht="15" customHeight="1">
      <c r="A31" s="8"/>
      <c r="B31" s="8"/>
      <c r="C31" s="8"/>
      <c r="D31" s="117"/>
      <c r="E31" s="314" t="s">
        <v>375</v>
      </c>
      <c r="F31" s="334"/>
      <c r="G31" s="87"/>
      <c r="H31" s="87">
        <f>128672+32666</f>
        <v>161338</v>
      </c>
      <c r="I31" s="86"/>
    </row>
    <row r="32" spans="1:9" ht="14.25" customHeight="1">
      <c r="A32" s="8"/>
      <c r="B32" s="8"/>
      <c r="C32" s="8"/>
      <c r="D32" s="117" t="s">
        <v>11</v>
      </c>
      <c r="E32" s="314" t="s">
        <v>273</v>
      </c>
      <c r="F32" s="314"/>
      <c r="G32" s="87"/>
      <c r="H32" s="87"/>
      <c r="I32" s="86"/>
    </row>
    <row r="33" spans="1:9" ht="30" customHeight="1">
      <c r="A33" s="8"/>
      <c r="B33" s="8"/>
      <c r="C33" s="8"/>
      <c r="D33" s="117"/>
      <c r="E33" s="314" t="s">
        <v>274</v>
      </c>
      <c r="F33" s="314"/>
      <c r="G33" s="87">
        <v>75810</v>
      </c>
      <c r="H33" s="87">
        <v>74100</v>
      </c>
      <c r="I33" s="86">
        <f>(H33/G33)*100</f>
        <v>97.74436090225564</v>
      </c>
    </row>
    <row r="34" spans="1:9" ht="28.5" customHeight="1">
      <c r="A34" s="119"/>
      <c r="B34" s="119"/>
      <c r="C34" s="328" t="s">
        <v>119</v>
      </c>
      <c r="D34" s="328"/>
      <c r="E34" s="328"/>
      <c r="F34" s="328"/>
      <c r="G34" s="97">
        <f>SUM(G28:G33)</f>
        <v>4093694</v>
      </c>
      <c r="H34" s="97">
        <f>SUM(H28:H33)</f>
        <v>4246958</v>
      </c>
      <c r="I34" s="98">
        <f>(H34/G34)*100</f>
        <v>103.74390464944376</v>
      </c>
    </row>
    <row r="35" spans="1:9" ht="6" customHeight="1" hidden="1">
      <c r="A35" s="8"/>
      <c r="B35" s="8"/>
      <c r="C35" s="8"/>
      <c r="D35" s="8"/>
      <c r="E35" s="8"/>
      <c r="F35" s="8"/>
      <c r="G35" s="87"/>
      <c r="H35" s="87"/>
      <c r="I35" s="86"/>
    </row>
    <row r="36" spans="1:9" ht="26.25" customHeight="1">
      <c r="A36" s="116"/>
      <c r="B36" s="313" t="s">
        <v>366</v>
      </c>
      <c r="C36" s="313"/>
      <c r="D36" s="313"/>
      <c r="E36" s="313"/>
      <c r="F36" s="313"/>
      <c r="G36" s="83"/>
      <c r="H36" s="83"/>
      <c r="I36" s="86"/>
    </row>
    <row r="37" spans="1:9" ht="27" customHeight="1">
      <c r="A37" s="8"/>
      <c r="B37" s="8"/>
      <c r="C37" s="8"/>
      <c r="D37" s="8" t="s">
        <v>7</v>
      </c>
      <c r="E37" s="329" t="s">
        <v>120</v>
      </c>
      <c r="F37" s="329"/>
      <c r="G37" s="85"/>
      <c r="H37" s="85"/>
      <c r="I37" s="86"/>
    </row>
    <row r="38" spans="1:9" ht="46.5" customHeight="1">
      <c r="A38" s="8"/>
      <c r="B38" s="8"/>
      <c r="C38" s="8"/>
      <c r="D38" s="8"/>
      <c r="E38" s="117" t="s">
        <v>121</v>
      </c>
      <c r="F38" s="121" t="s">
        <v>196</v>
      </c>
      <c r="G38" s="85">
        <v>1200000</v>
      </c>
      <c r="H38" s="85">
        <v>1200000</v>
      </c>
      <c r="I38" s="86">
        <f>(H38/G38)*100</f>
        <v>100</v>
      </c>
    </row>
    <row r="39" spans="1:9" ht="31.5" customHeight="1">
      <c r="A39" s="8"/>
      <c r="B39" s="316" t="s">
        <v>198</v>
      </c>
      <c r="C39" s="316"/>
      <c r="D39" s="316"/>
      <c r="E39" s="316"/>
      <c r="F39" s="316"/>
      <c r="G39" s="91">
        <f>SUM(G38:G38)</f>
        <v>1200000</v>
      </c>
      <c r="H39" s="91">
        <f>SUM(H38:H38)</f>
        <v>1200000</v>
      </c>
      <c r="I39" s="90">
        <f>(H39/G39)*100</f>
        <v>100</v>
      </c>
    </row>
    <row r="40" spans="1:9" ht="20.25" customHeight="1">
      <c r="A40" s="8"/>
      <c r="B40" s="9" t="s">
        <v>11</v>
      </c>
      <c r="C40" s="9" t="s">
        <v>364</v>
      </c>
      <c r="D40" s="9"/>
      <c r="E40" s="116"/>
      <c r="F40" s="294"/>
      <c r="G40" s="85"/>
      <c r="H40" s="85"/>
      <c r="I40" s="86"/>
    </row>
    <row r="41" spans="1:9" ht="15" customHeight="1">
      <c r="A41" s="8"/>
      <c r="B41" s="8"/>
      <c r="C41" s="8"/>
      <c r="D41" s="8" t="s">
        <v>7</v>
      </c>
      <c r="E41" s="331" t="s">
        <v>363</v>
      </c>
      <c r="F41" s="312"/>
      <c r="H41" s="85">
        <f>661875+220625</f>
        <v>882500</v>
      </c>
      <c r="I41" s="86"/>
    </row>
    <row r="42" spans="1:9" ht="15" customHeight="1">
      <c r="A42" s="8"/>
      <c r="B42" s="8"/>
      <c r="C42" s="8"/>
      <c r="D42" s="8" t="s">
        <v>8</v>
      </c>
      <c r="E42" s="331" t="s">
        <v>388</v>
      </c>
      <c r="F42" s="312"/>
      <c r="H42" s="85">
        <v>355600</v>
      </c>
      <c r="I42" s="86"/>
    </row>
    <row r="43" spans="1:9" ht="15" customHeight="1">
      <c r="A43" s="8"/>
      <c r="B43" s="8"/>
      <c r="C43" s="295" t="s">
        <v>374</v>
      </c>
      <c r="D43" s="295"/>
      <c r="E43" s="296"/>
      <c r="F43" s="297"/>
      <c r="G43" s="85"/>
      <c r="H43" s="83">
        <f>H41+H42</f>
        <v>1238100</v>
      </c>
      <c r="I43" s="86"/>
    </row>
    <row r="44" spans="1:9" ht="3.75" customHeight="1">
      <c r="A44" s="8"/>
      <c r="B44" s="8"/>
      <c r="C44" s="9"/>
      <c r="D44" s="9"/>
      <c r="E44" s="116"/>
      <c r="F44" s="294"/>
      <c r="G44" s="85"/>
      <c r="H44" s="85"/>
      <c r="I44" s="86"/>
    </row>
    <row r="45" spans="1:9" ht="15" customHeight="1">
      <c r="A45" s="8"/>
      <c r="B45" s="9" t="s">
        <v>12</v>
      </c>
      <c r="C45" s="9" t="s">
        <v>122</v>
      </c>
      <c r="D45" s="9"/>
      <c r="E45" s="84"/>
      <c r="F45" s="84"/>
      <c r="G45" s="85"/>
      <c r="H45" s="85"/>
      <c r="I45" s="86"/>
    </row>
    <row r="46" spans="2:9" ht="28.5" customHeight="1">
      <c r="B46" s="336" t="s">
        <v>192</v>
      </c>
      <c r="C46" s="334"/>
      <c r="D46" s="334"/>
      <c r="E46" s="334"/>
      <c r="F46" s="334"/>
      <c r="G46" s="89">
        <f>G26+G34+G39</f>
        <v>12531421</v>
      </c>
      <c r="H46" s="89">
        <f>H26+H34+H39+H43</f>
        <v>14918322</v>
      </c>
      <c r="I46" s="90">
        <f>(H46/G46)*100</f>
        <v>119.04732910976337</v>
      </c>
    </row>
    <row r="47" spans="1:9" ht="33" customHeight="1">
      <c r="A47" s="106"/>
      <c r="B47" s="330" t="s">
        <v>199</v>
      </c>
      <c r="C47" s="315"/>
      <c r="D47" s="315"/>
      <c r="E47" s="315"/>
      <c r="F47" s="315"/>
      <c r="G47" s="88"/>
      <c r="H47" s="88"/>
      <c r="I47" s="90"/>
    </row>
    <row r="48" spans="1:9" ht="15">
      <c r="A48" s="103"/>
      <c r="B48" s="103"/>
      <c r="C48" s="225" t="s">
        <v>7</v>
      </c>
      <c r="D48" s="105" t="s">
        <v>124</v>
      </c>
      <c r="E48" s="103"/>
      <c r="F48" s="103"/>
      <c r="G48" s="88">
        <v>17000</v>
      </c>
      <c r="H48" s="88">
        <v>52200</v>
      </c>
      <c r="I48" s="86">
        <f>(H48/G48)*100</f>
        <v>307.05882352941177</v>
      </c>
    </row>
    <row r="49" spans="1:9" ht="15">
      <c r="A49" s="103"/>
      <c r="B49" s="103"/>
      <c r="C49" s="103" t="s">
        <v>8</v>
      </c>
      <c r="D49" s="332" t="s">
        <v>125</v>
      </c>
      <c r="E49" s="332"/>
      <c r="F49" s="332"/>
      <c r="G49" s="89"/>
      <c r="H49" s="88">
        <f>722670+723984+361992</f>
        <v>1808646</v>
      </c>
      <c r="I49" s="90"/>
    </row>
    <row r="50" spans="1:9" ht="18" customHeight="1">
      <c r="A50" s="103"/>
      <c r="B50" s="103"/>
      <c r="C50" s="103" t="s">
        <v>9</v>
      </c>
      <c r="D50" s="311" t="s">
        <v>367</v>
      </c>
      <c r="E50" s="310"/>
      <c r="F50" s="310"/>
      <c r="G50" s="89"/>
      <c r="H50" s="88">
        <f>149996+71014</f>
        <v>221010</v>
      </c>
      <c r="I50" s="90"/>
    </row>
    <row r="51" spans="1:9" ht="18" customHeight="1">
      <c r="A51" s="103"/>
      <c r="B51" s="103"/>
      <c r="C51" s="103" t="s">
        <v>10</v>
      </c>
      <c r="D51" s="311" t="s">
        <v>389</v>
      </c>
      <c r="E51" s="310"/>
      <c r="F51" s="310"/>
      <c r="G51" s="89"/>
      <c r="H51" s="88">
        <v>300000</v>
      </c>
      <c r="I51" s="90"/>
    </row>
    <row r="52" spans="1:9" ht="29.25" customHeight="1">
      <c r="A52" s="103"/>
      <c r="B52" s="330" t="s">
        <v>126</v>
      </c>
      <c r="C52" s="330"/>
      <c r="D52" s="330"/>
      <c r="E52" s="330"/>
      <c r="F52" s="330"/>
      <c r="G52" s="89">
        <f>G48</f>
        <v>17000</v>
      </c>
      <c r="H52" s="89">
        <f>SUM(H48:H51)</f>
        <v>2381856</v>
      </c>
      <c r="I52" s="86">
        <f>(H52/G52)*100</f>
        <v>14010.917647058825</v>
      </c>
    </row>
    <row r="53" spans="1:9" ht="33.75" customHeight="1">
      <c r="A53" s="330" t="s">
        <v>127</v>
      </c>
      <c r="B53" s="330"/>
      <c r="C53" s="330"/>
      <c r="D53" s="330"/>
      <c r="E53" s="330"/>
      <c r="F53" s="330"/>
      <c r="G53" s="94">
        <f>G46+G52</f>
        <v>12548421</v>
      </c>
      <c r="H53" s="94">
        <f>H46+H52</f>
        <v>17300178</v>
      </c>
      <c r="I53" s="90">
        <f>(H53/G53)*100</f>
        <v>137.86736992646325</v>
      </c>
    </row>
    <row r="54" spans="1:9" ht="30.75" customHeight="1">
      <c r="A54" s="106" t="s">
        <v>123</v>
      </c>
      <c r="B54" s="330" t="s">
        <v>128</v>
      </c>
      <c r="C54" s="330"/>
      <c r="D54" s="330"/>
      <c r="E54" s="330"/>
      <c r="F54" s="330"/>
      <c r="G54" s="94"/>
      <c r="H54" s="89"/>
      <c r="I54" s="90"/>
    </row>
    <row r="55" spans="1:9" ht="15">
      <c r="A55" s="106"/>
      <c r="B55" s="102" t="s">
        <v>7</v>
      </c>
      <c r="C55" s="330" t="s">
        <v>193</v>
      </c>
      <c r="D55" s="330"/>
      <c r="E55" s="330"/>
      <c r="F55" s="330"/>
      <c r="G55" s="88"/>
      <c r="H55" s="88"/>
      <c r="I55" s="86"/>
    </row>
    <row r="56" spans="1:9" ht="13.5" customHeight="1">
      <c r="A56" s="106"/>
      <c r="B56" s="102"/>
      <c r="C56" s="301" t="s">
        <v>7</v>
      </c>
      <c r="D56" s="107" t="s">
        <v>300</v>
      </c>
      <c r="E56" s="102"/>
      <c r="F56" s="102"/>
      <c r="G56" s="88"/>
      <c r="H56" s="88">
        <v>31078900</v>
      </c>
      <c r="I56" s="86"/>
    </row>
    <row r="57" spans="1:9" ht="15">
      <c r="A57" s="106"/>
      <c r="B57" s="102"/>
      <c r="C57" s="301" t="s">
        <v>8</v>
      </c>
      <c r="D57" s="107" t="s">
        <v>301</v>
      </c>
      <c r="E57" s="102"/>
      <c r="F57" s="102"/>
      <c r="G57" s="88"/>
      <c r="H57" s="88">
        <v>3453211</v>
      </c>
      <c r="I57" s="86"/>
    </row>
    <row r="58" spans="1:9" ht="32.25" customHeight="1">
      <c r="A58" s="106"/>
      <c r="B58" s="102"/>
      <c r="C58" s="103" t="s">
        <v>387</v>
      </c>
      <c r="D58" s="332" t="s">
        <v>376</v>
      </c>
      <c r="E58" s="333"/>
      <c r="F58" s="333"/>
      <c r="G58" s="89"/>
      <c r="H58" s="88">
        <v>55000</v>
      </c>
      <c r="I58" s="86"/>
    </row>
    <row r="59" spans="1:9" ht="30.75" customHeight="1">
      <c r="A59" s="106"/>
      <c r="B59" s="102"/>
      <c r="C59" s="330" t="s">
        <v>194</v>
      </c>
      <c r="D59" s="330"/>
      <c r="E59" s="330"/>
      <c r="F59" s="330"/>
      <c r="G59" s="94"/>
      <c r="H59" s="94">
        <f>H56+H57+H58</f>
        <v>34587111</v>
      </c>
      <c r="I59" s="8"/>
    </row>
    <row r="60" spans="1:19" ht="15">
      <c r="A60" s="9" t="s">
        <v>129</v>
      </c>
      <c r="B60" s="9" t="s">
        <v>81</v>
      </c>
      <c r="C60" s="9"/>
      <c r="D60" s="9"/>
      <c r="E60" s="9"/>
      <c r="F60" s="9"/>
      <c r="G60" s="9"/>
      <c r="H60" s="91"/>
      <c r="I60" s="86"/>
      <c r="L60" s="337"/>
      <c r="M60" s="338"/>
      <c r="N60" s="338"/>
      <c r="O60" s="338"/>
      <c r="P60" s="338"/>
      <c r="Q60" s="338"/>
      <c r="R60" s="338"/>
      <c r="S60" s="338"/>
    </row>
    <row r="61" spans="1:9" ht="15">
      <c r="A61" s="8"/>
      <c r="B61" s="8" t="s">
        <v>137</v>
      </c>
      <c r="C61" s="8" t="s">
        <v>130</v>
      </c>
      <c r="D61" s="8"/>
      <c r="E61" s="8"/>
      <c r="F61" s="8"/>
      <c r="G61" s="8"/>
      <c r="H61" s="87"/>
      <c r="I61" s="86"/>
    </row>
    <row r="62" spans="1:9" ht="15">
      <c r="A62" s="8"/>
      <c r="B62" s="8"/>
      <c r="C62" s="8" t="s">
        <v>7</v>
      </c>
      <c r="D62" s="8" t="s">
        <v>131</v>
      </c>
      <c r="E62" s="8"/>
      <c r="F62" s="8"/>
      <c r="G62" s="87">
        <v>100000</v>
      </c>
      <c r="H62" s="87">
        <v>100000</v>
      </c>
      <c r="I62" s="86">
        <f>H62/G62*100</f>
        <v>100</v>
      </c>
    </row>
    <row r="63" spans="1:9" ht="15">
      <c r="A63" s="9"/>
      <c r="B63" s="9" t="s">
        <v>7</v>
      </c>
      <c r="C63" s="9" t="s">
        <v>132</v>
      </c>
      <c r="D63" s="9"/>
      <c r="E63" s="9"/>
      <c r="F63" s="9"/>
      <c r="G63" s="9"/>
      <c r="H63" s="91"/>
      <c r="I63" s="86"/>
    </row>
    <row r="64" spans="1:9" ht="15">
      <c r="A64" s="8"/>
      <c r="B64" s="8"/>
      <c r="C64" s="8" t="s">
        <v>7</v>
      </c>
      <c r="D64" s="8" t="s">
        <v>133</v>
      </c>
      <c r="E64" s="8"/>
      <c r="F64" s="8"/>
      <c r="G64" s="87">
        <v>1000000</v>
      </c>
      <c r="H64" s="87">
        <v>1000000</v>
      </c>
      <c r="I64" s="86">
        <f>H64/G64*100</f>
        <v>100</v>
      </c>
    </row>
    <row r="65" spans="1:9" ht="15">
      <c r="A65" s="9"/>
      <c r="B65" s="9" t="s">
        <v>8</v>
      </c>
      <c r="C65" s="9" t="s">
        <v>134</v>
      </c>
      <c r="D65" s="9"/>
      <c r="E65" s="9"/>
      <c r="F65" s="9"/>
      <c r="G65" s="91"/>
      <c r="H65" s="91"/>
      <c r="I65" s="86"/>
    </row>
    <row r="66" spans="1:9" ht="15">
      <c r="A66" s="8"/>
      <c r="B66" s="8"/>
      <c r="C66" s="8" t="s">
        <v>7</v>
      </c>
      <c r="D66" s="8" t="s">
        <v>135</v>
      </c>
      <c r="E66" s="8"/>
      <c r="F66" s="8"/>
      <c r="G66" s="87">
        <v>200000</v>
      </c>
      <c r="H66" s="87">
        <v>200000</v>
      </c>
      <c r="I66" s="86">
        <f>H66/G66*100</f>
        <v>100</v>
      </c>
    </row>
    <row r="67" spans="1:9" ht="15">
      <c r="A67" s="9"/>
      <c r="B67" s="9" t="s">
        <v>10</v>
      </c>
      <c r="C67" s="9" t="s">
        <v>136</v>
      </c>
      <c r="D67" s="9"/>
      <c r="E67" s="9"/>
      <c r="F67" s="9"/>
      <c r="G67" s="91"/>
      <c r="H67" s="91"/>
      <c r="I67" s="86"/>
    </row>
    <row r="68" spans="1:9" ht="15">
      <c r="A68" s="8"/>
      <c r="B68" s="8"/>
      <c r="C68" s="9" t="s">
        <v>7</v>
      </c>
      <c r="D68" s="8" t="s">
        <v>138</v>
      </c>
      <c r="E68" s="8"/>
      <c r="F68" s="8"/>
      <c r="G68" s="87">
        <v>10000</v>
      </c>
      <c r="H68" s="87">
        <v>10000</v>
      </c>
      <c r="I68" s="86">
        <f>H68/G68*100</f>
        <v>100</v>
      </c>
    </row>
    <row r="69" spans="1:9" ht="15">
      <c r="A69" s="8"/>
      <c r="B69" s="8"/>
      <c r="C69" s="9" t="s">
        <v>9</v>
      </c>
      <c r="D69" s="8" t="s">
        <v>139</v>
      </c>
      <c r="E69" s="8"/>
      <c r="F69" s="8"/>
      <c r="G69" s="87">
        <v>10000</v>
      </c>
      <c r="H69" s="87">
        <v>10000</v>
      </c>
      <c r="I69" s="86">
        <f>H69/G69*100</f>
        <v>100</v>
      </c>
    </row>
    <row r="70" spans="1:9" ht="15">
      <c r="A70" s="9" t="s">
        <v>140</v>
      </c>
      <c r="B70" s="103"/>
      <c r="C70" s="103"/>
      <c r="D70" s="103"/>
      <c r="E70" s="103"/>
      <c r="F70" s="103"/>
      <c r="G70" s="89">
        <f>SUM(G62:G69)</f>
        <v>1320000</v>
      </c>
      <c r="H70" s="89">
        <f>SUM(H62:H69)</f>
        <v>1320000</v>
      </c>
      <c r="I70" s="90">
        <f>H70/G70*100</f>
        <v>100</v>
      </c>
    </row>
    <row r="71" spans="1:9" ht="15">
      <c r="A71" s="9" t="s">
        <v>141</v>
      </c>
      <c r="B71" s="9" t="s">
        <v>82</v>
      </c>
      <c r="C71" s="9"/>
      <c r="D71" s="9"/>
      <c r="E71" s="9"/>
      <c r="F71" s="9"/>
      <c r="G71" s="9"/>
      <c r="H71" s="91"/>
      <c r="I71" s="86"/>
    </row>
    <row r="72" spans="1:9" ht="15">
      <c r="A72" s="103"/>
      <c r="B72" s="103" t="s">
        <v>7</v>
      </c>
      <c r="C72" s="335" t="s">
        <v>142</v>
      </c>
      <c r="D72" s="335"/>
      <c r="E72" s="335"/>
      <c r="F72" s="335"/>
      <c r="G72" s="88"/>
      <c r="H72" s="88"/>
      <c r="I72" s="86"/>
    </row>
    <row r="73" spans="1:9" ht="13.5" customHeight="1">
      <c r="A73" s="103"/>
      <c r="B73" s="103"/>
      <c r="C73" s="108" t="s">
        <v>7</v>
      </c>
      <c r="D73" s="108" t="s">
        <v>143</v>
      </c>
      <c r="E73" s="108"/>
      <c r="F73" s="108"/>
      <c r="G73" s="88">
        <v>578000</v>
      </c>
      <c r="H73" s="88">
        <f>568000+23622+10000</f>
        <v>601622</v>
      </c>
      <c r="I73" s="86">
        <f>H73/G73*100</f>
        <v>104.08685121107266</v>
      </c>
    </row>
    <row r="74" spans="1:9" ht="15">
      <c r="A74" s="103"/>
      <c r="B74" s="103"/>
      <c r="C74" s="108" t="s">
        <v>8</v>
      </c>
      <c r="D74" s="108" t="s">
        <v>144</v>
      </c>
      <c r="E74" s="108"/>
      <c r="F74" s="108"/>
      <c r="G74" s="88">
        <v>567000</v>
      </c>
      <c r="H74" s="88">
        <v>534881</v>
      </c>
      <c r="I74" s="86">
        <f>H74/G74*100</f>
        <v>94.33527336860669</v>
      </c>
    </row>
    <row r="75" spans="1:9" ht="13.5" customHeight="1">
      <c r="A75" s="103"/>
      <c r="B75" s="103"/>
      <c r="C75" s="108" t="s">
        <v>9</v>
      </c>
      <c r="D75" s="108" t="s">
        <v>145</v>
      </c>
      <c r="E75" s="103"/>
      <c r="F75" s="103"/>
      <c r="G75" s="88">
        <v>2000</v>
      </c>
      <c r="H75" s="88">
        <v>2000</v>
      </c>
      <c r="I75" s="86">
        <f>H75/G75*100</f>
        <v>100</v>
      </c>
    </row>
    <row r="76" spans="1:9" ht="15">
      <c r="A76" s="103"/>
      <c r="B76" s="103"/>
      <c r="C76" s="108" t="s">
        <v>10</v>
      </c>
      <c r="D76" s="108" t="s">
        <v>292</v>
      </c>
      <c r="E76" s="103"/>
      <c r="F76" s="103"/>
      <c r="G76" s="88"/>
      <c r="H76" s="88">
        <f>159738+144074+74218</f>
        <v>378030</v>
      </c>
      <c r="I76" s="86"/>
    </row>
    <row r="77" spans="1:9" ht="12.75" customHeight="1">
      <c r="A77" s="103"/>
      <c r="B77" s="103"/>
      <c r="C77" s="108" t="s">
        <v>11</v>
      </c>
      <c r="D77" s="108" t="s">
        <v>295</v>
      </c>
      <c r="E77" s="103"/>
      <c r="F77" s="103"/>
      <c r="G77" s="88"/>
      <c r="H77" s="88">
        <f>228520+9323670</f>
        <v>9552190</v>
      </c>
      <c r="I77" s="86"/>
    </row>
    <row r="78" spans="1:9" ht="15.75" customHeight="1">
      <c r="A78" s="9" t="s">
        <v>146</v>
      </c>
      <c r="B78" s="103"/>
      <c r="C78" s="103"/>
      <c r="D78" s="103"/>
      <c r="E78" s="103"/>
      <c r="F78" s="103"/>
      <c r="G78" s="89">
        <f>G73+G74+G75</f>
        <v>1147000</v>
      </c>
      <c r="H78" s="89">
        <f>H73+H74+H75+H76+H77</f>
        <v>11068723</v>
      </c>
      <c r="I78" s="90">
        <f>H78/G78*100</f>
        <v>965.0150828247602</v>
      </c>
    </row>
    <row r="79" spans="1:9" ht="6" customHeight="1" hidden="1">
      <c r="A79" s="9"/>
      <c r="B79" s="103"/>
      <c r="C79" s="103"/>
      <c r="D79" s="103"/>
      <c r="E79" s="103"/>
      <c r="F79" s="103"/>
      <c r="G79" s="89"/>
      <c r="H79" s="89"/>
      <c r="I79" s="90"/>
    </row>
    <row r="80" spans="1:9" ht="17.25" customHeight="1">
      <c r="A80" s="9" t="s">
        <v>147</v>
      </c>
      <c r="B80" s="9"/>
      <c r="C80" s="9"/>
      <c r="D80" s="9"/>
      <c r="E80" s="9"/>
      <c r="F80" s="9"/>
      <c r="G80" s="94">
        <f>G53+G59+G70+G78</f>
        <v>15015421</v>
      </c>
      <c r="H80" s="94">
        <f>H53+H59+H70+H78</f>
        <v>64276012</v>
      </c>
      <c r="I80" s="90">
        <f>H80/G80*100</f>
        <v>428.0666655966556</v>
      </c>
    </row>
    <row r="81" spans="1:9" ht="9" customHeight="1">
      <c r="A81" s="9"/>
      <c r="B81" s="9"/>
      <c r="C81" s="9"/>
      <c r="D81" s="9"/>
      <c r="E81" s="9"/>
      <c r="F81" s="9"/>
      <c r="G81" s="94"/>
      <c r="H81" s="94"/>
      <c r="I81" s="90"/>
    </row>
    <row r="82" spans="1:9" ht="15">
      <c r="A82" s="9" t="s">
        <v>148</v>
      </c>
      <c r="B82" s="313" t="s">
        <v>149</v>
      </c>
      <c r="C82" s="313"/>
      <c r="D82" s="313"/>
      <c r="E82" s="313"/>
      <c r="F82" s="313"/>
      <c r="G82" s="9"/>
      <c r="H82" s="85"/>
      <c r="I82" s="90"/>
    </row>
    <row r="83" spans="1:9" ht="15">
      <c r="A83" s="9"/>
      <c r="B83" s="100" t="s">
        <v>7</v>
      </c>
      <c r="C83" s="313" t="s">
        <v>195</v>
      </c>
      <c r="D83" s="313"/>
      <c r="E83" s="313"/>
      <c r="F83" s="313"/>
      <c r="G83" s="88"/>
      <c r="H83" s="85"/>
      <c r="I83" s="90"/>
    </row>
    <row r="84" spans="1:9" ht="15">
      <c r="A84" s="9"/>
      <c r="B84" s="100"/>
      <c r="C84" s="120" t="s">
        <v>7</v>
      </c>
      <c r="D84" s="329" t="s">
        <v>200</v>
      </c>
      <c r="E84" s="329"/>
      <c r="F84" s="329"/>
      <c r="G84" s="285">
        <v>941638</v>
      </c>
      <c r="H84" s="285">
        <f>498541+2950000+692190+130000-10000+72787+400000+10526035</f>
        <v>15259553</v>
      </c>
      <c r="I84" s="90">
        <f>H84/G84*100</f>
        <v>1620.5328374598305</v>
      </c>
    </row>
    <row r="85" spans="1:9" ht="14.25">
      <c r="A85" s="9" t="s">
        <v>149</v>
      </c>
      <c r="B85" s="9"/>
      <c r="C85" s="9"/>
      <c r="D85" s="9"/>
      <c r="E85" s="9"/>
      <c r="F85" s="9"/>
      <c r="G85" s="94">
        <f>G84</f>
        <v>941638</v>
      </c>
      <c r="H85" s="94">
        <f>H84</f>
        <v>15259553</v>
      </c>
      <c r="I85" s="90">
        <f>H85/G85*100</f>
        <v>1620.5328374598305</v>
      </c>
    </row>
    <row r="86" spans="1:9" ht="6" customHeight="1">
      <c r="A86" s="9"/>
      <c r="B86" s="9"/>
      <c r="C86" s="9"/>
      <c r="D86" s="9"/>
      <c r="E86" s="9"/>
      <c r="F86" s="9"/>
      <c r="G86" s="94"/>
      <c r="H86" s="94"/>
      <c r="I86" s="90"/>
    </row>
    <row r="87" spans="1:9" ht="15.75">
      <c r="A87" s="10" t="s">
        <v>150</v>
      </c>
      <c r="B87" s="10"/>
      <c r="C87" s="10"/>
      <c r="D87" s="10"/>
      <c r="E87" s="10"/>
      <c r="F87" s="10"/>
      <c r="G87" s="122">
        <f>G80+G85</f>
        <v>15957059</v>
      </c>
      <c r="H87" s="122">
        <f>H80+H85</f>
        <v>79535565</v>
      </c>
      <c r="I87" s="92">
        <f>H87/G87*100</f>
        <v>498.4349872993514</v>
      </c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</sheetData>
  <sheetProtection/>
  <mergeCells count="42">
    <mergeCell ref="L60:S60"/>
    <mergeCell ref="D49:F49"/>
    <mergeCell ref="B52:F52"/>
    <mergeCell ref="A53:F53"/>
    <mergeCell ref="D50:F50"/>
    <mergeCell ref="E33:F33"/>
    <mergeCell ref="E31:F31"/>
    <mergeCell ref="B82:F82"/>
    <mergeCell ref="C83:F83"/>
    <mergeCell ref="C72:F72"/>
    <mergeCell ref="B46:F46"/>
    <mergeCell ref="B47:F47"/>
    <mergeCell ref="D84:F84"/>
    <mergeCell ref="B54:F54"/>
    <mergeCell ref="C55:F55"/>
    <mergeCell ref="C59:F59"/>
    <mergeCell ref="E42:F42"/>
    <mergeCell ref="D13:F13"/>
    <mergeCell ref="E41:F41"/>
    <mergeCell ref="D58:F58"/>
    <mergeCell ref="D51:F51"/>
    <mergeCell ref="E29:F29"/>
    <mergeCell ref="H7:I7"/>
    <mergeCell ref="A8:F10"/>
    <mergeCell ref="B11:F11"/>
    <mergeCell ref="B39:F39"/>
    <mergeCell ref="E28:F28"/>
    <mergeCell ref="C34:F34"/>
    <mergeCell ref="B36:F36"/>
    <mergeCell ref="E37:F37"/>
    <mergeCell ref="E30:F30"/>
    <mergeCell ref="E32:F32"/>
    <mergeCell ref="A1:I1"/>
    <mergeCell ref="A2:I2"/>
    <mergeCell ref="E14:F14"/>
    <mergeCell ref="E15:F15"/>
    <mergeCell ref="A25:F26"/>
    <mergeCell ref="B27:F27"/>
    <mergeCell ref="A3:I3"/>
    <mergeCell ref="A4:I4"/>
    <mergeCell ref="A5:I5"/>
    <mergeCell ref="A6:I6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80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60" zoomScalePageLayoutView="0" workbookViewId="0" topLeftCell="A1">
      <selection activeCell="D33" sqref="D33"/>
    </sheetView>
  </sheetViews>
  <sheetFormatPr defaultColWidth="9.00390625" defaultRowHeight="12.75"/>
  <cols>
    <col min="3" max="3" width="53.625" style="0" customWidth="1"/>
    <col min="4" max="4" width="14.375" style="0" customWidth="1"/>
    <col min="5" max="5" width="15.00390625" style="0" customWidth="1"/>
    <col min="6" max="6" width="19.00390625" style="0" customWidth="1"/>
    <col min="7" max="7" width="25.375" style="0" customWidth="1"/>
  </cols>
  <sheetData>
    <row r="1" spans="1:9" ht="12.75">
      <c r="A1" s="306" t="s">
        <v>392</v>
      </c>
      <c r="B1" s="306"/>
      <c r="C1" s="306"/>
      <c r="D1" s="306"/>
      <c r="E1" s="306"/>
      <c r="F1" s="306"/>
      <c r="G1" s="306"/>
      <c r="H1" s="228"/>
      <c r="I1" s="228"/>
    </row>
    <row r="2" spans="1:16" ht="15.75">
      <c r="A2" s="339" t="s">
        <v>335</v>
      </c>
      <c r="B2" s="312"/>
      <c r="C2" s="312"/>
      <c r="D2" s="312"/>
      <c r="E2" s="312"/>
      <c r="F2" s="312"/>
      <c r="G2" s="312"/>
      <c r="H2" s="124"/>
      <c r="I2" s="126"/>
      <c r="J2" s="126"/>
      <c r="K2" s="126"/>
      <c r="L2" s="126"/>
      <c r="M2" s="126"/>
      <c r="N2" s="126"/>
      <c r="O2" s="126"/>
      <c r="P2" s="126"/>
    </row>
    <row r="3" spans="2:16" ht="15.75"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</row>
    <row r="4" spans="2:16" ht="15.75"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2:16" ht="15.75">
      <c r="B5" s="346"/>
      <c r="C5" s="347"/>
      <c r="D5" s="347"/>
      <c r="E5" s="347"/>
      <c r="F5" s="347"/>
      <c r="G5" s="347"/>
      <c r="H5" s="224"/>
      <c r="I5" s="224"/>
      <c r="J5" s="224"/>
      <c r="K5" s="224"/>
      <c r="L5" s="224"/>
      <c r="M5" s="224"/>
      <c r="N5" s="224"/>
      <c r="O5" s="224"/>
      <c r="P5" s="224"/>
    </row>
    <row r="6" spans="2:16" ht="15.75">
      <c r="B6" s="345" t="s">
        <v>249</v>
      </c>
      <c r="C6" s="345"/>
      <c r="D6" s="345"/>
      <c r="E6" s="345"/>
      <c r="F6" s="345"/>
      <c r="G6" s="345"/>
      <c r="H6" s="128"/>
      <c r="I6" s="128"/>
      <c r="J6" s="128"/>
      <c r="K6" s="128"/>
      <c r="L6" s="128"/>
      <c r="M6" s="128"/>
      <c r="N6" s="128"/>
      <c r="O6" s="128"/>
      <c r="P6" s="128"/>
    </row>
    <row r="7" spans="2:16" ht="15.75">
      <c r="B7" s="345" t="s">
        <v>250</v>
      </c>
      <c r="C7" s="345"/>
      <c r="D7" s="345"/>
      <c r="E7" s="345"/>
      <c r="F7" s="345"/>
      <c r="G7" s="345"/>
      <c r="H7" s="128"/>
      <c r="I7" s="128"/>
      <c r="J7" s="128"/>
      <c r="K7" s="128"/>
      <c r="L7" s="128"/>
      <c r="M7" s="128"/>
      <c r="N7" s="128"/>
      <c r="O7" s="128"/>
      <c r="P7" s="128"/>
    </row>
    <row r="8" spans="2:16" ht="15.75">
      <c r="B8" s="345" t="s">
        <v>287</v>
      </c>
      <c r="C8" s="345"/>
      <c r="D8" s="345"/>
      <c r="E8" s="345"/>
      <c r="F8" s="345"/>
      <c r="G8" s="345"/>
      <c r="H8" s="128"/>
      <c r="I8" s="128"/>
      <c r="J8" s="128"/>
      <c r="K8" s="128"/>
      <c r="L8" s="128"/>
      <c r="M8" s="128"/>
      <c r="N8" s="128"/>
      <c r="O8" s="128"/>
      <c r="P8" s="128"/>
    </row>
    <row r="9" spans="2:16" ht="16.5" thickBot="1">
      <c r="B9" s="127"/>
      <c r="C9" s="127"/>
      <c r="D9" s="127"/>
      <c r="E9" s="127"/>
      <c r="F9" s="127"/>
      <c r="G9" s="129" t="s">
        <v>288</v>
      </c>
      <c r="H9" s="127"/>
      <c r="I9" s="127"/>
      <c r="J9" s="130"/>
      <c r="K9" s="127"/>
      <c r="L9" s="127"/>
      <c r="M9" s="127"/>
      <c r="N9" s="130"/>
      <c r="O9" s="130"/>
      <c r="P9" s="127"/>
    </row>
    <row r="10" spans="1:16" ht="16.5" thickBot="1">
      <c r="A10" s="340" t="s">
        <v>296</v>
      </c>
      <c r="B10" s="348" t="s">
        <v>251</v>
      </c>
      <c r="C10" s="351" t="s">
        <v>153</v>
      </c>
      <c r="D10" s="354" t="s">
        <v>252</v>
      </c>
      <c r="E10" s="357" t="s">
        <v>253</v>
      </c>
      <c r="F10" s="358"/>
      <c r="G10" s="359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15.75">
      <c r="A11" s="341"/>
      <c r="B11" s="349"/>
      <c r="C11" s="352"/>
      <c r="D11" s="355"/>
      <c r="E11" s="360" t="s">
        <v>254</v>
      </c>
      <c r="F11" s="360" t="s">
        <v>255</v>
      </c>
      <c r="G11" s="361" t="s">
        <v>256</v>
      </c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6" ht="16.5" thickBot="1">
      <c r="A12" s="341"/>
      <c r="B12" s="349"/>
      <c r="C12" s="352"/>
      <c r="D12" s="355"/>
      <c r="E12" s="360"/>
      <c r="F12" s="360"/>
      <c r="G12" s="36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5.75">
      <c r="A13" s="341"/>
      <c r="B13" s="349"/>
      <c r="C13" s="352"/>
      <c r="D13" s="355"/>
      <c r="E13" s="362" t="s">
        <v>257</v>
      </c>
      <c r="F13" s="363"/>
      <c r="G13" s="364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ht="19.5" customHeight="1" thickBot="1">
      <c r="A14" s="342"/>
      <c r="B14" s="350"/>
      <c r="C14" s="353"/>
      <c r="D14" s="356"/>
      <c r="E14" s="365"/>
      <c r="F14" s="366"/>
      <c r="G14" s="367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 ht="31.5">
      <c r="A15" s="259" t="s">
        <v>7</v>
      </c>
      <c r="B15" s="132" t="s">
        <v>163</v>
      </c>
      <c r="C15" s="133" t="s">
        <v>164</v>
      </c>
      <c r="D15" s="261">
        <f aca="true" t="shared" si="0" ref="D15:D23">E15+F15+G15</f>
        <v>223010</v>
      </c>
      <c r="E15" s="262">
        <f>2000+221010</f>
        <v>223010</v>
      </c>
      <c r="F15" s="262"/>
      <c r="G15" s="263"/>
      <c r="H15" s="135"/>
      <c r="I15" s="135"/>
      <c r="J15" s="136"/>
      <c r="K15" s="137"/>
      <c r="L15" s="19"/>
      <c r="M15" s="19"/>
      <c r="N15" s="136"/>
      <c r="O15" s="136"/>
      <c r="P15" s="19"/>
    </row>
    <row r="16" spans="1:16" ht="15.75">
      <c r="A16" s="260" t="s">
        <v>8</v>
      </c>
      <c r="B16" s="138" t="s">
        <v>258</v>
      </c>
      <c r="C16" s="139" t="s">
        <v>259</v>
      </c>
      <c r="D16" s="264">
        <f t="shared" si="0"/>
        <v>15273322</v>
      </c>
      <c r="E16" s="265">
        <f>13948524-1485000+63336+1000000+65336+55360+661875+55000+32666+220625+300000+355600</f>
        <v>15273322</v>
      </c>
      <c r="F16" s="265"/>
      <c r="G16" s="266"/>
      <c r="H16" s="135"/>
      <c r="I16" s="135"/>
      <c r="J16" s="136"/>
      <c r="K16" s="19"/>
      <c r="L16" s="19"/>
      <c r="M16" s="19"/>
      <c r="N16" s="136"/>
      <c r="O16" s="136"/>
      <c r="P16" s="19"/>
    </row>
    <row r="17" spans="1:16" ht="15.75">
      <c r="A17" s="260" t="s">
        <v>9</v>
      </c>
      <c r="B17" s="138" t="s">
        <v>293</v>
      </c>
      <c r="C17" s="139" t="s">
        <v>294</v>
      </c>
      <c r="D17" s="264">
        <f t="shared" si="0"/>
        <v>15259553</v>
      </c>
      <c r="E17" s="265">
        <f>4260731+10998822</f>
        <v>15259553</v>
      </c>
      <c r="F17" s="265"/>
      <c r="G17" s="266"/>
      <c r="H17" s="135"/>
      <c r="I17" s="135"/>
      <c r="J17" s="136"/>
      <c r="K17" s="19"/>
      <c r="L17" s="19"/>
      <c r="M17" s="19"/>
      <c r="N17" s="136"/>
      <c r="O17" s="136"/>
      <c r="P17" s="19"/>
    </row>
    <row r="18" spans="1:16" ht="15.75">
      <c r="A18" s="260"/>
      <c r="B18" s="138" t="s">
        <v>341</v>
      </c>
      <c r="C18" s="139" t="s">
        <v>342</v>
      </c>
      <c r="D18" s="264">
        <f t="shared" si="0"/>
        <v>1808646</v>
      </c>
      <c r="E18" s="265">
        <f>722670+723984+361992</f>
        <v>1808646</v>
      </c>
      <c r="F18" s="265"/>
      <c r="G18" s="266"/>
      <c r="H18" s="135"/>
      <c r="I18" s="135"/>
      <c r="J18" s="136"/>
      <c r="K18" s="19"/>
      <c r="L18" s="19"/>
      <c r="M18" s="19"/>
      <c r="N18" s="136"/>
      <c r="O18" s="136"/>
      <c r="P18" s="19"/>
    </row>
    <row r="19" spans="1:16" ht="16.5">
      <c r="A19" s="260" t="s">
        <v>10</v>
      </c>
      <c r="B19" s="75" t="s">
        <v>171</v>
      </c>
      <c r="C19" s="79" t="s">
        <v>172</v>
      </c>
      <c r="D19" s="264">
        <f t="shared" si="0"/>
        <v>43929999</v>
      </c>
      <c r="E19" s="265">
        <v>43929999</v>
      </c>
      <c r="F19" s="265"/>
      <c r="G19" s="266"/>
      <c r="H19" s="135"/>
      <c r="I19" s="135"/>
      <c r="J19" s="136"/>
      <c r="K19" s="19"/>
      <c r="L19" s="19"/>
      <c r="M19" s="19"/>
      <c r="N19" s="136"/>
      <c r="O19" s="136"/>
      <c r="P19" s="19"/>
    </row>
    <row r="20" spans="1:16" ht="15.75">
      <c r="A20" s="260" t="s">
        <v>11</v>
      </c>
      <c r="B20" s="138" t="s">
        <v>175</v>
      </c>
      <c r="C20" s="139" t="s">
        <v>176</v>
      </c>
      <c r="D20" s="264">
        <f t="shared" si="0"/>
        <v>761360</v>
      </c>
      <c r="E20" s="265"/>
      <c r="F20" s="265">
        <v>761360</v>
      </c>
      <c r="G20" s="266"/>
      <c r="H20" s="135"/>
      <c r="I20" s="135"/>
      <c r="J20" s="136"/>
      <c r="K20" s="19"/>
      <c r="L20" s="19"/>
      <c r="M20" s="19"/>
      <c r="N20" s="136"/>
      <c r="O20" s="136"/>
      <c r="P20" s="19"/>
    </row>
    <row r="21" spans="1:16" ht="15.75">
      <c r="A21" s="260" t="s">
        <v>12</v>
      </c>
      <c r="B21" s="138">
        <v>104051</v>
      </c>
      <c r="C21" s="139" t="s">
        <v>266</v>
      </c>
      <c r="D21" s="264">
        <f t="shared" si="0"/>
        <v>52200</v>
      </c>
      <c r="E21" s="265"/>
      <c r="F21" s="265"/>
      <c r="G21" s="266">
        <v>52200</v>
      </c>
      <c r="H21" s="135"/>
      <c r="I21" s="135"/>
      <c r="J21" s="136"/>
      <c r="K21" s="19"/>
      <c r="L21" s="19"/>
      <c r="M21" s="19"/>
      <c r="N21" s="136"/>
      <c r="O21" s="136"/>
      <c r="P21" s="19"/>
    </row>
    <row r="22" spans="1:16" ht="15.75">
      <c r="A22" s="260" t="s">
        <v>14</v>
      </c>
      <c r="B22" s="138">
        <v>107051</v>
      </c>
      <c r="C22" s="139" t="s">
        <v>183</v>
      </c>
      <c r="D22" s="264">
        <f t="shared" si="0"/>
        <v>907475</v>
      </c>
      <c r="E22" s="267">
        <v>907475</v>
      </c>
      <c r="F22" s="265"/>
      <c r="G22" s="266"/>
      <c r="H22" s="135"/>
      <c r="I22" s="135"/>
      <c r="J22" s="136"/>
      <c r="K22" s="19"/>
      <c r="L22" s="19"/>
      <c r="M22" s="19"/>
      <c r="N22" s="136"/>
      <c r="O22" s="136"/>
      <c r="P22" s="19"/>
    </row>
    <row r="23" spans="1:16" ht="32.25" thickBot="1">
      <c r="A23" s="269" t="s">
        <v>15</v>
      </c>
      <c r="B23" s="138">
        <v>900020</v>
      </c>
      <c r="C23" s="139" t="s">
        <v>267</v>
      </c>
      <c r="D23" s="264">
        <f t="shared" si="0"/>
        <v>1320000</v>
      </c>
      <c r="E23" s="268">
        <v>1320000</v>
      </c>
      <c r="F23" s="265"/>
      <c r="G23" s="266"/>
      <c r="H23" s="135"/>
      <c r="I23" s="135"/>
      <c r="J23" s="136"/>
      <c r="K23" s="19"/>
      <c r="L23" s="19"/>
      <c r="M23" s="19"/>
      <c r="N23" s="136"/>
      <c r="O23" s="136"/>
      <c r="P23" s="19"/>
    </row>
    <row r="24" spans="1:16" ht="16.5" thickBot="1">
      <c r="A24" s="270" t="s">
        <v>16</v>
      </c>
      <c r="B24" s="142"/>
      <c r="C24" s="143" t="s">
        <v>220</v>
      </c>
      <c r="D24" s="144">
        <f>SUM(D15:D23)</f>
        <v>79535565</v>
      </c>
      <c r="E24" s="145">
        <f>SUM(E15:E23)</f>
        <v>78722005</v>
      </c>
      <c r="F24" s="146">
        <f>SUM(F15:F23)</f>
        <v>761360</v>
      </c>
      <c r="G24" s="144">
        <f>SUM(G15:G23)</f>
        <v>52200</v>
      </c>
      <c r="H24" s="135"/>
      <c r="I24" s="135"/>
      <c r="J24" s="147"/>
      <c r="K24" s="135"/>
      <c r="L24" s="135"/>
      <c r="M24" s="135"/>
      <c r="N24" s="147"/>
      <c r="O24" s="135"/>
      <c r="P24" s="135"/>
    </row>
    <row r="25" spans="2:16" ht="15.75">
      <c r="B25" s="126"/>
      <c r="C25" s="126"/>
      <c r="D25" s="126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2:16" ht="15.75">
      <c r="B26" s="126"/>
      <c r="C26" s="126"/>
      <c r="D26" s="126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</row>
    <row r="27" spans="2:16" ht="15.75">
      <c r="B27" s="14"/>
      <c r="C27" s="149"/>
      <c r="D27" s="14"/>
      <c r="E27" s="19"/>
      <c r="F27" s="19"/>
      <c r="G27" s="19"/>
      <c r="H27" s="19"/>
      <c r="I27" s="19"/>
      <c r="J27" s="136"/>
      <c r="K27" s="19"/>
      <c r="L27" s="19"/>
      <c r="M27" s="19"/>
      <c r="N27" s="136"/>
      <c r="O27" s="136"/>
      <c r="P27" s="19"/>
    </row>
    <row r="28" spans="2:16" ht="15.75">
      <c r="B28" s="126"/>
      <c r="C28" s="126"/>
      <c r="D28" s="126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2:16" ht="15.75">
      <c r="B29" s="126"/>
      <c r="C29" s="126"/>
      <c r="D29" s="126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2:16" ht="12.75">
      <c r="B30" s="150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</sheetData>
  <sheetProtection/>
  <mergeCells count="17">
    <mergeCell ref="C10:C14"/>
    <mergeCell ref="D10:D14"/>
    <mergeCell ref="E10:G10"/>
    <mergeCell ref="E11:E12"/>
    <mergeCell ref="F11:F12"/>
    <mergeCell ref="G11:G12"/>
    <mergeCell ref="E13:G14"/>
    <mergeCell ref="A1:G1"/>
    <mergeCell ref="A2:G2"/>
    <mergeCell ref="A10:A14"/>
    <mergeCell ref="B3:P3"/>
    <mergeCell ref="B4:P4"/>
    <mergeCell ref="B6:G6"/>
    <mergeCell ref="B7:G7"/>
    <mergeCell ref="B8:G8"/>
    <mergeCell ref="B5:G5"/>
    <mergeCell ref="B10:B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60" zoomScaleNormal="90" zoomScalePageLayoutView="0" workbookViewId="0" topLeftCell="A1">
      <selection activeCell="B6" sqref="B6:S6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2.25390625" style="0" customWidth="1"/>
    <col min="5" max="6" width="9.25390625" style="0" bestFit="1" customWidth="1"/>
    <col min="7" max="7" width="10.125" style="0" customWidth="1"/>
    <col min="8" max="8" width="9.25390625" style="0" bestFit="1" customWidth="1"/>
    <col min="9" max="9" width="9.875" style="0" bestFit="1" customWidth="1"/>
    <col min="10" max="10" width="10.875" style="0" customWidth="1"/>
    <col min="11" max="11" width="10.75390625" style="0" customWidth="1"/>
    <col min="12" max="12" width="8.25390625" style="0" customWidth="1"/>
    <col min="13" max="13" width="9.25390625" style="0" bestFit="1" customWidth="1"/>
    <col min="14" max="14" width="10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25390625" style="0" bestFit="1" customWidth="1"/>
    <col min="19" max="19" width="5.25390625" style="0" customWidth="1"/>
  </cols>
  <sheetData>
    <row r="1" spans="1:19" ht="12.75">
      <c r="A1" s="306" t="s">
        <v>393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19" ht="16.5">
      <c r="A2" s="368" t="s">
        <v>336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</row>
    <row r="3" spans="2:19" ht="16.5" customHeight="1"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</row>
    <row r="4" spans="2:19" ht="18">
      <c r="B4" s="372" t="s">
        <v>151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</row>
    <row r="5" spans="2:19" ht="18">
      <c r="B5" s="372" t="s">
        <v>186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</row>
    <row r="6" spans="2:19" ht="18">
      <c r="B6" s="372" t="s">
        <v>287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2:19" ht="17.25" thickBot="1">
      <c r="B7" s="15"/>
      <c r="C7" s="15"/>
      <c r="D7" s="15"/>
      <c r="E7" s="15"/>
      <c r="F7" s="15"/>
      <c r="G7" s="15"/>
      <c r="H7" s="15"/>
      <c r="I7" s="15"/>
      <c r="J7" s="72"/>
      <c r="K7" s="15"/>
      <c r="L7" s="15"/>
      <c r="M7" s="15"/>
      <c r="N7" s="72"/>
      <c r="O7" s="72"/>
      <c r="P7" s="15"/>
      <c r="Q7" s="13"/>
      <c r="R7" s="13" t="s">
        <v>288</v>
      </c>
      <c r="S7" s="20"/>
    </row>
    <row r="8" spans="1:19" ht="17.25" thickBot="1">
      <c r="A8" s="369" t="s">
        <v>296</v>
      </c>
      <c r="B8" s="394" t="s">
        <v>152</v>
      </c>
      <c r="C8" s="396" t="s">
        <v>153</v>
      </c>
      <c r="D8" s="373" t="s">
        <v>154</v>
      </c>
      <c r="E8" s="400" t="s">
        <v>155</v>
      </c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379" t="s">
        <v>329</v>
      </c>
    </row>
    <row r="9" spans="1:19" ht="17.25" thickBot="1">
      <c r="A9" s="370"/>
      <c r="B9" s="395"/>
      <c r="C9" s="397"/>
      <c r="D9" s="374"/>
      <c r="E9" s="381" t="s">
        <v>156</v>
      </c>
      <c r="F9" s="382"/>
      <c r="G9" s="382"/>
      <c r="H9" s="382"/>
      <c r="I9" s="382"/>
      <c r="J9" s="383"/>
      <c r="K9" s="400" t="s">
        <v>157</v>
      </c>
      <c r="L9" s="401"/>
      <c r="M9" s="401"/>
      <c r="N9" s="407"/>
      <c r="O9" s="384" t="s">
        <v>32</v>
      </c>
      <c r="P9" s="384"/>
      <c r="Q9" s="384"/>
      <c r="R9" s="384"/>
      <c r="S9" s="380"/>
    </row>
    <row r="10" spans="1:19" ht="12.75">
      <c r="A10" s="370"/>
      <c r="B10" s="395"/>
      <c r="C10" s="397"/>
      <c r="D10" s="398"/>
      <c r="E10" s="373" t="s">
        <v>18</v>
      </c>
      <c r="F10" s="373" t="s">
        <v>158</v>
      </c>
      <c r="G10" s="373" t="s">
        <v>21</v>
      </c>
      <c r="H10" s="373" t="s">
        <v>23</v>
      </c>
      <c r="I10" s="373" t="s">
        <v>159</v>
      </c>
      <c r="J10" s="391" t="s">
        <v>160</v>
      </c>
      <c r="K10" s="402" t="s">
        <v>26</v>
      </c>
      <c r="L10" s="402" t="s">
        <v>28</v>
      </c>
      <c r="M10" s="373" t="s">
        <v>161</v>
      </c>
      <c r="N10" s="385" t="s">
        <v>162</v>
      </c>
      <c r="O10" s="388" t="s">
        <v>280</v>
      </c>
      <c r="P10" s="373" t="s">
        <v>326</v>
      </c>
      <c r="Q10" s="373" t="s">
        <v>327</v>
      </c>
      <c r="R10" s="376" t="s">
        <v>328</v>
      </c>
      <c r="S10" s="380"/>
    </row>
    <row r="11" spans="1:19" ht="12.75">
      <c r="A11" s="370"/>
      <c r="B11" s="395"/>
      <c r="C11" s="397"/>
      <c r="D11" s="398"/>
      <c r="E11" s="374"/>
      <c r="F11" s="374"/>
      <c r="G11" s="374"/>
      <c r="H11" s="374"/>
      <c r="I11" s="374"/>
      <c r="J11" s="392"/>
      <c r="K11" s="403"/>
      <c r="L11" s="405"/>
      <c r="M11" s="374"/>
      <c r="N11" s="386"/>
      <c r="O11" s="389"/>
      <c r="P11" s="374"/>
      <c r="Q11" s="374"/>
      <c r="R11" s="377"/>
      <c r="S11" s="380"/>
    </row>
    <row r="12" spans="1:19" ht="41.25" customHeight="1" thickBot="1">
      <c r="A12" s="371"/>
      <c r="B12" s="395"/>
      <c r="C12" s="397"/>
      <c r="D12" s="399"/>
      <c r="E12" s="375"/>
      <c r="F12" s="375"/>
      <c r="G12" s="375"/>
      <c r="H12" s="375"/>
      <c r="I12" s="375"/>
      <c r="J12" s="393"/>
      <c r="K12" s="404"/>
      <c r="L12" s="406"/>
      <c r="M12" s="375"/>
      <c r="N12" s="387"/>
      <c r="O12" s="390"/>
      <c r="P12" s="375"/>
      <c r="Q12" s="375"/>
      <c r="R12" s="378"/>
      <c r="S12" s="380"/>
    </row>
    <row r="13" spans="1:19" ht="34.5" customHeight="1">
      <c r="A13" s="259" t="s">
        <v>7</v>
      </c>
      <c r="B13" s="73" t="s">
        <v>163</v>
      </c>
      <c r="C13" s="74" t="s">
        <v>164</v>
      </c>
      <c r="D13" s="230">
        <f>J13+N13</f>
        <v>18658401</v>
      </c>
      <c r="E13" s="231">
        <f>4203359+181155</f>
        <v>4384514</v>
      </c>
      <c r="F13" s="232">
        <f>954363+39855</f>
        <v>994218</v>
      </c>
      <c r="G13" s="232">
        <f>1518629+39990+10797+30000+55000-5000-25400-1546</f>
        <v>1622470</v>
      </c>
      <c r="H13" s="232"/>
      <c r="I13" s="232">
        <f>146600+400000+10492649+661875-239550-25000+220625</f>
        <v>11657199</v>
      </c>
      <c r="J13" s="233">
        <f>E13+F13+G13+H13+I13</f>
        <v>18658401</v>
      </c>
      <c r="K13" s="234"/>
      <c r="L13" s="235"/>
      <c r="M13" s="235"/>
      <c r="N13" s="233"/>
      <c r="O13" s="236"/>
      <c r="P13" s="237"/>
      <c r="Q13" s="237"/>
      <c r="R13" s="238"/>
      <c r="S13" s="239"/>
    </row>
    <row r="14" spans="1:19" ht="19.5" customHeight="1">
      <c r="A14" s="260" t="s">
        <v>8</v>
      </c>
      <c r="B14" s="75" t="s">
        <v>165</v>
      </c>
      <c r="C14" s="76" t="s">
        <v>166</v>
      </c>
      <c r="D14" s="240">
        <f aca="true" t="shared" si="0" ref="D14:D32">J14+N14</f>
        <v>91440</v>
      </c>
      <c r="E14" s="231"/>
      <c r="F14" s="232"/>
      <c r="G14" s="232">
        <v>91440</v>
      </c>
      <c r="H14" s="232"/>
      <c r="I14" s="232"/>
      <c r="J14" s="233">
        <f aca="true" t="shared" si="1" ref="J14:J33">E14+F14+G14+H14+I14</f>
        <v>91440</v>
      </c>
      <c r="K14" s="234"/>
      <c r="L14" s="235"/>
      <c r="M14" s="235"/>
      <c r="N14" s="233"/>
      <c r="O14" s="236"/>
      <c r="P14" s="237"/>
      <c r="Q14" s="237"/>
      <c r="R14" s="241"/>
      <c r="S14" s="239"/>
    </row>
    <row r="15" spans="1:19" ht="27.75" customHeight="1">
      <c r="A15" s="260" t="s">
        <v>9</v>
      </c>
      <c r="B15" s="77" t="s">
        <v>258</v>
      </c>
      <c r="C15" s="78" t="s">
        <v>269</v>
      </c>
      <c r="D15" s="240">
        <f>J15+N15+R15</f>
        <v>712123</v>
      </c>
      <c r="E15" s="231"/>
      <c r="F15" s="232"/>
      <c r="G15" s="232">
        <f>178650+1546</f>
        <v>180196</v>
      </c>
      <c r="H15" s="232"/>
      <c r="I15" s="232">
        <v>33386</v>
      </c>
      <c r="J15" s="233">
        <f>E15+F15+G15+H15+I15</f>
        <v>213582</v>
      </c>
      <c r="K15" s="234"/>
      <c r="L15" s="235"/>
      <c r="M15" s="235"/>
      <c r="N15" s="233"/>
      <c r="O15" s="236">
        <v>498541</v>
      </c>
      <c r="P15" s="237"/>
      <c r="Q15" s="237"/>
      <c r="R15" s="241">
        <f>O15+P15+Q15</f>
        <v>498541</v>
      </c>
      <c r="S15" s="239"/>
    </row>
    <row r="16" spans="1:19" ht="27.75" customHeight="1">
      <c r="A16" s="260" t="s">
        <v>10</v>
      </c>
      <c r="B16" s="77" t="s">
        <v>341</v>
      </c>
      <c r="C16" s="78" t="s">
        <v>340</v>
      </c>
      <c r="D16" s="240">
        <f>J16+N16+R16</f>
        <v>1830646</v>
      </c>
      <c r="E16" s="231">
        <f>22000+647492+652237+326120</f>
        <v>1647849</v>
      </c>
      <c r="F16" s="232">
        <f>75178+71747+35872</f>
        <v>182797</v>
      </c>
      <c r="G16" s="232"/>
      <c r="H16" s="232"/>
      <c r="I16" s="232"/>
      <c r="J16" s="233">
        <f>E16+F16+G16+H16+I16</f>
        <v>1830646</v>
      </c>
      <c r="K16" s="234"/>
      <c r="L16" s="235"/>
      <c r="M16" s="235"/>
      <c r="N16" s="233"/>
      <c r="O16" s="236"/>
      <c r="P16" s="237"/>
      <c r="Q16" s="237"/>
      <c r="R16" s="241"/>
      <c r="S16" s="239"/>
    </row>
    <row r="17" spans="1:19" ht="24" customHeight="1">
      <c r="A17" s="260" t="s">
        <v>11</v>
      </c>
      <c r="B17" s="77" t="s">
        <v>167</v>
      </c>
      <c r="C17" s="78" t="s">
        <v>168</v>
      </c>
      <c r="D17" s="240">
        <f t="shared" si="0"/>
        <v>3077000</v>
      </c>
      <c r="E17" s="231"/>
      <c r="F17" s="232"/>
      <c r="G17" s="232">
        <v>2259827</v>
      </c>
      <c r="H17" s="232"/>
      <c r="I17" s="232"/>
      <c r="J17" s="233">
        <f t="shared" si="1"/>
        <v>2259827</v>
      </c>
      <c r="K17" s="234"/>
      <c r="L17" s="235">
        <v>817173</v>
      </c>
      <c r="M17" s="235"/>
      <c r="N17" s="233">
        <f>K17+L17+M17</f>
        <v>817173</v>
      </c>
      <c r="O17" s="236"/>
      <c r="P17" s="237"/>
      <c r="Q17" s="237"/>
      <c r="R17" s="241"/>
      <c r="S17" s="239"/>
    </row>
    <row r="18" spans="1:19" s="229" customFormat="1" ht="33.75" customHeight="1">
      <c r="A18" s="260" t="s">
        <v>12</v>
      </c>
      <c r="B18" s="75" t="s">
        <v>169</v>
      </c>
      <c r="C18" s="273" t="s">
        <v>170</v>
      </c>
      <c r="D18" s="274">
        <f t="shared" si="0"/>
        <v>15240</v>
      </c>
      <c r="E18" s="275"/>
      <c r="F18" s="276"/>
      <c r="G18" s="276">
        <v>15240</v>
      </c>
      <c r="H18" s="276"/>
      <c r="I18" s="276"/>
      <c r="J18" s="278">
        <f t="shared" si="1"/>
        <v>15240</v>
      </c>
      <c r="K18" s="279"/>
      <c r="L18" s="277"/>
      <c r="M18" s="277"/>
      <c r="N18" s="278"/>
      <c r="O18" s="280"/>
      <c r="P18" s="281"/>
      <c r="Q18" s="281"/>
      <c r="R18" s="282"/>
      <c r="S18" s="283"/>
    </row>
    <row r="19" spans="1:19" s="229" customFormat="1" ht="30.75" customHeight="1">
      <c r="A19" s="260" t="s">
        <v>14</v>
      </c>
      <c r="B19" s="75" t="s">
        <v>201</v>
      </c>
      <c r="C19" s="273" t="s">
        <v>202</v>
      </c>
      <c r="D19" s="274">
        <f t="shared" si="0"/>
        <v>54483</v>
      </c>
      <c r="E19" s="275"/>
      <c r="F19" s="276"/>
      <c r="G19" s="276">
        <v>54483</v>
      </c>
      <c r="H19" s="276"/>
      <c r="I19" s="276"/>
      <c r="J19" s="278">
        <f t="shared" si="1"/>
        <v>54483</v>
      </c>
      <c r="K19" s="279"/>
      <c r="L19" s="277"/>
      <c r="M19" s="277"/>
      <c r="N19" s="278"/>
      <c r="O19" s="280"/>
      <c r="P19" s="281"/>
      <c r="Q19" s="281"/>
      <c r="R19" s="282"/>
      <c r="S19" s="283"/>
    </row>
    <row r="20" spans="1:19" ht="18.75" customHeight="1">
      <c r="A20" s="260" t="s">
        <v>15</v>
      </c>
      <c r="B20" s="75" t="s">
        <v>171</v>
      </c>
      <c r="C20" s="79" t="s">
        <v>172</v>
      </c>
      <c r="D20" s="240">
        <f t="shared" si="0"/>
        <v>43929999</v>
      </c>
      <c r="E20" s="231"/>
      <c r="F20" s="232"/>
      <c r="G20" s="232">
        <v>9590804</v>
      </c>
      <c r="H20" s="235"/>
      <c r="I20" s="232"/>
      <c r="J20" s="233">
        <f t="shared" si="1"/>
        <v>9590804</v>
      </c>
      <c r="K20" s="234">
        <v>34339195</v>
      </c>
      <c r="L20" s="235"/>
      <c r="M20" s="235"/>
      <c r="N20" s="233">
        <f>K20+L20+M20</f>
        <v>34339195</v>
      </c>
      <c r="O20" s="236"/>
      <c r="P20" s="237"/>
      <c r="Q20" s="237"/>
      <c r="R20" s="242"/>
      <c r="S20" s="239"/>
    </row>
    <row r="21" spans="1:19" ht="18" customHeight="1">
      <c r="A21" s="260" t="s">
        <v>16</v>
      </c>
      <c r="B21" s="75" t="s">
        <v>173</v>
      </c>
      <c r="C21" s="76" t="s">
        <v>174</v>
      </c>
      <c r="D21" s="240">
        <f t="shared" si="0"/>
        <v>725937</v>
      </c>
      <c r="E21" s="231"/>
      <c r="F21" s="232"/>
      <c r="G21" s="232">
        <v>725937</v>
      </c>
      <c r="H21" s="235"/>
      <c r="I21" s="232"/>
      <c r="J21" s="233">
        <f t="shared" si="1"/>
        <v>725937</v>
      </c>
      <c r="K21" s="234"/>
      <c r="L21" s="235"/>
      <c r="M21" s="235"/>
      <c r="N21" s="233"/>
      <c r="O21" s="236"/>
      <c r="P21" s="237"/>
      <c r="Q21" s="237"/>
      <c r="R21" s="242"/>
      <c r="S21" s="239"/>
    </row>
    <row r="22" spans="1:19" s="229" customFormat="1" ht="18" customHeight="1">
      <c r="A22" s="260" t="s">
        <v>17</v>
      </c>
      <c r="B22" s="75" t="s">
        <v>175</v>
      </c>
      <c r="C22" s="273" t="s">
        <v>176</v>
      </c>
      <c r="D22" s="274">
        <f>J22+N22</f>
        <v>2706512</v>
      </c>
      <c r="E22" s="275">
        <f>1402500-1217213</f>
        <v>185287</v>
      </c>
      <c r="F22" s="276">
        <f>308550-267787</f>
        <v>40763</v>
      </c>
      <c r="G22" s="276">
        <v>557248</v>
      </c>
      <c r="H22" s="277"/>
      <c r="I22" s="276"/>
      <c r="J22" s="278">
        <f t="shared" si="1"/>
        <v>783298</v>
      </c>
      <c r="K22" s="279">
        <f>709600+1000000+213614</f>
        <v>1923214</v>
      </c>
      <c r="L22" s="277"/>
      <c r="M22" s="277"/>
      <c r="N22" s="278">
        <f>K22+L22+M22</f>
        <v>1923214</v>
      </c>
      <c r="O22" s="280"/>
      <c r="P22" s="281"/>
      <c r="Q22" s="281"/>
      <c r="R22" s="282"/>
      <c r="S22" s="283">
        <v>1</v>
      </c>
    </row>
    <row r="23" spans="1:19" ht="21" customHeight="1">
      <c r="A23" s="260" t="s">
        <v>19</v>
      </c>
      <c r="B23" s="75" t="s">
        <v>177</v>
      </c>
      <c r="C23" s="76" t="s">
        <v>178</v>
      </c>
      <c r="D23" s="240">
        <f t="shared" si="0"/>
        <v>110236</v>
      </c>
      <c r="E23" s="231"/>
      <c r="F23" s="232"/>
      <c r="G23" s="232">
        <v>110236</v>
      </c>
      <c r="H23" s="235"/>
      <c r="I23" s="232"/>
      <c r="J23" s="233">
        <f t="shared" si="1"/>
        <v>110236</v>
      </c>
      <c r="K23" s="234"/>
      <c r="L23" s="235"/>
      <c r="M23" s="235"/>
      <c r="N23" s="233"/>
      <c r="O23" s="236"/>
      <c r="P23" s="237"/>
      <c r="Q23" s="237"/>
      <c r="R23" s="242"/>
      <c r="S23" s="239"/>
    </row>
    <row r="24" spans="1:19" ht="19.5" customHeight="1">
      <c r="A24" s="260" t="s">
        <v>20</v>
      </c>
      <c r="B24" s="75" t="s">
        <v>179</v>
      </c>
      <c r="C24" s="76" t="s">
        <v>180</v>
      </c>
      <c r="D24" s="240">
        <f t="shared" si="0"/>
        <v>509015</v>
      </c>
      <c r="E24" s="231">
        <v>120000</v>
      </c>
      <c r="F24" s="232">
        <v>24210</v>
      </c>
      <c r="G24" s="232">
        <v>260919</v>
      </c>
      <c r="H24" s="232"/>
      <c r="I24" s="232"/>
      <c r="J24" s="233">
        <f t="shared" si="1"/>
        <v>405129</v>
      </c>
      <c r="K24" s="234">
        <f>317500-213614</f>
        <v>103886</v>
      </c>
      <c r="L24" s="235"/>
      <c r="M24" s="235"/>
      <c r="N24" s="233">
        <f>K24+L24+M24</f>
        <v>103886</v>
      </c>
      <c r="O24" s="236"/>
      <c r="P24" s="237"/>
      <c r="Q24" s="237"/>
      <c r="R24" s="242"/>
      <c r="S24" s="239"/>
    </row>
    <row r="25" spans="1:19" ht="31.5" customHeight="1">
      <c r="A25" s="260" t="s">
        <v>22</v>
      </c>
      <c r="B25" s="75" t="s">
        <v>203</v>
      </c>
      <c r="C25" s="76" t="s">
        <v>204</v>
      </c>
      <c r="D25" s="240">
        <f t="shared" si="0"/>
        <v>1171569</v>
      </c>
      <c r="E25" s="231">
        <f>280000+60000</f>
        <v>340000</v>
      </c>
      <c r="F25" s="232">
        <v>177729</v>
      </c>
      <c r="G25" s="232">
        <f>382940+209550+61350</f>
        <v>653840</v>
      </c>
      <c r="H25" s="232"/>
      <c r="I25" s="232"/>
      <c r="J25" s="233">
        <f t="shared" si="1"/>
        <v>1171569</v>
      </c>
      <c r="K25" s="234"/>
      <c r="L25" s="235"/>
      <c r="M25" s="235"/>
      <c r="N25" s="233"/>
      <c r="O25" s="236"/>
      <c r="P25" s="237"/>
      <c r="Q25" s="237"/>
      <c r="R25" s="242"/>
      <c r="S25" s="239"/>
    </row>
    <row r="26" spans="1:19" ht="18" customHeight="1">
      <c r="A26" s="260" t="s">
        <v>24</v>
      </c>
      <c r="B26" s="75" t="s">
        <v>205</v>
      </c>
      <c r="C26" s="76" t="s">
        <v>206</v>
      </c>
      <c r="D26" s="240">
        <f t="shared" si="0"/>
        <v>50000</v>
      </c>
      <c r="E26" s="231"/>
      <c r="F26" s="232"/>
      <c r="G26" s="232"/>
      <c r="H26" s="232">
        <v>50000</v>
      </c>
      <c r="I26" s="232"/>
      <c r="J26" s="233">
        <f t="shared" si="1"/>
        <v>50000</v>
      </c>
      <c r="K26" s="234"/>
      <c r="L26" s="235"/>
      <c r="M26" s="235"/>
      <c r="N26" s="233"/>
      <c r="O26" s="236"/>
      <c r="P26" s="237"/>
      <c r="Q26" s="237"/>
      <c r="R26" s="242"/>
      <c r="S26" s="239"/>
    </row>
    <row r="27" spans="1:19" ht="18" customHeight="1">
      <c r="A27" s="260" t="s">
        <v>25</v>
      </c>
      <c r="B27" s="75">
        <v>104037</v>
      </c>
      <c r="C27" s="76" t="s">
        <v>270</v>
      </c>
      <c r="D27" s="240">
        <f t="shared" si="0"/>
        <v>74100</v>
      </c>
      <c r="E27" s="231"/>
      <c r="F27" s="232"/>
      <c r="G27" s="232">
        <v>74100</v>
      </c>
      <c r="H27" s="232"/>
      <c r="I27" s="232"/>
      <c r="J27" s="233">
        <f t="shared" si="1"/>
        <v>74100</v>
      </c>
      <c r="K27" s="234"/>
      <c r="L27" s="235"/>
      <c r="M27" s="235"/>
      <c r="N27" s="233"/>
      <c r="O27" s="236"/>
      <c r="P27" s="237"/>
      <c r="Q27" s="237"/>
      <c r="R27" s="242"/>
      <c r="S27" s="239"/>
    </row>
    <row r="28" spans="1:19" ht="21" customHeight="1">
      <c r="A28" s="260" t="s">
        <v>27</v>
      </c>
      <c r="B28" s="75">
        <v>104051</v>
      </c>
      <c r="C28" s="76" t="s">
        <v>181</v>
      </c>
      <c r="D28" s="240">
        <f>J28+N28</f>
        <v>52200</v>
      </c>
      <c r="E28" s="231"/>
      <c r="F28" s="232"/>
      <c r="G28" s="232"/>
      <c r="H28" s="232">
        <v>52200</v>
      </c>
      <c r="I28" s="232"/>
      <c r="J28" s="233">
        <f>E28+F28+G28+H28+I28</f>
        <v>52200</v>
      </c>
      <c r="K28" s="234"/>
      <c r="L28" s="235"/>
      <c r="M28" s="235"/>
      <c r="N28" s="233"/>
      <c r="O28" s="236"/>
      <c r="P28" s="237"/>
      <c r="Q28" s="237"/>
      <c r="R28" s="242"/>
      <c r="S28" s="239"/>
    </row>
    <row r="29" spans="1:19" ht="18.75" customHeight="1">
      <c r="A29" s="260" t="s">
        <v>29</v>
      </c>
      <c r="B29" s="75">
        <v>106020</v>
      </c>
      <c r="C29" s="80" t="s">
        <v>182</v>
      </c>
      <c r="D29" s="240">
        <f t="shared" si="0"/>
        <v>0</v>
      </c>
      <c r="E29" s="231"/>
      <c r="F29" s="232"/>
      <c r="G29" s="232"/>
      <c r="H29" s="232">
        <f>60000-60000</f>
        <v>0</v>
      </c>
      <c r="I29" s="232"/>
      <c r="J29" s="233">
        <f t="shared" si="1"/>
        <v>0</v>
      </c>
      <c r="K29" s="234"/>
      <c r="L29" s="235"/>
      <c r="M29" s="235"/>
      <c r="N29" s="233"/>
      <c r="O29" s="236"/>
      <c r="P29" s="237"/>
      <c r="Q29" s="237"/>
      <c r="R29" s="242"/>
      <c r="S29" s="239"/>
    </row>
    <row r="30" spans="1:19" ht="21" customHeight="1">
      <c r="A30" s="260" t="s">
        <v>31</v>
      </c>
      <c r="B30" s="75">
        <v>107051</v>
      </c>
      <c r="C30" s="80" t="s">
        <v>183</v>
      </c>
      <c r="D30" s="240">
        <f t="shared" si="0"/>
        <v>1274326</v>
      </c>
      <c r="E30" s="231"/>
      <c r="F30" s="232"/>
      <c r="G30" s="232">
        <f>1218966+55360</f>
        <v>1274326</v>
      </c>
      <c r="H30" s="232"/>
      <c r="I30" s="232"/>
      <c r="J30" s="233">
        <f t="shared" si="1"/>
        <v>1274326</v>
      </c>
      <c r="K30" s="234"/>
      <c r="L30" s="235"/>
      <c r="M30" s="235"/>
      <c r="N30" s="233"/>
      <c r="O30" s="243"/>
      <c r="P30" s="235"/>
      <c r="Q30" s="237"/>
      <c r="R30" s="242"/>
      <c r="S30" s="239"/>
    </row>
    <row r="31" spans="1:19" ht="21" customHeight="1">
      <c r="A31" s="260" t="s">
        <v>243</v>
      </c>
      <c r="B31" s="75">
        <v>107055</v>
      </c>
      <c r="C31" s="80" t="s">
        <v>268</v>
      </c>
      <c r="D31" s="240">
        <f>J31+N31</f>
        <v>2691338</v>
      </c>
      <c r="E31" s="244">
        <f>1609500+51453+53555+26776</f>
        <v>1741284</v>
      </c>
      <c r="F31" s="245">
        <f>371371+11883+11781+5890</f>
        <v>400925</v>
      </c>
      <c r="G31" s="245">
        <f>519129-89999-8799+25000+5000</f>
        <v>450331</v>
      </c>
      <c r="H31" s="245"/>
      <c r="I31" s="245"/>
      <c r="J31" s="233">
        <f t="shared" si="1"/>
        <v>2592540</v>
      </c>
      <c r="K31" s="246">
        <f>89999+8799</f>
        <v>98798</v>
      </c>
      <c r="L31" s="247"/>
      <c r="M31" s="247"/>
      <c r="N31" s="233">
        <f>K31+L31+M31</f>
        <v>98798</v>
      </c>
      <c r="O31" s="243"/>
      <c r="P31" s="235"/>
      <c r="Q31" s="237"/>
      <c r="R31" s="242"/>
      <c r="S31" s="248">
        <v>1</v>
      </c>
    </row>
    <row r="32" spans="1:19" ht="21.75" customHeight="1" thickBot="1">
      <c r="A32" s="260" t="s">
        <v>245</v>
      </c>
      <c r="B32" s="271">
        <v>107060</v>
      </c>
      <c r="C32" s="272" t="s">
        <v>184</v>
      </c>
      <c r="D32" s="249">
        <f t="shared" si="0"/>
        <v>1801000</v>
      </c>
      <c r="E32" s="250"/>
      <c r="F32" s="251"/>
      <c r="G32" s="251">
        <f>355600+25400</f>
        <v>381000</v>
      </c>
      <c r="H32" s="251">
        <f>1360000+60000</f>
        <v>1420000</v>
      </c>
      <c r="I32" s="251"/>
      <c r="J32" s="252">
        <f t="shared" si="1"/>
        <v>1801000</v>
      </c>
      <c r="K32" s="253"/>
      <c r="L32" s="254"/>
      <c r="M32" s="254"/>
      <c r="N32" s="252"/>
      <c r="O32" s="243"/>
      <c r="P32" s="235"/>
      <c r="Q32" s="237"/>
      <c r="R32" s="242"/>
      <c r="S32" s="248"/>
    </row>
    <row r="33" spans="1:19" ht="16.5" thickBot="1">
      <c r="A33" s="260" t="s">
        <v>343</v>
      </c>
      <c r="B33" s="81"/>
      <c r="C33" s="82" t="s">
        <v>185</v>
      </c>
      <c r="D33" s="300">
        <f>J33+N33+R33</f>
        <v>79535565</v>
      </c>
      <c r="E33" s="255">
        <f>SUM(E13:E32)</f>
        <v>8418934</v>
      </c>
      <c r="F33" s="255">
        <f>SUM(F13:F32)</f>
        <v>1820642</v>
      </c>
      <c r="G33" s="255">
        <f>SUM(G13:G32)</f>
        <v>18302397</v>
      </c>
      <c r="H33" s="255">
        <f>SUM(H13:H32)</f>
        <v>1522200</v>
      </c>
      <c r="I33" s="255">
        <f>SUM(I13:I32)</f>
        <v>11690585</v>
      </c>
      <c r="J33" s="256">
        <f t="shared" si="1"/>
        <v>41754758</v>
      </c>
      <c r="K33" s="255">
        <f>SUM(K13:K32)</f>
        <v>36465093</v>
      </c>
      <c r="L33" s="255">
        <f>SUM(L13:L32)</f>
        <v>817173</v>
      </c>
      <c r="M33" s="255"/>
      <c r="N33" s="255">
        <f>SUM(N13:N32)</f>
        <v>37282266</v>
      </c>
      <c r="O33" s="255">
        <f>SUM(O13:O32)</f>
        <v>498541</v>
      </c>
      <c r="P33" s="255"/>
      <c r="Q33" s="255"/>
      <c r="R33" s="255">
        <f>SUM(R13:R32)</f>
        <v>498541</v>
      </c>
      <c r="S33" s="257">
        <v>2</v>
      </c>
    </row>
    <row r="35" spans="4:10" ht="16.5">
      <c r="D35" s="286">
        <f>SUM(D13:D32)</f>
        <v>79535565</v>
      </c>
      <c r="J35" s="223"/>
    </row>
    <row r="40" ht="12.75">
      <c r="D40" s="95"/>
    </row>
  </sheetData>
  <sheetProtection/>
  <mergeCells count="29">
    <mergeCell ref="B4:S4"/>
    <mergeCell ref="B8:B12"/>
    <mergeCell ref="C8:C12"/>
    <mergeCell ref="D8:D12"/>
    <mergeCell ref="E8:R8"/>
    <mergeCell ref="K10:K12"/>
    <mergeCell ref="L10:L12"/>
    <mergeCell ref="M10:M12"/>
    <mergeCell ref="F10:F12"/>
    <mergeCell ref="K9:N9"/>
    <mergeCell ref="O9:R9"/>
    <mergeCell ref="E10:E12"/>
    <mergeCell ref="N10:N12"/>
    <mergeCell ref="O10:O12"/>
    <mergeCell ref="P10:P12"/>
    <mergeCell ref="G10:G12"/>
    <mergeCell ref="H10:H12"/>
    <mergeCell ref="I10:I12"/>
    <mergeCell ref="J10:J12"/>
    <mergeCell ref="A2:S2"/>
    <mergeCell ref="A1:S1"/>
    <mergeCell ref="A8:A12"/>
    <mergeCell ref="B3:S3"/>
    <mergeCell ref="Q10:Q12"/>
    <mergeCell ref="R10:R12"/>
    <mergeCell ref="B5:S5"/>
    <mergeCell ref="B6:S6"/>
    <mergeCell ref="S8:S12"/>
    <mergeCell ref="E9:J9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60" zoomScalePageLayoutView="0" workbookViewId="0" topLeftCell="A1">
      <selection activeCell="K12" sqref="K12"/>
    </sheetView>
  </sheetViews>
  <sheetFormatPr defaultColWidth="9.00390625" defaultRowHeight="12.75"/>
  <cols>
    <col min="1" max="1" width="5.375" style="0" customWidth="1"/>
    <col min="3" max="3" width="73.00390625" style="0" customWidth="1"/>
    <col min="4" max="4" width="14.625" style="0" customWidth="1"/>
    <col min="5" max="5" width="14.3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2.75">
      <c r="A1" s="306" t="s">
        <v>394</v>
      </c>
      <c r="B1" s="306"/>
      <c r="C1" s="306"/>
      <c r="D1" s="306"/>
      <c r="E1" s="306"/>
      <c r="F1" s="306"/>
      <c r="G1" s="306"/>
    </row>
    <row r="2" spans="1:15" ht="12.75" customHeight="1">
      <c r="A2" s="339" t="s">
        <v>337</v>
      </c>
      <c r="B2" s="310"/>
      <c r="C2" s="310"/>
      <c r="D2" s="310"/>
      <c r="E2" s="310"/>
      <c r="F2" s="310"/>
      <c r="G2" s="310"/>
      <c r="H2" s="126"/>
      <c r="I2" s="126"/>
      <c r="J2" s="126"/>
      <c r="K2" s="126"/>
      <c r="L2" s="126"/>
      <c r="M2" s="126"/>
      <c r="N2" s="126"/>
      <c r="O2" s="126"/>
    </row>
    <row r="3" spans="1:15" ht="12.75" customHeight="1">
      <c r="A3" s="413"/>
      <c r="B3" s="414"/>
      <c r="C3" s="414"/>
      <c r="D3" s="414"/>
      <c r="E3" s="414"/>
      <c r="F3" s="414"/>
      <c r="G3" s="414"/>
      <c r="H3" s="126"/>
      <c r="I3" s="126"/>
      <c r="J3" s="126"/>
      <c r="K3" s="126"/>
      <c r="L3" s="126"/>
      <c r="M3" s="126"/>
      <c r="N3" s="126"/>
      <c r="O3" s="126"/>
    </row>
    <row r="4" spans="2:15" ht="15.75">
      <c r="B4" s="345" t="s">
        <v>4</v>
      </c>
      <c r="C4" s="345"/>
      <c r="D4" s="345"/>
      <c r="E4" s="345"/>
      <c r="F4" s="345"/>
      <c r="G4" s="345"/>
      <c r="H4" s="128"/>
      <c r="I4" s="128"/>
      <c r="J4" s="128"/>
      <c r="K4" s="128"/>
      <c r="L4" s="128"/>
      <c r="M4" s="128"/>
      <c r="N4" s="128"/>
      <c r="O4" s="128"/>
    </row>
    <row r="5" spans="2:15" ht="15.75">
      <c r="B5" s="345" t="s">
        <v>260</v>
      </c>
      <c r="C5" s="345"/>
      <c r="D5" s="345"/>
      <c r="E5" s="345"/>
      <c r="F5" s="345"/>
      <c r="G5" s="345"/>
      <c r="H5" s="128"/>
      <c r="I5" s="128"/>
      <c r="J5" s="128"/>
      <c r="K5" s="128"/>
      <c r="L5" s="128"/>
      <c r="M5" s="128"/>
      <c r="N5" s="128"/>
      <c r="O5" s="128"/>
    </row>
    <row r="6" spans="2:15" ht="16.5" thickBot="1">
      <c r="B6" s="345" t="s">
        <v>287</v>
      </c>
      <c r="C6" s="345"/>
      <c r="D6" s="345"/>
      <c r="E6" s="345"/>
      <c r="F6" s="345"/>
      <c r="G6" s="345"/>
      <c r="H6" s="128"/>
      <c r="I6" s="128"/>
      <c r="J6" s="128"/>
      <c r="K6" s="128"/>
      <c r="L6" s="128"/>
      <c r="M6" s="128"/>
      <c r="N6" s="128"/>
      <c r="O6" s="128"/>
    </row>
    <row r="7" spans="1:15" ht="16.5" customHeight="1" thickBot="1">
      <c r="A7" s="415" t="s">
        <v>346</v>
      </c>
      <c r="B7" s="348" t="s">
        <v>251</v>
      </c>
      <c r="C7" s="351" t="s">
        <v>153</v>
      </c>
      <c r="D7" s="354" t="s">
        <v>154</v>
      </c>
      <c r="E7" s="357" t="s">
        <v>253</v>
      </c>
      <c r="F7" s="358"/>
      <c r="G7" s="359"/>
      <c r="H7" s="123"/>
      <c r="I7" s="123"/>
      <c r="J7" s="123"/>
      <c r="K7" s="123"/>
      <c r="L7" s="123"/>
      <c r="M7" s="123"/>
      <c r="N7" s="123"/>
      <c r="O7" s="123"/>
    </row>
    <row r="8" spans="1:15" ht="16.5" customHeight="1">
      <c r="A8" s="416"/>
      <c r="B8" s="349"/>
      <c r="C8" s="352"/>
      <c r="D8" s="355"/>
      <c r="E8" s="360" t="s">
        <v>254</v>
      </c>
      <c r="F8" s="360" t="s">
        <v>255</v>
      </c>
      <c r="G8" s="408" t="s">
        <v>262</v>
      </c>
      <c r="H8" s="131"/>
      <c r="I8" s="131"/>
      <c r="J8" s="131"/>
      <c r="K8" s="131"/>
      <c r="L8" s="131"/>
      <c r="M8" s="131"/>
      <c r="N8" s="131"/>
      <c r="O8" s="131"/>
    </row>
    <row r="9" spans="1:15" ht="14.25" customHeight="1" thickBot="1">
      <c r="A9" s="416"/>
      <c r="B9" s="349"/>
      <c r="C9" s="352"/>
      <c r="D9" s="355"/>
      <c r="E9" s="360"/>
      <c r="F9" s="360"/>
      <c r="G9" s="409"/>
      <c r="H9" s="131"/>
      <c r="I9" s="131"/>
      <c r="J9" s="131"/>
      <c r="K9" s="131"/>
      <c r="L9" s="131"/>
      <c r="M9" s="131"/>
      <c r="N9" s="131"/>
      <c r="O9" s="131"/>
    </row>
    <row r="10" spans="1:15" ht="21" customHeight="1" thickBot="1">
      <c r="A10" s="417"/>
      <c r="B10" s="349"/>
      <c r="C10" s="352"/>
      <c r="D10" s="355"/>
      <c r="E10" s="410" t="s">
        <v>257</v>
      </c>
      <c r="F10" s="411"/>
      <c r="G10" s="412"/>
      <c r="H10" s="131"/>
      <c r="I10" s="131"/>
      <c r="J10" s="131"/>
      <c r="K10" s="131"/>
      <c r="L10" s="131"/>
      <c r="M10" s="131"/>
      <c r="N10" s="131"/>
      <c r="O10" s="131"/>
    </row>
    <row r="11" spans="1:15" ht="31.5">
      <c r="A11" s="259" t="s">
        <v>7</v>
      </c>
      <c r="B11" s="152" t="s">
        <v>163</v>
      </c>
      <c r="C11" s="153" t="s">
        <v>164</v>
      </c>
      <c r="D11" s="134">
        <f>E11+F11+G11</f>
        <v>18658401</v>
      </c>
      <c r="E11" s="154">
        <f>6643656+10543436+221010+661875-239550+30000-25000+55000-5000+220625-25400-1546</f>
        <v>18079106</v>
      </c>
      <c r="F11" s="155">
        <f>179295+400000</f>
        <v>579295</v>
      </c>
      <c r="G11" s="156"/>
      <c r="H11" s="135"/>
      <c r="I11" s="136"/>
      <c r="J11" s="19"/>
      <c r="K11" s="19"/>
      <c r="L11" s="19"/>
      <c r="M11" s="136"/>
      <c r="N11" s="136"/>
      <c r="O11" s="19"/>
    </row>
    <row r="12" spans="1:15" ht="15.75">
      <c r="A12" s="260" t="s">
        <v>8</v>
      </c>
      <c r="B12" s="157" t="s">
        <v>165</v>
      </c>
      <c r="C12" s="153" t="s">
        <v>166</v>
      </c>
      <c r="D12" s="140">
        <f aca="true" t="shared" si="0" ref="D12:D30">E12+F12+G12</f>
        <v>91440</v>
      </c>
      <c r="E12" s="158">
        <v>91440</v>
      </c>
      <c r="F12" s="159"/>
      <c r="G12" s="160"/>
      <c r="H12" s="135"/>
      <c r="I12" s="136"/>
      <c r="J12" s="19"/>
      <c r="K12" s="19"/>
      <c r="L12" s="19"/>
      <c r="M12" s="136"/>
      <c r="N12" s="136"/>
      <c r="O12" s="19"/>
    </row>
    <row r="13" spans="1:15" ht="15.75">
      <c r="A13" s="260" t="s">
        <v>9</v>
      </c>
      <c r="B13" s="157" t="s">
        <v>258</v>
      </c>
      <c r="C13" s="153" t="s">
        <v>275</v>
      </c>
      <c r="D13" s="140">
        <f t="shared" si="0"/>
        <v>712123</v>
      </c>
      <c r="E13" s="158">
        <f>498541+33386+178650+1546</f>
        <v>712123</v>
      </c>
      <c r="F13" s="159"/>
      <c r="G13" s="160"/>
      <c r="H13" s="135"/>
      <c r="I13" s="136"/>
      <c r="J13" s="19"/>
      <c r="K13" s="19"/>
      <c r="L13" s="19"/>
      <c r="M13" s="136"/>
      <c r="N13" s="136"/>
      <c r="O13" s="19"/>
    </row>
    <row r="14" spans="1:15" ht="15.75">
      <c r="A14" s="260" t="s">
        <v>10</v>
      </c>
      <c r="B14" s="157" t="s">
        <v>341</v>
      </c>
      <c r="C14" s="153" t="s">
        <v>342</v>
      </c>
      <c r="D14" s="140">
        <f t="shared" si="0"/>
        <v>1830646</v>
      </c>
      <c r="E14" s="158">
        <f>744670+723984+361992</f>
        <v>1830646</v>
      </c>
      <c r="F14" s="159"/>
      <c r="G14" s="160"/>
      <c r="H14" s="135"/>
      <c r="I14" s="136"/>
      <c r="J14" s="19"/>
      <c r="K14" s="19"/>
      <c r="L14" s="19"/>
      <c r="M14" s="136"/>
      <c r="N14" s="136"/>
      <c r="O14" s="19"/>
    </row>
    <row r="15" spans="1:15" ht="15.75">
      <c r="A15" s="260" t="s">
        <v>11</v>
      </c>
      <c r="B15" s="157" t="s">
        <v>167</v>
      </c>
      <c r="C15" s="161" t="s">
        <v>168</v>
      </c>
      <c r="D15" s="140">
        <f t="shared" si="0"/>
        <v>3077000</v>
      </c>
      <c r="E15" s="158">
        <v>3077000</v>
      </c>
      <c r="F15" s="159"/>
      <c r="G15" s="160"/>
      <c r="H15" s="135"/>
      <c r="I15" s="136"/>
      <c r="J15" s="19"/>
      <c r="K15" s="19"/>
      <c r="L15" s="19"/>
      <c r="M15" s="136"/>
      <c r="N15" s="136"/>
      <c r="O15" s="19"/>
    </row>
    <row r="16" spans="1:15" ht="15" customHeight="1">
      <c r="A16" s="260" t="s">
        <v>12</v>
      </c>
      <c r="B16" s="157" t="s">
        <v>169</v>
      </c>
      <c r="C16" s="153" t="s">
        <v>347</v>
      </c>
      <c r="D16" s="140">
        <f t="shared" si="0"/>
        <v>15240</v>
      </c>
      <c r="E16" s="158">
        <v>15240</v>
      </c>
      <c r="F16" s="159"/>
      <c r="G16" s="160"/>
      <c r="H16" s="135"/>
      <c r="I16" s="136"/>
      <c r="J16" s="19"/>
      <c r="K16" s="19"/>
      <c r="L16" s="19"/>
      <c r="M16" s="136"/>
      <c r="N16" s="136"/>
      <c r="O16" s="19"/>
    </row>
    <row r="17" spans="1:15" ht="15.75">
      <c r="A17" s="260" t="s">
        <v>14</v>
      </c>
      <c r="B17" s="157" t="s">
        <v>201</v>
      </c>
      <c r="C17" s="153" t="s">
        <v>276</v>
      </c>
      <c r="D17" s="140">
        <f t="shared" si="0"/>
        <v>54483</v>
      </c>
      <c r="E17" s="158">
        <v>54483</v>
      </c>
      <c r="F17" s="159"/>
      <c r="G17" s="160"/>
      <c r="H17" s="135"/>
      <c r="I17" s="136"/>
      <c r="J17" s="19"/>
      <c r="K17" s="19"/>
      <c r="L17" s="19"/>
      <c r="M17" s="136"/>
      <c r="N17" s="136"/>
      <c r="O17" s="19"/>
    </row>
    <row r="18" spans="1:15" ht="16.5" customHeight="1">
      <c r="A18" s="260" t="s">
        <v>15</v>
      </c>
      <c r="B18" s="75" t="s">
        <v>171</v>
      </c>
      <c r="C18" s="79" t="s">
        <v>172</v>
      </c>
      <c r="D18" s="140">
        <f t="shared" si="0"/>
        <v>43929999</v>
      </c>
      <c r="E18" s="158">
        <v>43929999</v>
      </c>
      <c r="F18" s="159"/>
      <c r="G18" s="160"/>
      <c r="H18" s="135"/>
      <c r="I18" s="136"/>
      <c r="J18" s="19"/>
      <c r="K18" s="19"/>
      <c r="L18" s="19"/>
      <c r="M18" s="136"/>
      <c r="N18" s="136"/>
      <c r="O18" s="19"/>
    </row>
    <row r="19" spans="1:15" ht="13.5" customHeight="1">
      <c r="A19" s="260" t="s">
        <v>16</v>
      </c>
      <c r="B19" s="157" t="s">
        <v>173</v>
      </c>
      <c r="C19" s="153" t="s">
        <v>174</v>
      </c>
      <c r="D19" s="140">
        <f t="shared" si="0"/>
        <v>725937</v>
      </c>
      <c r="E19" s="158">
        <v>725937</v>
      </c>
      <c r="F19" s="159"/>
      <c r="G19" s="160"/>
      <c r="H19" s="135"/>
      <c r="I19" s="136"/>
      <c r="J19" s="19"/>
      <c r="K19" s="19"/>
      <c r="L19" s="19"/>
      <c r="M19" s="136"/>
      <c r="N19" s="136"/>
      <c r="O19" s="19"/>
    </row>
    <row r="20" spans="1:15" ht="15.75">
      <c r="A20" s="260" t="s">
        <v>17</v>
      </c>
      <c r="B20" s="157" t="s">
        <v>175</v>
      </c>
      <c r="C20" s="153" t="s">
        <v>176</v>
      </c>
      <c r="D20" s="140">
        <f t="shared" si="0"/>
        <v>2706512</v>
      </c>
      <c r="E20" s="158">
        <f>2977898-1485000+1000000+213614</f>
        <v>2706512</v>
      </c>
      <c r="F20" s="159"/>
      <c r="G20" s="160"/>
      <c r="H20" s="135"/>
      <c r="I20" s="136"/>
      <c r="J20" s="19"/>
      <c r="K20" s="19"/>
      <c r="L20" s="19"/>
      <c r="M20" s="136"/>
      <c r="N20" s="136"/>
      <c r="O20" s="19"/>
    </row>
    <row r="21" spans="1:15" ht="15.75">
      <c r="A21" s="260" t="s">
        <v>19</v>
      </c>
      <c r="B21" s="157" t="s">
        <v>177</v>
      </c>
      <c r="C21" s="153" t="s">
        <v>178</v>
      </c>
      <c r="D21" s="140">
        <f t="shared" si="0"/>
        <v>110236</v>
      </c>
      <c r="E21" s="158">
        <v>110236</v>
      </c>
      <c r="F21" s="159"/>
      <c r="G21" s="160"/>
      <c r="H21" s="135"/>
      <c r="I21" s="136"/>
      <c r="J21" s="19"/>
      <c r="K21" s="19"/>
      <c r="L21" s="19"/>
      <c r="M21" s="136"/>
      <c r="N21" s="136"/>
      <c r="O21" s="19"/>
    </row>
    <row r="22" spans="1:15" ht="15.75">
      <c r="A22" s="260" t="s">
        <v>20</v>
      </c>
      <c r="B22" s="157" t="s">
        <v>179</v>
      </c>
      <c r="C22" s="153" t="s">
        <v>180</v>
      </c>
      <c r="D22" s="140">
        <f t="shared" si="0"/>
        <v>509015</v>
      </c>
      <c r="E22" s="158">
        <f>722629-213614</f>
        <v>509015</v>
      </c>
      <c r="F22" s="159"/>
      <c r="G22" s="160"/>
      <c r="H22" s="135"/>
      <c r="I22" s="136"/>
      <c r="J22" s="19"/>
      <c r="K22" s="19"/>
      <c r="L22" s="19"/>
      <c r="M22" s="136"/>
      <c r="N22" s="136"/>
      <c r="O22" s="19"/>
    </row>
    <row r="23" spans="1:15" ht="19.5" customHeight="1">
      <c r="A23" s="260" t="s">
        <v>22</v>
      </c>
      <c r="B23" s="157" t="s">
        <v>203</v>
      </c>
      <c r="C23" s="153" t="s">
        <v>277</v>
      </c>
      <c r="D23" s="140">
        <f t="shared" si="0"/>
        <v>1171569</v>
      </c>
      <c r="E23" s="158">
        <f>382940+209550+61350</f>
        <v>653840</v>
      </c>
      <c r="F23" s="159">
        <f>457729+60000</f>
        <v>517729</v>
      </c>
      <c r="G23" s="160"/>
      <c r="H23" s="135"/>
      <c r="I23" s="136"/>
      <c r="J23" s="19"/>
      <c r="K23" s="19"/>
      <c r="L23" s="19"/>
      <c r="M23" s="136"/>
      <c r="N23" s="136"/>
      <c r="O23" s="19"/>
    </row>
    <row r="24" spans="1:15" ht="15.75">
      <c r="A24" s="260" t="s">
        <v>24</v>
      </c>
      <c r="B24" s="157" t="s">
        <v>205</v>
      </c>
      <c r="C24" s="153" t="s">
        <v>206</v>
      </c>
      <c r="D24" s="140">
        <f t="shared" si="0"/>
        <v>50000</v>
      </c>
      <c r="E24" s="158">
        <v>50000</v>
      </c>
      <c r="F24" s="159"/>
      <c r="G24" s="160"/>
      <c r="H24" s="135"/>
      <c r="I24" s="136"/>
      <c r="J24" s="19"/>
      <c r="K24" s="19"/>
      <c r="L24" s="19"/>
      <c r="M24" s="136"/>
      <c r="N24" s="136"/>
      <c r="O24" s="19"/>
    </row>
    <row r="25" spans="1:15" ht="15.75">
      <c r="A25" s="260" t="s">
        <v>25</v>
      </c>
      <c r="B25" s="157">
        <v>104037</v>
      </c>
      <c r="C25" s="153" t="s">
        <v>278</v>
      </c>
      <c r="D25" s="140">
        <f t="shared" si="0"/>
        <v>74100</v>
      </c>
      <c r="E25" s="158">
        <v>74100</v>
      </c>
      <c r="F25" s="159"/>
      <c r="G25" s="160"/>
      <c r="H25" s="135"/>
      <c r="I25" s="136"/>
      <c r="J25" s="19"/>
      <c r="K25" s="19"/>
      <c r="L25" s="19"/>
      <c r="M25" s="136"/>
      <c r="N25" s="136"/>
      <c r="O25" s="19"/>
    </row>
    <row r="26" spans="1:15" ht="14.25" customHeight="1">
      <c r="A26" s="260" t="s">
        <v>27</v>
      </c>
      <c r="B26" s="157">
        <v>104051</v>
      </c>
      <c r="C26" s="153" t="s">
        <v>181</v>
      </c>
      <c r="D26" s="140">
        <f>E26+F26+G26</f>
        <v>52200</v>
      </c>
      <c r="E26" s="158"/>
      <c r="F26" s="159"/>
      <c r="G26" s="160">
        <v>52200</v>
      </c>
      <c r="H26" s="135"/>
      <c r="I26" s="136"/>
      <c r="J26" s="19"/>
      <c r="K26" s="19"/>
      <c r="L26" s="19"/>
      <c r="M26" s="136"/>
      <c r="N26" s="136"/>
      <c r="O26" s="19"/>
    </row>
    <row r="27" spans="1:15" ht="15.75">
      <c r="A27" s="260" t="s">
        <v>29</v>
      </c>
      <c r="B27" s="157">
        <v>106020</v>
      </c>
      <c r="C27" s="153" t="s">
        <v>279</v>
      </c>
      <c r="D27" s="140">
        <f>E27+F27+G27</f>
        <v>0</v>
      </c>
      <c r="E27" s="158">
        <f>60000-60000</f>
        <v>0</v>
      </c>
      <c r="F27" s="159"/>
      <c r="G27" s="160"/>
      <c r="H27" s="135"/>
      <c r="I27" s="136"/>
      <c r="J27" s="19"/>
      <c r="K27" s="19"/>
      <c r="L27" s="19"/>
      <c r="M27" s="136"/>
      <c r="N27" s="136"/>
      <c r="O27" s="19"/>
    </row>
    <row r="28" spans="1:15" ht="14.25" customHeight="1">
      <c r="A28" s="260" t="s">
        <v>31</v>
      </c>
      <c r="B28" s="157">
        <v>107051</v>
      </c>
      <c r="C28" s="153" t="s">
        <v>183</v>
      </c>
      <c r="D28" s="140">
        <f t="shared" si="0"/>
        <v>1274326</v>
      </c>
      <c r="E28" s="158">
        <f>1218966+55360</f>
        <v>1274326</v>
      </c>
      <c r="F28" s="159"/>
      <c r="G28" s="160"/>
      <c r="H28" s="135"/>
      <c r="I28" s="136"/>
      <c r="J28" s="19"/>
      <c r="K28" s="19"/>
      <c r="L28" s="19"/>
      <c r="M28" s="136"/>
      <c r="N28" s="136"/>
      <c r="O28" s="19"/>
    </row>
    <row r="29" spans="1:15" ht="14.25" customHeight="1">
      <c r="A29" s="260" t="s">
        <v>243</v>
      </c>
      <c r="B29" s="157">
        <v>107055</v>
      </c>
      <c r="C29" s="153" t="s">
        <v>370</v>
      </c>
      <c r="D29" s="140">
        <f t="shared" si="0"/>
        <v>2691338</v>
      </c>
      <c r="E29" s="162">
        <f>2500000+63336+65336+25000+5000+32666</f>
        <v>2691338</v>
      </c>
      <c r="F29" s="163"/>
      <c r="G29" s="164"/>
      <c r="H29" s="135"/>
      <c r="I29" s="136"/>
      <c r="J29" s="19"/>
      <c r="K29" s="19"/>
      <c r="L29" s="19"/>
      <c r="M29" s="136"/>
      <c r="N29" s="136"/>
      <c r="O29" s="19"/>
    </row>
    <row r="30" spans="1:15" ht="16.5" thickBot="1">
      <c r="A30" s="260" t="s">
        <v>245</v>
      </c>
      <c r="B30" s="157">
        <v>107060</v>
      </c>
      <c r="C30" s="153" t="s">
        <v>261</v>
      </c>
      <c r="D30" s="141">
        <f t="shared" si="0"/>
        <v>1801000</v>
      </c>
      <c r="E30" s="162">
        <f>1360000+355600+25400+60000</f>
        <v>1801000</v>
      </c>
      <c r="F30" s="163"/>
      <c r="G30" s="164"/>
      <c r="H30" s="135"/>
      <c r="I30" s="136"/>
      <c r="J30" s="19"/>
      <c r="K30" s="19"/>
      <c r="L30" s="19"/>
      <c r="M30" s="136"/>
      <c r="N30" s="136"/>
      <c r="O30" s="19"/>
    </row>
    <row r="31" spans="1:15" ht="16.5" thickBot="1">
      <c r="A31" s="284" t="s">
        <v>343</v>
      </c>
      <c r="B31" s="142"/>
      <c r="C31" s="165" t="s">
        <v>220</v>
      </c>
      <c r="D31" s="146">
        <f>SUM(D11:D30)</f>
        <v>79535565</v>
      </c>
      <c r="E31" s="145">
        <f>SUM(E11:E30)</f>
        <v>78386341</v>
      </c>
      <c r="F31" s="166">
        <f>SUM(F11:F30)</f>
        <v>1097024</v>
      </c>
      <c r="G31" s="146">
        <f>SUM(G11:G30)</f>
        <v>52200</v>
      </c>
      <c r="H31" s="135"/>
      <c r="I31" s="147"/>
      <c r="J31" s="135"/>
      <c r="K31" s="135"/>
      <c r="L31" s="135"/>
      <c r="M31" s="147"/>
      <c r="N31" s="135"/>
      <c r="O31" s="135"/>
    </row>
    <row r="32" spans="2:15" ht="15.75">
      <c r="B32" s="126"/>
      <c r="C32" s="126"/>
      <c r="D32" s="126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</row>
    <row r="33" spans="2:15" ht="15.75">
      <c r="B33" s="126"/>
      <c r="C33" s="126"/>
      <c r="D33" s="126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</row>
    <row r="34" spans="2:15" ht="15.75">
      <c r="B34" s="14"/>
      <c r="C34" s="149"/>
      <c r="D34" s="14"/>
      <c r="E34" s="19"/>
      <c r="F34" s="19"/>
      <c r="G34" s="19"/>
      <c r="H34" s="19"/>
      <c r="I34" s="136"/>
      <c r="J34" s="19"/>
      <c r="K34" s="19"/>
      <c r="L34" s="19"/>
      <c r="M34" s="136"/>
      <c r="N34" s="136"/>
      <c r="O34" s="19"/>
    </row>
    <row r="35" spans="2:15" ht="15.75">
      <c r="B35" s="126"/>
      <c r="C35" s="126"/>
      <c r="D35" s="126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</sheetData>
  <sheetProtection/>
  <mergeCells count="15">
    <mergeCell ref="B7:B10"/>
    <mergeCell ref="C7:C10"/>
    <mergeCell ref="D7:D10"/>
    <mergeCell ref="E7:G7"/>
    <mergeCell ref="E8:E9"/>
    <mergeCell ref="A1:G1"/>
    <mergeCell ref="F8:F9"/>
    <mergeCell ref="G8:G9"/>
    <mergeCell ref="E10:G10"/>
    <mergeCell ref="A2:G2"/>
    <mergeCell ref="A3:G3"/>
    <mergeCell ref="B4:G4"/>
    <mergeCell ref="B5:G5"/>
    <mergeCell ref="B6:G6"/>
    <mergeCell ref="A7:A10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2" width="63.875" style="0" customWidth="1"/>
    <col min="3" max="3" width="14.00390625" style="0" customWidth="1"/>
  </cols>
  <sheetData>
    <row r="1" spans="1:14" ht="12.75">
      <c r="A1" s="306" t="s">
        <v>395</v>
      </c>
      <c r="B1" s="306"/>
      <c r="C1" s="306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3" ht="12.75">
      <c r="A3" t="s">
        <v>360</v>
      </c>
    </row>
    <row r="5" spans="1:3" ht="12.75">
      <c r="A5" s="418"/>
      <c r="B5" s="418"/>
      <c r="C5" s="418"/>
    </row>
    <row r="7" spans="1:4" ht="15.75" customHeight="1">
      <c r="A7" s="418" t="s">
        <v>4</v>
      </c>
      <c r="B7" s="418"/>
      <c r="C7" s="418"/>
      <c r="D7" s="418"/>
    </row>
    <row r="8" spans="1:3" ht="21" customHeight="1">
      <c r="A8" s="418" t="s">
        <v>348</v>
      </c>
      <c r="B8" s="418"/>
      <c r="C8" s="418"/>
    </row>
    <row r="9" spans="1:3" ht="13.5" thickBot="1">
      <c r="A9" s="418" t="s">
        <v>287</v>
      </c>
      <c r="B9" s="418"/>
      <c r="C9" s="418"/>
    </row>
    <row r="10" spans="1:3" ht="40.5" customHeight="1" thickBot="1">
      <c r="A10" s="270" t="s">
        <v>296</v>
      </c>
      <c r="B10" s="270" t="s">
        <v>3</v>
      </c>
      <c r="C10" s="287" t="s">
        <v>361</v>
      </c>
    </row>
    <row r="12" spans="1:2" ht="15.75">
      <c r="A12" t="s">
        <v>7</v>
      </c>
      <c r="B12" s="298" t="s">
        <v>349</v>
      </c>
    </row>
    <row r="13" ht="15.75">
      <c r="B13" s="11"/>
    </row>
    <row r="14" spans="1:3" ht="15.75">
      <c r="A14" s="291" t="s">
        <v>297</v>
      </c>
      <c r="B14" s="11" t="s">
        <v>350</v>
      </c>
      <c r="C14" s="290">
        <v>34339195</v>
      </c>
    </row>
    <row r="15" spans="2:3" ht="15.75">
      <c r="B15" s="24" t="s">
        <v>351</v>
      </c>
      <c r="C15" s="289">
        <f>C14</f>
        <v>34339195</v>
      </c>
    </row>
    <row r="16" ht="15.75">
      <c r="B16" s="11"/>
    </row>
    <row r="17" spans="1:2" ht="15.75">
      <c r="A17" t="s">
        <v>8</v>
      </c>
      <c r="B17" s="298" t="s">
        <v>352</v>
      </c>
    </row>
    <row r="18" ht="15.75">
      <c r="B18" s="11"/>
    </row>
    <row r="19" spans="1:3" ht="15.75">
      <c r="A19" s="291" t="s">
        <v>305</v>
      </c>
      <c r="B19" s="11" t="s">
        <v>353</v>
      </c>
      <c r="C19" s="286">
        <f>480000+168200</f>
        <v>648200</v>
      </c>
    </row>
    <row r="20" spans="1:3" ht="15.75">
      <c r="A20" s="291" t="s">
        <v>298</v>
      </c>
      <c r="B20" s="11" t="s">
        <v>354</v>
      </c>
      <c r="C20" s="286">
        <v>78740</v>
      </c>
    </row>
    <row r="21" spans="1:3" ht="15.75">
      <c r="A21" s="291" t="s">
        <v>324</v>
      </c>
      <c r="B21" s="11" t="s">
        <v>355</v>
      </c>
      <c r="C21" s="290">
        <f>150860+45414</f>
        <v>196274</v>
      </c>
    </row>
    <row r="22" spans="1:3" ht="15.75">
      <c r="A22" s="291" t="s">
        <v>325</v>
      </c>
      <c r="B22" s="24" t="s">
        <v>356</v>
      </c>
      <c r="C22" s="289">
        <f>C19+C20+C21</f>
        <v>923214</v>
      </c>
    </row>
    <row r="23" spans="2:3" ht="15.75">
      <c r="B23" s="24"/>
      <c r="C23" s="289"/>
    </row>
    <row r="24" spans="1:3" ht="15.75">
      <c r="A24" s="293" t="s">
        <v>299</v>
      </c>
      <c r="B24" s="11" t="s">
        <v>362</v>
      </c>
      <c r="C24" s="292">
        <v>787402</v>
      </c>
    </row>
    <row r="25" spans="1:3" ht="15.75">
      <c r="A25" s="293" t="s">
        <v>382</v>
      </c>
      <c r="B25" s="11" t="s">
        <v>355</v>
      </c>
      <c r="C25" s="290">
        <v>212598</v>
      </c>
    </row>
    <row r="26" spans="1:3" ht="15.75">
      <c r="A26" s="293" t="s">
        <v>381</v>
      </c>
      <c r="B26" s="24" t="s">
        <v>356</v>
      </c>
      <c r="C26" s="289">
        <f>C24+C25</f>
        <v>1000000</v>
      </c>
    </row>
    <row r="27" ht="15.75">
      <c r="B27" s="11"/>
    </row>
    <row r="28" spans="1:2" ht="15.75">
      <c r="A28" t="s">
        <v>10</v>
      </c>
      <c r="B28" s="298" t="s">
        <v>357</v>
      </c>
    </row>
    <row r="29" spans="1:3" ht="15.75">
      <c r="A29" s="291" t="s">
        <v>379</v>
      </c>
      <c r="B29" s="11" t="s">
        <v>358</v>
      </c>
      <c r="C29" s="286">
        <f>250000-168200</f>
        <v>81800</v>
      </c>
    </row>
    <row r="30" spans="1:3" ht="15.75">
      <c r="A30" s="293" t="s">
        <v>368</v>
      </c>
      <c r="B30" s="11" t="s">
        <v>355</v>
      </c>
      <c r="C30" s="290">
        <f>67500-45414</f>
        <v>22086</v>
      </c>
    </row>
    <row r="31" spans="1:3" ht="15.75">
      <c r="A31" s="293" t="s">
        <v>369</v>
      </c>
      <c r="B31" s="24" t="s">
        <v>356</v>
      </c>
      <c r="C31" s="289">
        <f>C29+C30</f>
        <v>103886</v>
      </c>
    </row>
    <row r="32" ht="12.75">
      <c r="B32" s="288"/>
    </row>
    <row r="33" spans="1:3" ht="15.75">
      <c r="A33" s="293" t="s">
        <v>11</v>
      </c>
      <c r="B33" s="299" t="s">
        <v>371</v>
      </c>
      <c r="C33" s="289"/>
    </row>
    <row r="34" spans="1:3" ht="15.75">
      <c r="A34" s="293" t="s">
        <v>383</v>
      </c>
      <c r="B34" s="11" t="s">
        <v>372</v>
      </c>
      <c r="C34" s="292">
        <v>70865</v>
      </c>
    </row>
    <row r="35" spans="1:3" ht="15.75">
      <c r="A35" s="293" t="s">
        <v>384</v>
      </c>
      <c r="B35" s="11" t="s">
        <v>373</v>
      </c>
      <c r="C35" s="292">
        <v>6928</v>
      </c>
    </row>
    <row r="36" spans="1:3" ht="15.75">
      <c r="A36" s="293" t="s">
        <v>385</v>
      </c>
      <c r="B36" s="11" t="s">
        <v>355</v>
      </c>
      <c r="C36" s="290">
        <v>21005</v>
      </c>
    </row>
    <row r="37" spans="1:3" ht="15.75">
      <c r="A37" s="293" t="s">
        <v>386</v>
      </c>
      <c r="B37" s="24" t="s">
        <v>356</v>
      </c>
      <c r="C37" s="289">
        <f>C34+C35+C36</f>
        <v>98798</v>
      </c>
    </row>
    <row r="39" spans="1:2" ht="12.75">
      <c r="A39" t="s">
        <v>12</v>
      </c>
      <c r="B39" s="288" t="s">
        <v>359</v>
      </c>
    </row>
    <row r="40" ht="12.75">
      <c r="C40" s="289">
        <f>C15+C22+C26+C31+C37</f>
        <v>36465093</v>
      </c>
    </row>
  </sheetData>
  <sheetProtection/>
  <mergeCells count="5">
    <mergeCell ref="A1:C1"/>
    <mergeCell ref="A5:C5"/>
    <mergeCell ref="A7:D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8"/>
  <sheetViews>
    <sheetView view="pageBreakPreview" zoomScale="60" zoomScalePageLayoutView="0" workbookViewId="0" topLeftCell="A37">
      <selection activeCell="J20" sqref="J20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2.75">
      <c r="A1" s="306" t="s">
        <v>396</v>
      </c>
      <c r="B1" s="306"/>
      <c r="C1" s="306"/>
    </row>
    <row r="2" spans="1:3" ht="15.75">
      <c r="A2" s="25"/>
      <c r="B2" s="25"/>
      <c r="C2" s="26"/>
    </row>
    <row r="3" spans="1:3" ht="15.75">
      <c r="A3" s="419" t="s">
        <v>338</v>
      </c>
      <c r="B3" s="420"/>
      <c r="C3" s="420"/>
    </row>
    <row r="4" spans="1:3" ht="15.75">
      <c r="A4" s="27"/>
      <c r="B4" s="27"/>
      <c r="C4" s="28"/>
    </row>
    <row r="5" spans="1:3" ht="7.5" customHeight="1">
      <c r="A5" s="421"/>
      <c r="B5" s="421"/>
      <c r="C5" s="421"/>
    </row>
    <row r="6" spans="1:3" ht="15.75">
      <c r="A6" s="422"/>
      <c r="B6" s="422"/>
      <c r="C6" s="422"/>
    </row>
    <row r="7" spans="1:3" ht="15.75">
      <c r="A7" s="422"/>
      <c r="B7" s="422"/>
      <c r="C7" s="422"/>
    </row>
    <row r="8" spans="1:3" ht="3" customHeight="1">
      <c r="A8" s="30"/>
      <c r="B8" s="60"/>
      <c r="C8" s="60"/>
    </row>
    <row r="9" spans="1:3" ht="6.75" customHeight="1">
      <c r="A9" s="30"/>
      <c r="B9" s="60"/>
      <c r="C9" s="60"/>
    </row>
    <row r="10" spans="1:3" ht="15.75">
      <c r="A10" s="422" t="s">
        <v>4</v>
      </c>
      <c r="B10" s="422"/>
      <c r="C10" s="422"/>
    </row>
    <row r="11" spans="1:3" ht="15.75">
      <c r="A11" s="422" t="s">
        <v>33</v>
      </c>
      <c r="B11" s="422"/>
      <c r="C11" s="422"/>
    </row>
    <row r="12" spans="1:3" ht="15.75">
      <c r="A12" s="422" t="s">
        <v>34</v>
      </c>
      <c r="B12" s="422"/>
      <c r="C12" s="422"/>
    </row>
    <row r="13" spans="1:3" ht="15.75">
      <c r="A13" s="422" t="s">
        <v>287</v>
      </c>
      <c r="B13" s="422"/>
      <c r="C13" s="422"/>
    </row>
    <row r="14" spans="1:3" ht="16.5" thickBot="1">
      <c r="A14" s="27"/>
      <c r="B14" s="27"/>
      <c r="C14" s="28"/>
    </row>
    <row r="15" spans="1:3" ht="15.75">
      <c r="A15" s="31" t="s">
        <v>5</v>
      </c>
      <c r="B15" s="32"/>
      <c r="C15" s="33" t="s">
        <v>0</v>
      </c>
    </row>
    <row r="16" spans="1:3" ht="15.75">
      <c r="A16" s="34"/>
      <c r="B16" s="35" t="s">
        <v>3</v>
      </c>
      <c r="C16" s="36"/>
    </row>
    <row r="17" spans="1:3" ht="16.5" thickBot="1">
      <c r="A17" s="37" t="s">
        <v>6</v>
      </c>
      <c r="B17" s="38"/>
      <c r="C17" s="39" t="s">
        <v>35</v>
      </c>
    </row>
    <row r="18" spans="1:3" ht="20.25" customHeight="1">
      <c r="A18" s="423" t="s">
        <v>36</v>
      </c>
      <c r="B18" s="423"/>
      <c r="C18" s="423"/>
    </row>
    <row r="19" spans="1:3" ht="22.5" customHeight="1">
      <c r="A19" s="40" t="s">
        <v>7</v>
      </c>
      <c r="B19" s="41" t="s">
        <v>37</v>
      </c>
      <c r="C19" s="42"/>
    </row>
    <row r="20" spans="1:3" ht="22.5" customHeight="1">
      <c r="A20" s="40"/>
      <c r="B20" s="11" t="s">
        <v>38</v>
      </c>
      <c r="C20" s="42">
        <f>Bevételek!H46</f>
        <v>14918322</v>
      </c>
    </row>
    <row r="21" spans="1:3" ht="22.5" customHeight="1">
      <c r="A21" s="40"/>
      <c r="B21" s="12" t="s">
        <v>39</v>
      </c>
      <c r="C21" s="42">
        <f>Bevételek!H52</f>
        <v>2381856</v>
      </c>
    </row>
    <row r="22" spans="1:3" ht="22.5" customHeight="1">
      <c r="A22" s="40" t="s">
        <v>8</v>
      </c>
      <c r="B22" s="41" t="s">
        <v>40</v>
      </c>
      <c r="C22" s="42">
        <f>Bevételek!H70</f>
        <v>1320000</v>
      </c>
    </row>
    <row r="23" spans="1:3" ht="22.5" customHeight="1">
      <c r="A23" s="40" t="s">
        <v>9</v>
      </c>
      <c r="B23" s="41" t="s">
        <v>41</v>
      </c>
      <c r="C23" s="42">
        <f>Bevételek!H78</f>
        <v>11068723</v>
      </c>
    </row>
    <row r="24" spans="1:3" ht="22.5" customHeight="1">
      <c r="A24" s="40" t="s">
        <v>10</v>
      </c>
      <c r="B24" s="43" t="s">
        <v>13</v>
      </c>
      <c r="C24" s="42"/>
    </row>
    <row r="25" spans="1:3" ht="32.25" customHeight="1">
      <c r="A25" s="40"/>
      <c r="B25" s="12" t="s">
        <v>42</v>
      </c>
      <c r="C25" s="42"/>
    </row>
    <row r="26" spans="1:3" ht="22.5" customHeight="1">
      <c r="A26" s="40"/>
      <c r="B26" s="11" t="s">
        <v>43</v>
      </c>
      <c r="C26" s="42"/>
    </row>
    <row r="27" spans="1:3" ht="28.5" customHeight="1">
      <c r="A27" s="61"/>
      <c r="B27" s="62" t="s">
        <v>44</v>
      </c>
      <c r="C27" s="56">
        <f>SUM(C20:C26)</f>
        <v>29688901</v>
      </c>
    </row>
    <row r="28" spans="1:3" ht="22.5" customHeight="1">
      <c r="A28" s="29" t="s">
        <v>11</v>
      </c>
      <c r="B28" s="41" t="s">
        <v>45</v>
      </c>
      <c r="C28" s="16">
        <f>'Korm.funkciók'!E33</f>
        <v>8418934</v>
      </c>
    </row>
    <row r="29" spans="1:3" ht="22.5" customHeight="1">
      <c r="A29" s="29" t="s">
        <v>12</v>
      </c>
      <c r="B29" s="41" t="s">
        <v>46</v>
      </c>
      <c r="C29" s="16">
        <f>'Korm.funkciók'!F33</f>
        <v>1820642</v>
      </c>
    </row>
    <row r="30" spans="1:3" ht="22.5" customHeight="1">
      <c r="A30" s="29" t="s">
        <v>14</v>
      </c>
      <c r="B30" s="46" t="s">
        <v>47</v>
      </c>
      <c r="C30" s="16">
        <f>'Korm.funkciók'!G33</f>
        <v>18302397</v>
      </c>
    </row>
    <row r="31" spans="1:3" ht="22.5" customHeight="1">
      <c r="A31" s="29" t="s">
        <v>15</v>
      </c>
      <c r="B31" s="46" t="s">
        <v>48</v>
      </c>
      <c r="C31" s="16">
        <f>'Korm.funkciók'!H33</f>
        <v>1522200</v>
      </c>
    </row>
    <row r="32" spans="1:3" ht="22.5" customHeight="1">
      <c r="A32" s="29" t="s">
        <v>16</v>
      </c>
      <c r="B32" s="46" t="s">
        <v>49</v>
      </c>
      <c r="C32" s="16"/>
    </row>
    <row r="33" spans="1:3" ht="22.5" customHeight="1">
      <c r="A33" s="29"/>
      <c r="B33" s="46" t="s">
        <v>50</v>
      </c>
      <c r="C33" s="16">
        <v>33386</v>
      </c>
    </row>
    <row r="34" spans="1:3" ht="29.25" customHeight="1">
      <c r="A34" s="29"/>
      <c r="B34" s="12" t="s">
        <v>51</v>
      </c>
      <c r="C34" s="18"/>
    </row>
    <row r="35" spans="1:3" ht="22.5" customHeight="1">
      <c r="A35" s="29"/>
      <c r="B35" s="46" t="s">
        <v>52</v>
      </c>
      <c r="C35" s="16">
        <v>546600</v>
      </c>
    </row>
    <row r="36" spans="1:3" ht="22.5" customHeight="1">
      <c r="A36" s="29"/>
      <c r="B36" s="46" t="s">
        <v>53</v>
      </c>
      <c r="C36" s="28">
        <f>10889974+220625</f>
        <v>11110599</v>
      </c>
    </row>
    <row r="37" spans="1:3" ht="32.25" customHeight="1">
      <c r="A37" s="61"/>
      <c r="B37" s="62" t="s">
        <v>54</v>
      </c>
      <c r="C37" s="56">
        <f>SUM(C28:C36)</f>
        <v>41754758</v>
      </c>
    </row>
    <row r="38" spans="1:3" ht="15.75">
      <c r="A38" s="40"/>
      <c r="B38" s="41"/>
      <c r="C38" s="42"/>
    </row>
    <row r="39" spans="1:3" ht="15.75">
      <c r="A39" s="40"/>
      <c r="B39" s="41"/>
      <c r="C39" s="42"/>
    </row>
    <row r="40" spans="1:3" ht="15.75">
      <c r="A40" s="40"/>
      <c r="B40" s="41"/>
      <c r="C40" s="42"/>
    </row>
    <row r="41" spans="1:3" ht="15.75">
      <c r="A41" s="424">
        <v>2</v>
      </c>
      <c r="B41" s="424"/>
      <c r="C41" s="424"/>
    </row>
    <row r="42" spans="1:3" ht="16.5" thickBot="1">
      <c r="A42" s="40"/>
      <c r="B42" s="41"/>
      <c r="C42" s="42"/>
    </row>
    <row r="43" spans="1:3" ht="15.75">
      <c r="A43" s="31" t="s">
        <v>5</v>
      </c>
      <c r="B43" s="32"/>
      <c r="C43" s="33" t="s">
        <v>0</v>
      </c>
    </row>
    <row r="44" spans="1:3" ht="15.75">
      <c r="A44" s="34"/>
      <c r="B44" s="35" t="s">
        <v>3</v>
      </c>
      <c r="C44" s="36"/>
    </row>
    <row r="45" spans="1:3" ht="16.5" thickBot="1">
      <c r="A45" s="37" t="s">
        <v>6</v>
      </c>
      <c r="B45" s="38"/>
      <c r="C45" s="39" t="s">
        <v>35</v>
      </c>
    </row>
    <row r="46" spans="1:3" ht="15.75">
      <c r="A46" s="425" t="s">
        <v>55</v>
      </c>
      <c r="B46" s="425"/>
      <c r="C46" s="425"/>
    </row>
    <row r="47" spans="1:3" ht="22.5" customHeight="1">
      <c r="A47" s="29" t="s">
        <v>17</v>
      </c>
      <c r="B47" s="47" t="s">
        <v>56</v>
      </c>
      <c r="C47" s="28">
        <f>Bevételek!H59</f>
        <v>34587111</v>
      </c>
    </row>
    <row r="48" spans="1:3" ht="22.5" customHeight="1">
      <c r="A48" s="29" t="s">
        <v>19</v>
      </c>
      <c r="B48" s="47" t="s">
        <v>57</v>
      </c>
      <c r="C48" s="28"/>
    </row>
    <row r="49" spans="1:3" ht="22.5" customHeight="1">
      <c r="A49" s="29" t="s">
        <v>20</v>
      </c>
      <c r="B49" s="43" t="s">
        <v>58</v>
      </c>
      <c r="C49" s="28"/>
    </row>
    <row r="50" spans="1:3" ht="31.5" customHeight="1">
      <c r="A50" s="29"/>
      <c r="B50" s="12" t="s">
        <v>59</v>
      </c>
      <c r="C50" s="28" t="e">
        <f>Bevételek!#REF!</f>
        <v>#REF!</v>
      </c>
    </row>
    <row r="51" spans="1:3" ht="22.5" customHeight="1">
      <c r="A51" s="29"/>
      <c r="B51" s="11" t="s">
        <v>60</v>
      </c>
      <c r="C51" s="28"/>
    </row>
    <row r="52" spans="1:3" ht="24.75" customHeight="1">
      <c r="A52" s="61"/>
      <c r="B52" s="62" t="s">
        <v>61</v>
      </c>
      <c r="C52" s="56" t="e">
        <f>SUM(C47:C51)</f>
        <v>#REF!</v>
      </c>
    </row>
    <row r="53" spans="1:3" ht="22.5" customHeight="1">
      <c r="A53" s="29" t="s">
        <v>22</v>
      </c>
      <c r="B53" s="47" t="s">
        <v>62</v>
      </c>
      <c r="C53" s="28">
        <f>'Korm.funkciók'!K33</f>
        <v>36465093</v>
      </c>
    </row>
    <row r="54" spans="1:3" ht="22.5" customHeight="1">
      <c r="A54" s="29" t="s">
        <v>24</v>
      </c>
      <c r="B54" s="47" t="s">
        <v>63</v>
      </c>
      <c r="C54" s="28">
        <f>'Korm.funkciók'!L33</f>
        <v>817173</v>
      </c>
    </row>
    <row r="55" spans="1:3" ht="22.5" customHeight="1">
      <c r="A55" s="29" t="s">
        <v>25</v>
      </c>
      <c r="B55" s="43" t="s">
        <v>30</v>
      </c>
      <c r="C55" s="28"/>
    </row>
    <row r="56" spans="1:3" ht="33.75" customHeight="1">
      <c r="A56" s="29"/>
      <c r="B56" s="12" t="s">
        <v>64</v>
      </c>
      <c r="C56" s="28"/>
    </row>
    <row r="57" spans="1:3" ht="22.5" customHeight="1">
      <c r="A57" s="29"/>
      <c r="B57" s="99" t="s">
        <v>263</v>
      </c>
      <c r="C57" s="28"/>
    </row>
    <row r="58" spans="1:3" ht="16.5" thickBot="1">
      <c r="A58" s="44"/>
      <c r="B58" s="62" t="s">
        <v>65</v>
      </c>
      <c r="C58" s="56">
        <f>SUM(C53:C57)</f>
        <v>37282266</v>
      </c>
    </row>
    <row r="59" spans="1:3" ht="28.5" customHeight="1" thickBot="1">
      <c r="A59" s="48"/>
      <c r="B59" s="49" t="s">
        <v>66</v>
      </c>
      <c r="C59" s="50" t="e">
        <f>C27+C52</f>
        <v>#REF!</v>
      </c>
    </row>
    <row r="60" spans="1:3" ht="27" customHeight="1" thickBot="1">
      <c r="A60" s="48"/>
      <c r="B60" s="49" t="s">
        <v>67</v>
      </c>
      <c r="C60" s="50">
        <f>C37+C58</f>
        <v>79037024</v>
      </c>
    </row>
    <row r="61" spans="1:3" ht="15.75">
      <c r="A61" s="51"/>
      <c r="B61" s="52"/>
      <c r="C61" s="53"/>
    </row>
    <row r="62" spans="1:3" ht="15.75">
      <c r="A62" s="27"/>
      <c r="B62" s="27"/>
      <c r="C62" s="28"/>
    </row>
    <row r="63" spans="1:3" ht="15.75">
      <c r="A63" s="426" t="s">
        <v>68</v>
      </c>
      <c r="B63" s="426"/>
      <c r="C63" s="426"/>
    </row>
    <row r="64" spans="1:3" ht="15.75">
      <c r="A64" s="54"/>
      <c r="B64" s="54"/>
      <c r="C64" s="54"/>
    </row>
    <row r="65" spans="1:3" ht="22.5" customHeight="1">
      <c r="A65" s="44" t="s">
        <v>27</v>
      </c>
      <c r="B65" s="55" t="s">
        <v>69</v>
      </c>
      <c r="C65" s="45">
        <f>4260731+10998822</f>
        <v>15259553</v>
      </c>
    </row>
    <row r="66" spans="1:3" ht="22.5" customHeight="1">
      <c r="A66" s="44"/>
      <c r="B66" s="62" t="s">
        <v>70</v>
      </c>
      <c r="C66" s="56">
        <f>C65</f>
        <v>15259553</v>
      </c>
    </row>
    <row r="67" spans="1:3" ht="22.5" customHeight="1">
      <c r="A67" s="44" t="s">
        <v>29</v>
      </c>
      <c r="B67" s="55" t="s">
        <v>281</v>
      </c>
      <c r="C67" s="45">
        <v>498541</v>
      </c>
    </row>
    <row r="68" spans="1:3" ht="22.5" customHeight="1">
      <c r="A68" s="44" t="s">
        <v>31</v>
      </c>
      <c r="B68" s="55" t="s">
        <v>71</v>
      </c>
      <c r="C68" s="45">
        <v>0</v>
      </c>
    </row>
    <row r="69" spans="1:3" ht="22.5" customHeight="1" thickBot="1">
      <c r="A69" s="44"/>
      <c r="B69" s="62" t="s">
        <v>72</v>
      </c>
      <c r="C69" s="56">
        <f>SUM(C67:C68)</f>
        <v>498541</v>
      </c>
    </row>
    <row r="70" spans="1:3" ht="24.75" customHeight="1" thickBot="1">
      <c r="A70" s="57"/>
      <c r="B70" s="58" t="s">
        <v>73</v>
      </c>
      <c r="C70" s="59" t="e">
        <f>C59+C66</f>
        <v>#REF!</v>
      </c>
    </row>
    <row r="71" spans="1:3" ht="27" customHeight="1" thickBot="1">
      <c r="A71" s="57"/>
      <c r="B71" s="58" t="s">
        <v>74</v>
      </c>
      <c r="C71" s="59">
        <f>C60+C69</f>
        <v>79535565</v>
      </c>
    </row>
    <row r="72" spans="1:3" ht="15.75">
      <c r="A72" s="27"/>
      <c r="B72" s="27"/>
      <c r="C72" s="28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</sheetData>
  <sheetProtection/>
  <mergeCells count="13">
    <mergeCell ref="A41:C41"/>
    <mergeCell ref="A46:C46"/>
    <mergeCell ref="A63:C63"/>
    <mergeCell ref="A10:C10"/>
    <mergeCell ref="A11:C11"/>
    <mergeCell ref="A12:C12"/>
    <mergeCell ref="A13:C13"/>
    <mergeCell ref="A1:C1"/>
    <mergeCell ref="A3:C3"/>
    <mergeCell ref="A5:C5"/>
    <mergeCell ref="A6:C6"/>
    <mergeCell ref="A7:C7"/>
    <mergeCell ref="A18:C18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58"/>
  <sheetViews>
    <sheetView view="pageBreakPreview" zoomScale="90" zoomScaleNormal="75" zoomScaleSheetLayoutView="90" zoomScalePageLayoutView="0" workbookViewId="0" topLeftCell="A1">
      <selection activeCell="Q37" sqref="Q37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2.375" style="0" customWidth="1"/>
    <col min="7" max="7" width="14.625" style="0" customWidth="1"/>
    <col min="8" max="8" width="14.00390625" style="0" customWidth="1"/>
    <col min="9" max="9" width="13.875" style="0" customWidth="1"/>
    <col min="10" max="10" width="14.125" style="0" customWidth="1"/>
    <col min="11" max="11" width="14.00390625" style="0" customWidth="1"/>
    <col min="12" max="12" width="13.87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2:15" ht="12.75">
      <c r="B1" s="306" t="s">
        <v>397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2.75">
      <c r="A2" s="427" t="s">
        <v>339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6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2.75" customHeight="1" hidden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</row>
    <row r="5" spans="1:15" ht="12.75">
      <c r="A5" s="1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</row>
    <row r="6" spans="1:15" ht="12.75">
      <c r="A6" s="1"/>
      <c r="B6" s="429" t="s">
        <v>4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</row>
    <row r="7" spans="1:15" ht="12.75">
      <c r="A7" s="1"/>
      <c r="B7" s="429" t="s">
        <v>290</v>
      </c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</row>
    <row r="8" spans="1:15" ht="13.5" thickBot="1">
      <c r="A8" s="1"/>
      <c r="B8" s="1"/>
      <c r="C8" s="167"/>
      <c r="D8" s="167"/>
      <c r="E8" s="167"/>
      <c r="F8" s="168"/>
      <c r="G8" s="167"/>
      <c r="H8" s="167"/>
      <c r="I8" s="167"/>
      <c r="J8" s="167"/>
      <c r="K8" s="169"/>
      <c r="L8" s="169"/>
      <c r="M8" s="169"/>
      <c r="N8" s="169"/>
      <c r="O8" s="125" t="s">
        <v>291</v>
      </c>
    </row>
    <row r="9" spans="1:15" ht="12.75">
      <c r="A9" s="170" t="s">
        <v>5</v>
      </c>
      <c r="B9" s="171"/>
      <c r="C9" s="172"/>
      <c r="D9" s="173"/>
      <c r="E9" s="174"/>
      <c r="F9" s="175"/>
      <c r="G9" s="175"/>
      <c r="H9" s="175"/>
      <c r="I9" s="175"/>
      <c r="J9" s="175"/>
      <c r="K9" s="176"/>
      <c r="L9" s="176"/>
      <c r="M9" s="176"/>
      <c r="N9" s="177"/>
      <c r="O9" s="178"/>
    </row>
    <row r="10" spans="1:15" ht="12.75">
      <c r="A10" s="179"/>
      <c r="B10" s="180" t="s">
        <v>3</v>
      </c>
      <c r="C10" s="181" t="s">
        <v>208</v>
      </c>
      <c r="D10" s="182" t="s">
        <v>209</v>
      </c>
      <c r="E10" s="183" t="s">
        <v>210</v>
      </c>
      <c r="F10" s="184" t="s">
        <v>211</v>
      </c>
      <c r="G10" s="184" t="s">
        <v>212</v>
      </c>
      <c r="H10" s="184" t="s">
        <v>213</v>
      </c>
      <c r="I10" s="184" t="s">
        <v>214</v>
      </c>
      <c r="J10" s="184" t="s">
        <v>215</v>
      </c>
      <c r="K10" s="184" t="s">
        <v>216</v>
      </c>
      <c r="L10" s="184" t="s">
        <v>217</v>
      </c>
      <c r="M10" s="184" t="s">
        <v>218</v>
      </c>
      <c r="N10" s="183" t="s">
        <v>219</v>
      </c>
      <c r="O10" s="185" t="s">
        <v>220</v>
      </c>
    </row>
    <row r="11" spans="1:15" ht="13.5" thickBot="1">
      <c r="A11" s="186" t="s">
        <v>6</v>
      </c>
      <c r="B11" s="187"/>
      <c r="C11" s="188"/>
      <c r="D11" s="189"/>
      <c r="E11" s="190"/>
      <c r="F11" s="191"/>
      <c r="G11" s="191"/>
      <c r="H11" s="191"/>
      <c r="I11" s="191"/>
      <c r="J11" s="191"/>
      <c r="K11" s="191"/>
      <c r="L11" s="191"/>
      <c r="M11" s="191"/>
      <c r="N11" s="190"/>
      <c r="O11" s="188"/>
    </row>
    <row r="12" spans="1:15" ht="12.75">
      <c r="A12" s="192"/>
      <c r="B12" s="193" t="s">
        <v>221</v>
      </c>
      <c r="C12" s="194"/>
      <c r="D12" s="195"/>
      <c r="E12" s="196"/>
      <c r="F12" s="194"/>
      <c r="G12" s="194"/>
      <c r="H12" s="194"/>
      <c r="I12" s="194"/>
      <c r="J12" s="194"/>
      <c r="K12" s="194"/>
      <c r="L12" s="194"/>
      <c r="M12" s="194"/>
      <c r="N12" s="196"/>
      <c r="O12" s="197"/>
    </row>
    <row r="13" spans="1:15" ht="25.5">
      <c r="A13" s="198" t="s">
        <v>7</v>
      </c>
      <c r="B13" s="199" t="s">
        <v>222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</row>
    <row r="14" spans="1:15" ht="25.5">
      <c r="A14" s="198"/>
      <c r="B14" s="199" t="s">
        <v>223</v>
      </c>
      <c r="C14" s="200">
        <f>1495622</f>
        <v>1495622</v>
      </c>
      <c r="D14" s="200">
        <f>997082</f>
        <v>997082</v>
      </c>
      <c r="E14" s="200">
        <f>997082</f>
        <v>997082</v>
      </c>
      <c r="F14" s="200">
        <f>997082</f>
        <v>997082</v>
      </c>
      <c r="G14" s="200">
        <v>997082</v>
      </c>
      <c r="H14" s="200">
        <v>997082</v>
      </c>
      <c r="I14" s="200">
        <v>997082</v>
      </c>
      <c r="J14" s="200">
        <f>997082+1000000+55360+661875+65336+55000+8336</f>
        <v>2842989</v>
      </c>
      <c r="K14" s="200">
        <f>997082+16333</f>
        <v>1013415</v>
      </c>
      <c r="L14" s="200">
        <f>997082+16333+355600+220625</f>
        <v>1589640</v>
      </c>
      <c r="M14" s="200">
        <v>997082</v>
      </c>
      <c r="N14" s="200">
        <v>997082</v>
      </c>
      <c r="O14" s="201">
        <f>SUM(C14:N14)</f>
        <v>14918322</v>
      </c>
    </row>
    <row r="15" spans="1:15" ht="25.5">
      <c r="A15" s="198"/>
      <c r="B15" s="202" t="s">
        <v>224</v>
      </c>
      <c r="C15" s="200">
        <f>14336+179682</f>
        <v>194018</v>
      </c>
      <c r="D15" s="200">
        <f>16333+180996</f>
        <v>197329</v>
      </c>
      <c r="E15" s="200">
        <f>16333+180996-8336</f>
        <v>188993</v>
      </c>
      <c r="F15" s="200">
        <f>16334+180996</f>
        <v>197330</v>
      </c>
      <c r="G15" s="200">
        <v>197330</v>
      </c>
      <c r="H15" s="200">
        <v>197330</v>
      </c>
      <c r="I15" s="200">
        <v>197330</v>
      </c>
      <c r="J15" s="200">
        <f>26100+131994+221010+300000-55000</f>
        <v>624104</v>
      </c>
      <c r="K15" s="200">
        <v>180996</v>
      </c>
      <c r="L15" s="200">
        <f>26100+180996</f>
        <v>207096</v>
      </c>
      <c r="M15" s="200"/>
      <c r="N15" s="200"/>
      <c r="O15" s="201">
        <f>SUM(C15:N15)</f>
        <v>2381856</v>
      </c>
    </row>
    <row r="16" spans="1:15" ht="25.5">
      <c r="A16" s="198" t="s">
        <v>8</v>
      </c>
      <c r="B16" s="202" t="s">
        <v>225</v>
      </c>
      <c r="C16" s="200"/>
      <c r="D16" s="200"/>
      <c r="E16" s="200"/>
      <c r="F16" s="200"/>
      <c r="G16" s="200"/>
      <c r="H16" s="200">
        <v>13735678</v>
      </c>
      <c r="I16" s="200"/>
      <c r="J16" s="200"/>
      <c r="K16" s="200"/>
      <c r="L16" s="200"/>
      <c r="M16" s="200">
        <v>55000</v>
      </c>
      <c r="N16" s="200">
        <f>34532111-H16</f>
        <v>20796433</v>
      </c>
      <c r="O16" s="201">
        <f aca="true" t="shared" si="0" ref="O16:O26">SUM(C16:N16)</f>
        <v>34587111</v>
      </c>
    </row>
    <row r="17" spans="1:15" ht="12.75">
      <c r="A17" s="198" t="s">
        <v>9</v>
      </c>
      <c r="B17" s="202" t="s">
        <v>226</v>
      </c>
      <c r="C17" s="203"/>
      <c r="D17" s="203">
        <v>30000</v>
      </c>
      <c r="E17" s="203">
        <v>300000</v>
      </c>
      <c r="F17" s="203">
        <v>100000</v>
      </c>
      <c r="G17" s="203">
        <v>40000</v>
      </c>
      <c r="H17" s="203">
        <v>30000</v>
      </c>
      <c r="I17" s="203">
        <v>40000</v>
      </c>
      <c r="J17" s="203">
        <v>80000</v>
      </c>
      <c r="K17" s="203">
        <v>420000</v>
      </c>
      <c r="L17" s="203">
        <v>90000</v>
      </c>
      <c r="M17" s="203">
        <v>140000</v>
      </c>
      <c r="N17" s="203">
        <v>50000</v>
      </c>
      <c r="O17" s="201">
        <f t="shared" si="0"/>
        <v>1320000</v>
      </c>
    </row>
    <row r="18" spans="1:15" ht="12.75">
      <c r="A18" s="198" t="s">
        <v>10</v>
      </c>
      <c r="B18" s="204" t="s">
        <v>227</v>
      </c>
      <c r="C18" s="203">
        <v>75630</v>
      </c>
      <c r="D18" s="203">
        <v>75630</v>
      </c>
      <c r="E18" s="203">
        <v>75630</v>
      </c>
      <c r="F18" s="203">
        <v>75630</v>
      </c>
      <c r="G18" s="203">
        <f>630000+263418-54531</f>
        <v>838887</v>
      </c>
      <c r="H18" s="203">
        <f>75630+3708633</f>
        <v>3784263</v>
      </c>
      <c r="I18" s="203">
        <v>75630</v>
      </c>
      <c r="J18" s="203">
        <v>75630</v>
      </c>
      <c r="K18" s="203">
        <v>75630</v>
      </c>
      <c r="L18" s="203">
        <v>75630</v>
      </c>
      <c r="M18" s="203">
        <v>75630</v>
      </c>
      <c r="N18" s="203">
        <f>77630+5689255-1982</f>
        <v>5764903</v>
      </c>
      <c r="O18" s="201">
        <f>SUM(C18:N18)</f>
        <v>11068723</v>
      </c>
    </row>
    <row r="19" spans="1:15" ht="12.75">
      <c r="A19" s="198" t="s">
        <v>11</v>
      </c>
      <c r="B19" s="204" t="s">
        <v>228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1">
        <f t="shared" si="0"/>
        <v>0</v>
      </c>
    </row>
    <row r="20" spans="1:15" ht="12.75">
      <c r="A20" s="198" t="s">
        <v>12</v>
      </c>
      <c r="B20" s="204" t="s">
        <v>13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6"/>
      <c r="O20" s="201">
        <f t="shared" si="0"/>
        <v>0</v>
      </c>
    </row>
    <row r="21" spans="1:15" ht="25.5">
      <c r="A21" s="198"/>
      <c r="B21" s="202" t="s">
        <v>229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8"/>
      <c r="O21" s="201">
        <f t="shared" si="0"/>
        <v>0</v>
      </c>
    </row>
    <row r="22" spans="1:15" ht="12.75">
      <c r="A22" s="198"/>
      <c r="B22" s="202" t="s">
        <v>230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/>
      <c r="O22" s="201">
        <f t="shared" si="0"/>
        <v>0</v>
      </c>
    </row>
    <row r="23" spans="1:15" ht="12.75">
      <c r="A23" s="198" t="s">
        <v>14</v>
      </c>
      <c r="B23" s="204" t="s">
        <v>231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8"/>
      <c r="O23" s="201">
        <f t="shared" si="0"/>
        <v>0</v>
      </c>
    </row>
    <row r="24" spans="1:15" ht="25.5">
      <c r="A24" s="198"/>
      <c r="B24" s="202" t="s">
        <v>232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8"/>
      <c r="O24" s="201"/>
    </row>
    <row r="25" spans="1:15" ht="12.75">
      <c r="A25" s="198"/>
      <c r="B25" s="202" t="s">
        <v>233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8"/>
      <c r="O25" s="201">
        <f t="shared" si="0"/>
        <v>0</v>
      </c>
    </row>
    <row r="26" spans="1:15" ht="12.75">
      <c r="A26" s="198" t="s">
        <v>15</v>
      </c>
      <c r="B26" s="204" t="s">
        <v>234</v>
      </c>
      <c r="C26" s="207">
        <v>498541</v>
      </c>
      <c r="D26" s="207">
        <v>2950000</v>
      </c>
      <c r="E26" s="207">
        <v>812190</v>
      </c>
      <c r="F26" s="207"/>
      <c r="G26" s="207">
        <v>10998822</v>
      </c>
      <c r="H26" s="207"/>
      <c r="I26" s="207"/>
      <c r="J26" s="207"/>
      <c r="K26" s="207"/>
      <c r="L26" s="207"/>
      <c r="M26" s="207"/>
      <c r="N26" s="208"/>
      <c r="O26" s="201">
        <f t="shared" si="0"/>
        <v>15259553</v>
      </c>
    </row>
    <row r="27" spans="1:15" ht="13.5" thickBot="1">
      <c r="A27" s="209" t="s">
        <v>16</v>
      </c>
      <c r="B27" s="210" t="s">
        <v>235</v>
      </c>
      <c r="C27" s="207"/>
      <c r="D27" s="207">
        <f>C48</f>
        <v>623862</v>
      </c>
      <c r="E27" s="207">
        <f aca="true" t="shared" si="1" ref="E27:N27">D48</f>
        <v>3626191</v>
      </c>
      <c r="F27" s="207">
        <f t="shared" si="1"/>
        <v>3739387</v>
      </c>
      <c r="G27" s="207">
        <f t="shared" si="1"/>
        <v>2832440</v>
      </c>
      <c r="H27" s="207">
        <f t="shared" si="1"/>
        <v>3310818</v>
      </c>
      <c r="I27" s="207">
        <f t="shared" si="1"/>
        <v>3075792</v>
      </c>
      <c r="J27" s="207">
        <f t="shared" si="1"/>
        <v>1748492</v>
      </c>
      <c r="K27" s="207">
        <f t="shared" si="1"/>
        <v>2230352</v>
      </c>
      <c r="L27" s="207">
        <f t="shared" si="1"/>
        <v>1753333</v>
      </c>
      <c r="M27" s="207">
        <f t="shared" si="1"/>
        <v>1475214</v>
      </c>
      <c r="N27" s="207">
        <f t="shared" si="1"/>
        <v>561151</v>
      </c>
      <c r="O27" s="201"/>
    </row>
    <row r="28" spans="1:15" ht="13.5" thickBot="1">
      <c r="A28" s="211"/>
      <c r="B28" s="211" t="s">
        <v>236</v>
      </c>
      <c r="C28" s="212">
        <f>SUM(C14:C27)</f>
        <v>2263811</v>
      </c>
      <c r="D28" s="212">
        <f aca="true" t="shared" si="2" ref="D28:N28">SUM(D14:D27)</f>
        <v>4873903</v>
      </c>
      <c r="E28" s="212">
        <f t="shared" si="2"/>
        <v>6000086</v>
      </c>
      <c r="F28" s="212">
        <f t="shared" si="2"/>
        <v>5109429</v>
      </c>
      <c r="G28" s="212">
        <f t="shared" si="2"/>
        <v>15904561</v>
      </c>
      <c r="H28" s="212">
        <f t="shared" si="2"/>
        <v>22055171</v>
      </c>
      <c r="I28" s="212">
        <f t="shared" si="2"/>
        <v>4385834</v>
      </c>
      <c r="J28" s="212">
        <f t="shared" si="2"/>
        <v>5371215</v>
      </c>
      <c r="K28" s="212">
        <f t="shared" si="2"/>
        <v>3920393</v>
      </c>
      <c r="L28" s="212">
        <f t="shared" si="2"/>
        <v>3715699</v>
      </c>
      <c r="M28" s="212">
        <f t="shared" si="2"/>
        <v>2742926</v>
      </c>
      <c r="N28" s="212">
        <f t="shared" si="2"/>
        <v>28169569</v>
      </c>
      <c r="O28" s="213">
        <f>SUM(O14:O27)</f>
        <v>79535565</v>
      </c>
    </row>
    <row r="29" spans="1:15" ht="12.75">
      <c r="A29" s="214"/>
      <c r="B29" s="215" t="s">
        <v>237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16"/>
    </row>
    <row r="30" spans="1:15" ht="12.75">
      <c r="A30" s="198" t="s">
        <v>17</v>
      </c>
      <c r="B30" s="204" t="s">
        <v>18</v>
      </c>
      <c r="C30" s="200">
        <f>533178+10+12864+22000+158312</f>
        <v>726364</v>
      </c>
      <c r="D30" s="200">
        <f>533178+12864+163060</f>
        <v>709102</v>
      </c>
      <c r="E30" s="200">
        <f>533178+12864+163060</f>
        <v>709102</v>
      </c>
      <c r="F30" s="200">
        <f>533178+12861+163060+2108</f>
        <v>711207</v>
      </c>
      <c r="G30" s="200">
        <f>533178+175921</f>
        <v>709099</v>
      </c>
      <c r="H30" s="200">
        <f>533178+175921</f>
        <v>709099</v>
      </c>
      <c r="I30" s="200">
        <f>533178+175921</f>
        <v>709099</v>
      </c>
      <c r="J30" s="200">
        <f>533178+175921+181155</f>
        <v>890254</v>
      </c>
      <c r="K30" s="200">
        <f>533178+13388+163060</f>
        <v>709626</v>
      </c>
      <c r="L30" s="200">
        <f>533178+13388+163060+60000</f>
        <v>769626</v>
      </c>
      <c r="M30" s="200">
        <v>533178</v>
      </c>
      <c r="N30" s="200">
        <v>533178</v>
      </c>
      <c r="O30" s="201">
        <f aca="true" t="shared" si="3" ref="O30:O46">SUM(C30:N30)</f>
        <v>8418934</v>
      </c>
    </row>
    <row r="31" spans="1:15" ht="25.5">
      <c r="A31" s="198" t="s">
        <v>19</v>
      </c>
      <c r="B31" s="202" t="s">
        <v>238</v>
      </c>
      <c r="C31" s="200">
        <f>130703+2971+21370</f>
        <v>155044</v>
      </c>
      <c r="D31" s="200">
        <f>130703+2971+17936</f>
        <v>151610</v>
      </c>
      <c r="E31" s="200">
        <f>130703+2971+17936</f>
        <v>151610</v>
      </c>
      <c r="F31" s="200">
        <f>130703+2970+17936</f>
        <v>151609</v>
      </c>
      <c r="G31" s="200">
        <f>130703+20906</f>
        <v>151609</v>
      </c>
      <c r="H31" s="200">
        <f>130703+20906</f>
        <v>151609</v>
      </c>
      <c r="I31" s="200">
        <f>130703+20906+39855-96</f>
        <v>191368</v>
      </c>
      <c r="J31" s="200">
        <f>130703+20906</f>
        <v>151609</v>
      </c>
      <c r="K31" s="200">
        <f>130703+2945+17936</f>
        <v>151584</v>
      </c>
      <c r="L31" s="200">
        <f>130703+2945+17936</f>
        <v>151584</v>
      </c>
      <c r="M31" s="200">
        <v>130703</v>
      </c>
      <c r="N31" s="200">
        <v>130703</v>
      </c>
      <c r="O31" s="201">
        <f t="shared" si="3"/>
        <v>1820642</v>
      </c>
    </row>
    <row r="32" spans="1:15" ht="12.75">
      <c r="A32" s="198" t="s">
        <v>20</v>
      </c>
      <c r="B32" s="204" t="s">
        <v>21</v>
      </c>
      <c r="C32" s="200">
        <v>210000</v>
      </c>
      <c r="D32" s="200">
        <v>337000</v>
      </c>
      <c r="E32" s="200">
        <f>547000+50787</f>
        <v>597787</v>
      </c>
      <c r="F32" s="200">
        <v>547000</v>
      </c>
      <c r="G32" s="200">
        <f>757000-98798</f>
        <v>658202</v>
      </c>
      <c r="H32" s="200">
        <f>547000+3708633+55360</f>
        <v>4310993</v>
      </c>
      <c r="I32" s="200">
        <f>447000+561000+239550</f>
        <v>1247550</v>
      </c>
      <c r="J32" s="200">
        <f>839000+25000</f>
        <v>864000</v>
      </c>
      <c r="K32" s="200">
        <f>547000+250000+55000+61350</f>
        <v>913350</v>
      </c>
      <c r="L32" s="200">
        <f>720000+178650</f>
        <v>898650</v>
      </c>
      <c r="M32" s="200">
        <f>519000+414094+355600</f>
        <v>1288694</v>
      </c>
      <c r="N32" s="200">
        <f>547000+5882171</f>
        <v>6429171</v>
      </c>
      <c r="O32" s="201">
        <f t="shared" si="3"/>
        <v>18302397</v>
      </c>
    </row>
    <row r="33" spans="1:15" ht="12.75">
      <c r="A33" s="198" t="s">
        <v>22</v>
      </c>
      <c r="B33" s="204" t="s">
        <v>23</v>
      </c>
      <c r="C33" s="200">
        <v>50000</v>
      </c>
      <c r="D33" s="200">
        <v>50000</v>
      </c>
      <c r="E33" s="200">
        <v>50000</v>
      </c>
      <c r="F33" s="200">
        <v>50000</v>
      </c>
      <c r="G33" s="200">
        <v>50000</v>
      </c>
      <c r="H33" s="200">
        <v>50000</v>
      </c>
      <c r="I33" s="200">
        <v>50000</v>
      </c>
      <c r="J33" s="200">
        <v>220000</v>
      </c>
      <c r="K33" s="200">
        <v>50000</v>
      </c>
      <c r="L33" s="200">
        <v>200000</v>
      </c>
      <c r="M33" s="200">
        <f>300000-70800</f>
        <v>229200</v>
      </c>
      <c r="N33" s="200">
        <v>473000</v>
      </c>
      <c r="O33" s="201">
        <f t="shared" si="3"/>
        <v>1522200</v>
      </c>
    </row>
    <row r="34" spans="1:15" ht="12.75">
      <c r="A34" s="198" t="s">
        <v>24</v>
      </c>
      <c r="B34" s="204" t="s">
        <v>239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17"/>
      <c r="O34" s="201"/>
    </row>
    <row r="35" spans="1:15" ht="12.75">
      <c r="A35" s="198"/>
      <c r="B35" s="204" t="s">
        <v>240</v>
      </c>
      <c r="C35" s="200"/>
      <c r="D35" s="200"/>
      <c r="E35" s="200"/>
      <c r="F35" s="200"/>
      <c r="G35" s="200">
        <v>33386</v>
      </c>
      <c r="H35" s="200"/>
      <c r="I35" s="200">
        <v>0</v>
      </c>
      <c r="J35" s="200">
        <v>0</v>
      </c>
      <c r="K35" s="200"/>
      <c r="L35" s="200">
        <v>0</v>
      </c>
      <c r="M35" s="200">
        <v>0</v>
      </c>
      <c r="N35" s="200">
        <v>0</v>
      </c>
      <c r="O35" s="201">
        <f t="shared" si="3"/>
        <v>33386</v>
      </c>
    </row>
    <row r="36" spans="1:15" ht="12.75">
      <c r="A36" s="198"/>
      <c r="B36" s="204" t="s">
        <v>241</v>
      </c>
      <c r="C36" s="200"/>
      <c r="D36" s="200"/>
      <c r="E36" s="200">
        <f>43000-400</f>
        <v>42600</v>
      </c>
      <c r="F36" s="200"/>
      <c r="G36" s="200">
        <f>400000</f>
        <v>400000</v>
      </c>
      <c r="H36" s="200">
        <v>22000</v>
      </c>
      <c r="I36" s="200">
        <v>42000</v>
      </c>
      <c r="J36" s="200">
        <v>15000</v>
      </c>
      <c r="K36" s="200">
        <v>25000</v>
      </c>
      <c r="L36" s="200"/>
      <c r="M36" s="200"/>
      <c r="N36" s="200"/>
      <c r="O36" s="201">
        <f t="shared" si="3"/>
        <v>546600</v>
      </c>
    </row>
    <row r="37" spans="1:15" ht="12.75">
      <c r="A37" s="198" t="s">
        <v>25</v>
      </c>
      <c r="B37" s="204" t="s">
        <v>26</v>
      </c>
      <c r="C37" s="200"/>
      <c r="D37" s="200"/>
      <c r="E37" s="200">
        <v>709600</v>
      </c>
      <c r="F37" s="200"/>
      <c r="G37" s="200">
        <v>98798</v>
      </c>
      <c r="H37" s="200">
        <v>13735678</v>
      </c>
      <c r="I37" s="200"/>
      <c r="J37" s="200">
        <v>1000000</v>
      </c>
      <c r="K37" s="200">
        <v>317500</v>
      </c>
      <c r="L37" s="200"/>
      <c r="M37" s="200"/>
      <c r="N37" s="200">
        <f>20796433-192916</f>
        <v>20603517</v>
      </c>
      <c r="O37" s="201">
        <f t="shared" si="3"/>
        <v>36465093</v>
      </c>
    </row>
    <row r="38" spans="1:15" ht="12.75">
      <c r="A38" s="198" t="s">
        <v>27</v>
      </c>
      <c r="B38" s="204" t="s">
        <v>28</v>
      </c>
      <c r="C38" s="200"/>
      <c r="D38" s="200"/>
      <c r="E38" s="200"/>
      <c r="F38" s="200">
        <v>817173</v>
      </c>
      <c r="G38" s="200"/>
      <c r="H38" s="200"/>
      <c r="I38" s="200"/>
      <c r="J38" s="200"/>
      <c r="K38" s="200"/>
      <c r="L38" s="200"/>
      <c r="M38" s="200"/>
      <c r="N38" s="200"/>
      <c r="O38" s="201">
        <f t="shared" si="3"/>
        <v>817173</v>
      </c>
    </row>
    <row r="39" spans="1:15" ht="12.75">
      <c r="A39" s="198" t="s">
        <v>29</v>
      </c>
      <c r="B39" s="204" t="s">
        <v>30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1">
        <f t="shared" si="3"/>
        <v>0</v>
      </c>
    </row>
    <row r="40" spans="1:15" ht="12.75">
      <c r="A40" s="198"/>
      <c r="B40" s="204" t="s">
        <v>240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1"/>
    </row>
    <row r="41" spans="1:15" ht="12.75">
      <c r="A41" s="198"/>
      <c r="B41" s="204" t="s">
        <v>241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1"/>
    </row>
    <row r="42" spans="1:15" ht="12.75">
      <c r="A42" s="198" t="s">
        <v>31</v>
      </c>
      <c r="B42" s="204" t="s">
        <v>32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>
        <f t="shared" si="3"/>
        <v>0</v>
      </c>
    </row>
    <row r="43" spans="1:15" ht="12.75">
      <c r="A43" s="198"/>
      <c r="B43" s="204" t="s">
        <v>282</v>
      </c>
      <c r="C43" s="200">
        <v>498541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1">
        <f t="shared" si="3"/>
        <v>498541</v>
      </c>
    </row>
    <row r="44" spans="1:15" ht="12.75">
      <c r="A44" s="198"/>
      <c r="B44" s="204" t="s">
        <v>242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1">
        <f t="shared" si="3"/>
        <v>0</v>
      </c>
    </row>
    <row r="45" spans="1:15" ht="12.75">
      <c r="A45" s="198" t="s">
        <v>243</v>
      </c>
      <c r="B45" s="204" t="s">
        <v>244</v>
      </c>
      <c r="C45" s="200"/>
      <c r="D45" s="200"/>
      <c r="E45" s="200"/>
      <c r="F45" s="200"/>
      <c r="G45" s="200">
        <v>10492649</v>
      </c>
      <c r="H45" s="200"/>
      <c r="I45" s="200">
        <f>661875-239550-25000</f>
        <v>397325</v>
      </c>
      <c r="J45" s="200"/>
      <c r="K45" s="200"/>
      <c r="L45" s="200">
        <v>220625</v>
      </c>
      <c r="M45" s="200"/>
      <c r="N45" s="200"/>
      <c r="O45" s="201">
        <f t="shared" si="3"/>
        <v>11110599</v>
      </c>
    </row>
    <row r="46" spans="1:15" ht="13.5" thickBot="1">
      <c r="A46" s="209" t="s">
        <v>245</v>
      </c>
      <c r="B46" s="210" t="s">
        <v>246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1">
        <f t="shared" si="3"/>
        <v>0</v>
      </c>
    </row>
    <row r="47" spans="1:15" ht="13.5" thickBot="1">
      <c r="A47" s="211"/>
      <c r="B47" s="211" t="s">
        <v>247</v>
      </c>
      <c r="C47" s="212">
        <f>SUM(C30:C46)</f>
        <v>1639949</v>
      </c>
      <c r="D47" s="212">
        <f aca="true" t="shared" si="4" ref="D47:O47">SUM(D30:D46)</f>
        <v>1247712</v>
      </c>
      <c r="E47" s="212">
        <f t="shared" si="4"/>
        <v>2260699</v>
      </c>
      <c r="F47" s="212">
        <f t="shared" si="4"/>
        <v>2276989</v>
      </c>
      <c r="G47" s="212">
        <f t="shared" si="4"/>
        <v>12593743</v>
      </c>
      <c r="H47" s="212">
        <f t="shared" si="4"/>
        <v>18979379</v>
      </c>
      <c r="I47" s="212">
        <f t="shared" si="4"/>
        <v>2637342</v>
      </c>
      <c r="J47" s="212">
        <f t="shared" si="4"/>
        <v>3140863</v>
      </c>
      <c r="K47" s="212">
        <f t="shared" si="4"/>
        <v>2167060</v>
      </c>
      <c r="L47" s="212">
        <f t="shared" si="4"/>
        <v>2240485</v>
      </c>
      <c r="M47" s="212">
        <f t="shared" si="4"/>
        <v>2181775</v>
      </c>
      <c r="N47" s="212">
        <f t="shared" si="4"/>
        <v>28169569</v>
      </c>
      <c r="O47" s="213">
        <f t="shared" si="4"/>
        <v>79535565</v>
      </c>
    </row>
    <row r="48" spans="1:15" ht="13.5" thickBot="1">
      <c r="A48" s="218"/>
      <c r="B48" s="219" t="s">
        <v>248</v>
      </c>
      <c r="C48" s="220">
        <f>C28-C47</f>
        <v>623862</v>
      </c>
      <c r="D48" s="220">
        <f aca="true" t="shared" si="5" ref="D48:N48">D28-D47</f>
        <v>3626191</v>
      </c>
      <c r="E48" s="220">
        <f t="shared" si="5"/>
        <v>3739387</v>
      </c>
      <c r="F48" s="220">
        <f t="shared" si="5"/>
        <v>2832440</v>
      </c>
      <c r="G48" s="220">
        <f t="shared" si="5"/>
        <v>3310818</v>
      </c>
      <c r="H48" s="220">
        <f t="shared" si="5"/>
        <v>3075792</v>
      </c>
      <c r="I48" s="220">
        <f t="shared" si="5"/>
        <v>1748492</v>
      </c>
      <c r="J48" s="220">
        <f t="shared" si="5"/>
        <v>2230352</v>
      </c>
      <c r="K48" s="220">
        <f t="shared" si="5"/>
        <v>1753333</v>
      </c>
      <c r="L48" s="220">
        <f t="shared" si="5"/>
        <v>1475214</v>
      </c>
      <c r="M48" s="220">
        <f t="shared" si="5"/>
        <v>561151</v>
      </c>
      <c r="N48" s="220">
        <f t="shared" si="5"/>
        <v>0</v>
      </c>
      <c r="O48" s="221"/>
    </row>
    <row r="49" spans="1:15" ht="12.75">
      <c r="A49" s="1"/>
      <c r="B49" s="1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</row>
    <row r="50" spans="1:15" ht="12.7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</row>
    <row r="51" spans="1:15" ht="12.7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</row>
    <row r="52" spans="1:15" ht="12.7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</row>
    <row r="53" spans="1:15" ht="12.7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</row>
    <row r="54" spans="1:15" ht="12.7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</row>
    <row r="55" spans="1:15" ht="12.75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</row>
    <row r="56" spans="1:15" ht="12.75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</row>
    <row r="57" spans="1:15" ht="12.75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.75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</row>
  </sheetData>
  <sheetProtection/>
  <mergeCells count="5">
    <mergeCell ref="A2:O4"/>
    <mergeCell ref="B5:O5"/>
    <mergeCell ref="B6:O6"/>
    <mergeCell ref="B7:O7"/>
    <mergeCell ref="B1:O1"/>
  </mergeCells>
  <printOptions/>
  <pageMargins left="0.2362204724409449" right="0.2362204724409449" top="0.35433070866141736" bottom="0.5511811023622047" header="0.2362204724409449" footer="0.35433070866141736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2017-12-06T12:51:58Z</cp:lastPrinted>
  <dcterms:created xsi:type="dcterms:W3CDTF">2002-11-26T17:22:50Z</dcterms:created>
  <dcterms:modified xsi:type="dcterms:W3CDTF">2017-12-28T07:30:03Z</dcterms:modified>
  <cp:category/>
  <cp:version/>
  <cp:contentType/>
  <cp:contentStatus/>
</cp:coreProperties>
</file>