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activeTab="0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űködési kiadások" sheetId="7" r:id="rId7"/>
    <sheet name="7.mell. - beruházások" sheetId="8" r:id="rId8"/>
    <sheet name="8.Felújítások" sheetId="9" r:id="rId9"/>
    <sheet name="9.mell. - közgazd.mérleg" sheetId="10" r:id="rId10"/>
    <sheet name="10.mell. -ei.felh.ütemt." sheetId="11" r:id="rId11"/>
    <sheet name="11.mell." sheetId="12" r:id="rId12"/>
  </sheets>
  <definedNames>
    <definedName name="_xlnm.Print_Titles" localSheetId="2">'2.mell - bevétel'!$11:$13</definedName>
    <definedName name="_xlnm.Print_Area" localSheetId="2">'2.mell - bevétel'!$A$3:$I$132</definedName>
  </definedNames>
  <calcPr fullCalcOnLoad="1"/>
</workbook>
</file>

<file path=xl/sharedStrings.xml><?xml version="1.0" encoding="utf-8"?>
<sst xmlns="http://schemas.openxmlformats.org/spreadsheetml/2006/main" count="940" uniqueCount="531">
  <si>
    <t>Megnevezés</t>
  </si>
  <si>
    <t>Ft</t>
  </si>
  <si>
    <t>Összesen:</t>
  </si>
  <si>
    <t>létszám</t>
  </si>
  <si>
    <t>Sitke község Önkormányzata</t>
  </si>
  <si>
    <t>e Ft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</si>
  <si>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</si>
  <si>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</si>
  <si>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</si>
  <si>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</si>
  <si>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</si>
  <si>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</si>
  <si>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</si>
  <si>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</si>
  <si>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</si>
  <si>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</si>
  <si>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</si>
  <si>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</si>
  <si>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</si>
  <si>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</si>
  <si>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</si>
  <si>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</si>
  <si>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>SITKE KÖZSÉG ÖNKORMÁNYZATA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</si>
  <si>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</si>
  <si>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</si>
  <si>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</si>
  <si>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</si>
  <si>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</si>
  <si>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</si>
  <si>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</si>
  <si>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</si>
  <si>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</si>
  <si>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</si>
  <si>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</si>
  <si>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</si>
  <si>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</si>
  <si>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</si>
  <si>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</si>
  <si>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</si>
  <si>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</si>
  <si>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</si>
  <si>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</si>
  <si>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</si>
  <si>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</si>
  <si>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</si>
  <si>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</si>
  <si>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</si>
  <si>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 xml:space="preserve">       - egyéb működési kiadások</t>
  </si>
  <si>
    <t xml:space="preserve">       - egyéb felhalmozási kiadások</t>
  </si>
  <si>
    <t>szociális étkeztetés térítési díja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</si>
  <si>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</si>
  <si>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</si>
  <si>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</si>
  <si>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</si>
  <si>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</si>
  <si>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</si>
  <si>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</si>
  <si>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</si>
  <si>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</si>
  <si>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</si>
  <si>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</si>
  <si>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</si>
  <si>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</si>
  <si>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</si>
  <si>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</si>
  <si>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</si>
  <si>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</si>
  <si>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</si>
  <si>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</si>
  <si>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</si>
  <si>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</si>
  <si>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</si>
  <si>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</si>
  <si>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</si>
  <si>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</si>
  <si>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</si>
  <si>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</si>
  <si>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</si>
  <si>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</si>
  <si>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</si>
  <si>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</si>
  <si>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</si>
  <si>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</si>
  <si>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</si>
  <si>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</si>
  <si>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</si>
  <si>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</si>
  <si>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</si>
  <si>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</si>
  <si>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</si>
  <si>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</si>
  <si>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</si>
  <si>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</si>
  <si>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</si>
  <si>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</si>
  <si>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</si>
  <si>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</si>
  <si>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</si>
  <si>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</si>
  <si>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</si>
  <si>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</si>
  <si>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</si>
  <si>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</si>
  <si>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</si>
  <si>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</si>
  <si>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</si>
  <si>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</si>
  <si>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</si>
  <si>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</si>
  <si>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</si>
  <si>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</si>
  <si>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</si>
  <si>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</si>
  <si>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</si>
  <si>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</si>
  <si>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</si>
  <si>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</si>
  <si>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</si>
  <si>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</si>
  <si>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</si>
  <si>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</si>
  <si>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</si>
  <si>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</si>
  <si>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</si>
  <si>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</si>
  <si>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</si>
  <si>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</si>
  <si>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</si>
  <si>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</si>
  <si>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</si>
  <si>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</si>
  <si>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</si>
  <si>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</si>
  <si>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</si>
  <si>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</si>
  <si>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</si>
  <si>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</si>
  <si>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</si>
  <si>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</si>
  <si>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</si>
  <si>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</si>
  <si>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</si>
  <si>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</si>
  <si>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</si>
  <si>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</si>
  <si>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</si>
  <si>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</si>
  <si>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</si>
  <si>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</si>
  <si>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</si>
  <si>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</si>
  <si>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</si>
  <si>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</si>
  <si>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</si>
  <si>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</si>
  <si>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</si>
  <si>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</si>
  <si>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</si>
  <si>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</si>
  <si>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</si>
  <si>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</si>
  <si>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</si>
  <si>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</si>
  <si>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</si>
  <si>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</si>
  <si>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</si>
  <si>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</si>
  <si>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</si>
  <si>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</si>
  <si>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</si>
  <si>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</si>
  <si>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</si>
  <si>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</si>
  <si>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</si>
  <si>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</si>
  <si>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</si>
  <si>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</si>
  <si>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</si>
  <si>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</si>
  <si>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</si>
  <si>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</si>
  <si>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</si>
  <si>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</si>
  <si>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</si>
  <si>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</si>
  <si>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</si>
  <si>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</si>
  <si>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</si>
  <si>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</si>
  <si>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</si>
  <si>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</si>
  <si>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</si>
  <si>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</si>
  <si>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</si>
  <si>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</si>
  <si>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</si>
  <si>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</si>
  <si>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</si>
  <si>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</si>
  <si>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</si>
  <si>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</si>
  <si>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</si>
  <si>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</si>
  <si>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</si>
  <si>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</si>
  <si>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</si>
  <si>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</si>
  <si>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</si>
  <si>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</si>
  <si>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</si>
  <si>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</si>
  <si>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</si>
  <si>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</si>
  <si>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</si>
  <si>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</si>
  <si>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</si>
  <si>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</si>
  <si>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</si>
  <si>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</si>
  <si>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</si>
  <si>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</si>
  <si>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</si>
  <si>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</si>
  <si>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</si>
  <si>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</si>
  <si>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</si>
  <si>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</si>
  <si>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</si>
  <si>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</si>
  <si>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</si>
  <si>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</si>
  <si>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</si>
  <si>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</si>
  <si>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</si>
  <si>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</si>
  <si>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</si>
  <si>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</si>
  <si>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</si>
  <si>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</si>
  <si>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</si>
  <si>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</si>
  <si>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</si>
  <si>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</si>
  <si>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</si>
  <si>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Költségvetési (működési és felhalmozási ) mérlege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</si>
  <si>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</si>
  <si>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</si>
  <si>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</si>
  <si>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</si>
  <si>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</si>
  <si>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</si>
  <si>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</si>
  <si>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</si>
  <si>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</si>
  <si>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</si>
  <si>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</si>
  <si>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</si>
  <si>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</si>
  <si>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</si>
  <si>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</si>
  <si>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</si>
  <si>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</si>
  <si>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</si>
  <si>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</si>
  <si>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</si>
  <si>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</si>
  <si>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</si>
  <si>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</si>
  <si>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</si>
  <si>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</si>
  <si>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</si>
  <si>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</si>
  <si>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</si>
  <si>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</si>
  <si>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</si>
  <si>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</si>
  <si>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</si>
  <si>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</si>
  <si>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</si>
  <si>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</si>
  <si>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</si>
  <si>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</si>
  <si>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</si>
  <si>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</si>
  <si>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</si>
  <si>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</si>
  <si>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</si>
  <si>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</si>
  <si>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</si>
  <si>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</si>
  <si>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</si>
  <si>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</si>
  <si>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</si>
  <si>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</si>
  <si>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</si>
  <si>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</si>
  <si>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</si>
  <si>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</si>
  <si>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</si>
  <si>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</si>
  <si>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</si>
  <si>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</si>
  <si>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</si>
  <si>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</si>
  <si>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</si>
  <si>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</si>
  <si>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</si>
  <si>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</si>
  <si>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</si>
  <si>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</si>
  <si>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</si>
  <si>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</si>
  <si>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</si>
  <si>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</si>
  <si>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</si>
  <si>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</si>
  <si>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</si>
  <si>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</si>
  <si>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</si>
  <si>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</si>
  <si>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</si>
  <si>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</si>
  <si>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</si>
  <si>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</si>
  <si>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</si>
  <si>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</si>
  <si>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</si>
  <si>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>Egyéb gép, berendezés, felszerelés beszerzése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</si>
  <si>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</si>
  <si>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</si>
  <si>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</si>
  <si>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</si>
  <si>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( Ft-ban)</t>
  </si>
  <si>
    <t>2016. évről áthúzódó bérkompenzáció támogatása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</si>
  <si>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</si>
  <si>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</si>
  <si>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</si>
  <si>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</si>
  <si>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</si>
  <si>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</si>
  <si>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</si>
  <si>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</si>
  <si>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</si>
  <si>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</si>
  <si>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</si>
  <si>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</si>
  <si>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</si>
  <si>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</si>
  <si>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</si>
  <si>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</si>
  <si>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</si>
  <si>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</si>
  <si>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</si>
  <si>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</si>
  <si>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</si>
  <si>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</si>
  <si>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</si>
  <si>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</si>
  <si>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</si>
  <si>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</si>
  <si>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</si>
  <si>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</si>
  <si>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</si>
  <si>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</si>
  <si>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</si>
  <si>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</si>
  <si>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</si>
  <si>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</si>
  <si>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</si>
  <si>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</si>
  <si>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</si>
  <si>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</si>
  <si>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</si>
  <si>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</si>
  <si>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</si>
  <si>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</si>
  <si>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</si>
  <si>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</si>
  <si>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</si>
  <si>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(  Ft-ban )</t>
  </si>
  <si>
    <t xml:space="preserve"> 011130 Önkormányzatok és önk. hivatalok jogalkotó és ált. igaztatási tevékenysége</t>
  </si>
  <si>
    <t xml:space="preserve">       - Általános tartalék</t>
  </si>
  <si>
    <t>3.1.6.</t>
  </si>
  <si>
    <t>2.1.</t>
  </si>
  <si>
    <t>2018. év</t>
  </si>
  <si>
    <t>Polgármesteri illetmény támogatása</t>
  </si>
  <si>
    <t>A finanszírozás szempontjából elismert dolgozók bértámogatása</t>
  </si>
  <si>
    <t>Gyermekétkeztetés üzemeltetési támogatása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</si>
  <si>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</si>
  <si>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</si>
  <si>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</si>
  <si>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</si>
  <si>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</si>
  <si>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</si>
  <si>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</si>
  <si>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</si>
  <si>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</si>
  <si>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</si>
  <si>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</si>
  <si>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</si>
  <si>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</si>
  <si>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</si>
  <si>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</si>
  <si>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</si>
  <si>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</si>
  <si>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</si>
  <si>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</si>
  <si>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</si>
  <si>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</si>
  <si>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</si>
  <si>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</si>
  <si>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</si>
  <si>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</si>
  <si>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</si>
  <si>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</si>
  <si>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</si>
  <si>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</si>
  <si>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 xml:space="preserve"> felhalmozási célú átvett pénzeszk. </t>
  </si>
  <si>
    <t xml:space="preserve"> - egyéb működési célú támogatások </t>
  </si>
  <si>
    <t>előző év költségvetési maradvány igénybevétele áthúzódó feladatokra</t>
  </si>
  <si>
    <t xml:space="preserve">Áht-n belüli megelőlegezések </t>
  </si>
  <si>
    <t xml:space="preserve">2019. évi </t>
  </si>
  <si>
    <t>2019. évre</t>
  </si>
  <si>
    <t>26..</t>
  </si>
  <si>
    <t>31.</t>
  </si>
  <si>
    <t>2019. év</t>
  </si>
  <si>
    <t>066020 Város - és községgazdálkodási egyéb szolgáltatások</t>
  </si>
  <si>
    <t>Műfüves pálya létesítéséhez önerő</t>
  </si>
  <si>
    <t>felhalmozási célú visszatérítendő támogatások államháztartáson kívülről</t>
  </si>
  <si>
    <t>2018.ÉVBEN MEGELŐLEGEZETT ÁLLAMI TÁMOGATÁS</t>
  </si>
  <si>
    <t xml:space="preserve">2. </t>
  </si>
  <si>
    <t>Felhalmozási célú egyéb átvett pénzeszközök (Kápolnáért Kultúrális és Sport Egyesület támogatása ( műfüves pálya önrészéhez)</t>
  </si>
  <si>
    <t>ELŐZŐ ÉVEK KÖLTSÉGVETÉSI MARADVÁNY IGÉNYBEVÉTELE 2018. ÉVRŐL ÁTHÚZÓDÓ FELADATOKRA</t>
  </si>
  <si>
    <t>Rendszeres gyermekvédelmi kedvezményben részesülők  támogatása</t>
  </si>
  <si>
    <t xml:space="preserve">3. </t>
  </si>
  <si>
    <t>előző év költségvetési maradvány igénybevétele</t>
  </si>
  <si>
    <t>3. melléklet  a  2/2019. (II.12.) önkormányzati rendelethez</t>
  </si>
  <si>
    <t>2. melléklet  a  2/2019. (II.12.) önkormányzati rendelethez</t>
  </si>
  <si>
    <t>1. melléklet  a  2/2019. (II.12.) önkormányzati rendelethez</t>
  </si>
  <si>
    <t>4. melléklet  a  2/2019. (II.12.) önkormányzati rendelethez</t>
  </si>
  <si>
    <t xml:space="preserve">ELŐZŐ ÉVEK KÖLTSÉGVETÉSI MARADVÁNY IGÉNYBEVÉTELE </t>
  </si>
  <si>
    <t>Közfoglalkoztatottak támogatása</t>
  </si>
  <si>
    <t xml:space="preserve"> egyéb működési és felhalmozási kiadásai</t>
  </si>
  <si>
    <t>2019.évre</t>
  </si>
  <si>
    <t>tervezett előirányzat</t>
  </si>
  <si>
    <t>EGYÉB MŰKÖDÉSI KIADÁSOK</t>
  </si>
  <si>
    <t>EGYÉB MŰKÖDÉSI CÉLÚ TÁMOGATÁSOK ÁLLAMHÁZTARTÁSON BELÜLRE</t>
  </si>
  <si>
    <t>Kistérségi tagsági díj</t>
  </si>
  <si>
    <t>Bursa Hungarica ösztöndíj pályázat  támogatása</t>
  </si>
  <si>
    <t>Házi segítség nyújtás ellátására Sárvár Város Önkormányzattal kötött szerződés alapján fizetendő támogatás</t>
  </si>
  <si>
    <t>EGYÉB MŰKÖDÉSI CÉLÚ TÁMOGATÁSOK ÁLLAMHÁZTARTÁSON BELÜLRE ÖSSZESEN:</t>
  </si>
  <si>
    <t>EGYÉB MŰKÖDÉSI CÉLÚ TÁMOGATÁSOK ÁLLAMHÁZTARTÁSON KÍVÜLRE</t>
  </si>
  <si>
    <t>Citerazenekar támogatása</t>
  </si>
  <si>
    <t>Hímzőszakkör támogatása (2018-2019.)</t>
  </si>
  <si>
    <t>Nyugdíjas Klub ( előző évről 130.000 Ft)</t>
  </si>
  <si>
    <t xml:space="preserve">Tekeszakosztály </t>
  </si>
  <si>
    <t>Labdarugó Szakosztály támogatása</t>
  </si>
  <si>
    <t>Arany János tehetséggondozó programban résztvevő támogatása</t>
  </si>
  <si>
    <t>EGYÉB MŰKÖDÉSI CÉLÚ TÁMOGATÁSOK ÁLLAMHÁZTARTÁSON KÍVÜLRE ÖSSZESEN:</t>
  </si>
  <si>
    <t>TARTALÉKOK</t>
  </si>
  <si>
    <t>Emléktábla készítése szoborra</t>
  </si>
  <si>
    <t>082044 Könyvtári szolgáltatások</t>
  </si>
  <si>
    <t xml:space="preserve"> 013350 Önkormányzati vagyonnal való gazdálkodással kapcsolatos feladatok</t>
  </si>
  <si>
    <t>5.1.</t>
  </si>
  <si>
    <t>EGYÉB MŰKÖDÉSI KIADÁSOK ÖSSZESEN:</t>
  </si>
  <si>
    <t>2018. évi állami támogatások elszámolás utáni visszafizetési kötelezettség</t>
  </si>
  <si>
    <t>felhalmozási célú támogatások államháztartáson belülről</t>
  </si>
  <si>
    <t>5. melléklet  a 2/2019. (II.12. ) önkormányzati rendelethez</t>
  </si>
  <si>
    <t>6. melléklet  a  2/2019. (II.12.) önkormányzati rendelethez</t>
  </si>
  <si>
    <t>8. melléklet a 2/2019. (II.12.) önkormányzati rendelethez</t>
  </si>
  <si>
    <t>10. melléklet a 2/2019. (II.12.) önkormányzati rendelethez</t>
  </si>
  <si>
    <t>11. melléklet a 2/2019. (II.12.) önkormányzati rendelethez</t>
  </si>
  <si>
    <t xml:space="preserve"> 17. melléklet a 2/2019. (II.12.) önkormányzati rendelethez </t>
  </si>
  <si>
    <t>Sághegy Leader tagdíj (2018 és 2019. évi)</t>
  </si>
  <si>
    <t>Működési célú költségvetési és kiegészítő támogatás</t>
  </si>
  <si>
    <t>Szociális célú tűzifavásárlás támogatása</t>
  </si>
  <si>
    <t>Működési célú költségvetési és kiegészítő támogatás összesen:</t>
  </si>
  <si>
    <t xml:space="preserve">1. </t>
  </si>
  <si>
    <t>Vis major támogatás</t>
  </si>
  <si>
    <t>Magyar Falu Program Orvosi műszerek beszerzése</t>
  </si>
  <si>
    <t>072111 Háziorvosi szolgálat</t>
  </si>
  <si>
    <t>6.1.</t>
  </si>
  <si>
    <t>Orvosi eszközök beszerzése</t>
  </si>
  <si>
    <t>6.2.</t>
  </si>
  <si>
    <t>FELÚJÍTÁSI KIADÁSOK</t>
  </si>
  <si>
    <t xml:space="preserve"> előirányzat     (  Ft)</t>
  </si>
  <si>
    <t>Egyéb építmény felújítása</t>
  </si>
  <si>
    <t>045160 Közutak, hidak, alagutak üzemeltetése, fenntartása</t>
  </si>
  <si>
    <t>Hegyalja utca felújítása ( 2018. évben megvalósult)</t>
  </si>
  <si>
    <t xml:space="preserve">Összesen: </t>
  </si>
  <si>
    <t>052080 Szennyvízcsatorna építése, fenntartása, üzemeltetése</t>
  </si>
  <si>
    <t>Szennyvíztisztítő felújítás (gördülő fejtesztési terv alapján)</t>
  </si>
  <si>
    <t>FELÚJÍTÁSOK ÖSSZESEN:</t>
  </si>
  <si>
    <t>Felújítási célú előzetesen felszámított le nem vonható általános forgalmi adó</t>
  </si>
  <si>
    <t>1.1.1</t>
  </si>
  <si>
    <t>1.2.1.</t>
  </si>
  <si>
    <t>9. melléklet a 2/2019.(II.12.) sz. önkormányzati rendelethez</t>
  </si>
  <si>
    <t>Szennyvíztisztítő felújítás (oxigén szonda cseréje)</t>
  </si>
  <si>
    <t>1.2.3.</t>
  </si>
  <si>
    <t>Sor -szám</t>
  </si>
  <si>
    <t>Telek visszavásárlása</t>
  </si>
  <si>
    <t>3.sz. módosítása</t>
  </si>
  <si>
    <t>Kertészker utca burkolatának felújítása</t>
  </si>
  <si>
    <t>Önkormányzatok feladatellátást szolgáló fejlesztések támogatása</t>
  </si>
  <si>
    <t>Magyar Falu Program Óvoda udvar felújítása</t>
  </si>
  <si>
    <t>Magyar Falu Program Óvoda felújítása, bővítése</t>
  </si>
  <si>
    <t>066020 Város és községgazdálkodás</t>
  </si>
  <si>
    <t>2.2.2.</t>
  </si>
  <si>
    <t>1.2.4.</t>
  </si>
  <si>
    <t>1.1.3.</t>
  </si>
  <si>
    <t>1.1.4.</t>
  </si>
  <si>
    <t>Óvoda udvar felújítása</t>
  </si>
  <si>
    <t>Óvodafejlesztés,bővítés</t>
  </si>
  <si>
    <t>Óvoda bővítés eszközbeszerzés</t>
  </si>
  <si>
    <t>1.1.5</t>
  </si>
  <si>
    <t>1.1.6.</t>
  </si>
  <si>
    <t>Kertészker utca burkolatának felújítás önrésze</t>
  </si>
  <si>
    <t>Petanque Szakosztály támogatása</t>
  </si>
  <si>
    <t>3. Nyári diákmunka támogatás</t>
  </si>
  <si>
    <t>4. Vas Megyei Közgűlés Elnöki támogatása</t>
  </si>
  <si>
    <t>1. melléklet  a  11/2019. (XI.26.) önkormányzati rendelethez</t>
  </si>
  <si>
    <t>2. melléklet  a 11/2019. (XI.26.) önkormányzati rendelethez</t>
  </si>
  <si>
    <t>3. melléklet  a  11/2019. (XI.26.) önkormányzati rendelethez</t>
  </si>
  <si>
    <t>4. melléklet  a  11/2019. (XI.26.) önkormányzati rendelethez</t>
  </si>
  <si>
    <t>5. melléklet  a 11/2019. (XI.26.) önkormányzati rendelethez</t>
  </si>
  <si>
    <t>6. melléklet  a  11/2019. (XI.26.) önkormányzati rendelethez</t>
  </si>
  <si>
    <t>7. melléklet a 11/2019. (XI.26.) önkormányzati rendelethez</t>
  </si>
  <si>
    <t>8. melléklet a 11/2019. (XI.26.) önkormányzati rendelethez</t>
  </si>
  <si>
    <t>9. melléklet a 11/2019. (XI.26.) önkormányzati rendelethez</t>
  </si>
  <si>
    <t>10. melléklet a 11/2019. (XI.26.) önkormányzati rendelethez</t>
  </si>
  <si>
    <t xml:space="preserve"> 11. melléklet a 11/2019. (XI.26.) önkormányzati rendelethez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</si>
</sst>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b/>
      <sz val="10"/>
      <name val="Arial CE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Accounting"/>
      <sz val="12"/>
      <name val="Times New Roman"/>
      <family val="1"/>
    </font>
    <font>
      <b/>
      <sz val="9"/>
      <name val="Arial CE"/>
      <family val="0"/>
    </font>
    <font>
      <b/>
      <i/>
      <sz val="10"/>
      <name val="Times New Roman"/>
      <family val="1"/>
    </font>
    <font>
      <i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29" borderId="1" applyNumberFormat="0" applyAlignment="0" applyProtection="0"/>
    <xf numFmtId="9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9" applyFont="1">
      <alignment/>
      <protection/>
    </xf>
    <xf numFmtId="0" fontId="12" fillId="0" borderId="0" xfId="59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0" xfId="56" applyFont="1" applyBorder="1" applyAlignment="1">
      <alignment horizontal="left"/>
      <protection/>
    </xf>
    <xf numFmtId="0" fontId="12" fillId="0" borderId="10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12" xfId="56" applyFont="1" applyBorder="1" applyAlignment="1">
      <alignment horizontal="center"/>
      <protection/>
    </xf>
    <xf numFmtId="0" fontId="12" fillId="0" borderId="13" xfId="56" applyFont="1" applyBorder="1" applyAlignment="1">
      <alignment horizontal="center"/>
      <protection/>
    </xf>
    <xf numFmtId="0" fontId="17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6" applyNumberFormat="1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2" fillId="0" borderId="0" xfId="56" applyFont="1" applyBorder="1" applyAlignment="1">
      <alignment horizontal="center" vertical="center"/>
      <protection/>
    </xf>
    <xf numFmtId="168" fontId="12" fillId="0" borderId="12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8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11" fillId="0" borderId="0" xfId="56" applyFont="1">
      <alignment/>
      <protection/>
    </xf>
    <xf numFmtId="0" fontId="11" fillId="0" borderId="14" xfId="58" applyFont="1" applyBorder="1" applyAlignment="1">
      <alignment horizontal="left" wrapText="1"/>
      <protection/>
    </xf>
    <xf numFmtId="0" fontId="11" fillId="0" borderId="15" xfId="58" applyFont="1" applyBorder="1" applyAlignment="1" quotePrefix="1">
      <alignment horizontal="center" vertical="center" wrapText="1"/>
      <protection/>
    </xf>
    <xf numFmtId="0" fontId="11" fillId="0" borderId="16" xfId="59" applyFont="1" applyBorder="1">
      <alignment/>
      <protection/>
    </xf>
    <xf numFmtId="0" fontId="11" fillId="0" borderId="14" xfId="59" applyFont="1" applyBorder="1">
      <alignment/>
      <protection/>
    </xf>
    <xf numFmtId="0" fontId="11" fillId="0" borderId="17" xfId="58" applyFont="1" applyBorder="1" applyAlignment="1">
      <alignment horizontal="right"/>
      <protection/>
    </xf>
    <xf numFmtId="0" fontId="12" fillId="0" borderId="0" xfId="56" applyFont="1">
      <alignment/>
      <protection/>
    </xf>
    <xf numFmtId="0" fontId="14" fillId="0" borderId="0" xfId="56" applyFont="1">
      <alignment/>
      <protection/>
    </xf>
    <xf numFmtId="0" fontId="14" fillId="0" borderId="0" xfId="0" applyFont="1" applyAlignment="1">
      <alignment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>
      <alignment/>
      <protection/>
    </xf>
    <xf numFmtId="0" fontId="6" fillId="0" borderId="12" xfId="56" applyFont="1" applyBorder="1" applyAlignment="1">
      <alignment horizontal="center"/>
      <protection/>
    </xf>
    <xf numFmtId="0" fontId="6" fillId="0" borderId="13" xfId="56" applyFont="1" applyBorder="1">
      <alignment/>
      <protection/>
    </xf>
    <xf numFmtId="168" fontId="14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1" xfId="56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6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17" xfId="56" applyFont="1" applyBorder="1" applyAlignment="1">
      <alignment horizontal="right"/>
      <protection/>
    </xf>
    <xf numFmtId="0" fontId="12" fillId="0" borderId="17" xfId="56" applyFont="1" applyBorder="1" applyAlignment="1">
      <alignment/>
      <protection/>
    </xf>
    <xf numFmtId="168" fontId="12" fillId="0" borderId="17" xfId="4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6" applyNumberFormat="1" applyFont="1">
      <alignment/>
      <protection/>
    </xf>
    <xf numFmtId="0" fontId="6" fillId="0" borderId="18" xfId="56" applyFont="1" applyBorder="1" applyAlignment="1">
      <alignment horizontal="right"/>
      <protection/>
    </xf>
    <xf numFmtId="0" fontId="6" fillId="0" borderId="18" xfId="56" applyFont="1" applyBorder="1">
      <alignment/>
      <protection/>
    </xf>
    <xf numFmtId="168" fontId="6" fillId="0" borderId="18" xfId="40" applyNumberFormat="1" applyFont="1" applyBorder="1" applyAlignment="1">
      <alignment/>
    </xf>
    <xf numFmtId="0" fontId="6" fillId="0" borderId="0" xfId="56" applyFont="1" applyBorder="1" applyAlignment="1">
      <alignment horizontal="right"/>
      <protection/>
    </xf>
    <xf numFmtId="0" fontId="6" fillId="0" borderId="0" xfId="56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21" fillId="0" borderId="17" xfId="0" applyFont="1" applyBorder="1" applyAlignment="1">
      <alignment/>
    </xf>
    <xf numFmtId="168" fontId="6" fillId="0" borderId="17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18" xfId="57" applyFont="1" applyBorder="1" applyAlignment="1">
      <alignment horizontal="right"/>
      <protection/>
    </xf>
    <xf numFmtId="168" fontId="6" fillId="0" borderId="0" xfId="57" applyNumberFormat="1" applyFont="1">
      <alignment/>
      <protection/>
    </xf>
    <xf numFmtId="0" fontId="12" fillId="0" borderId="0" xfId="57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19" fillId="0" borderId="18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19" fillId="0" borderId="0" xfId="56" applyFont="1" applyAlignment="1">
      <alignment horizontal="center"/>
      <protection/>
    </xf>
    <xf numFmtId="168" fontId="19" fillId="0" borderId="0" xfId="40" applyNumberFormat="1" applyFont="1" applyAlignment="1">
      <alignment horizontal="centerContinuous"/>
    </xf>
    <xf numFmtId="168" fontId="19" fillId="0" borderId="0" xfId="40" applyNumberFormat="1" applyFont="1" applyAlignment="1">
      <alignment/>
    </xf>
    <xf numFmtId="0" fontId="4" fillId="0" borderId="0" xfId="0" applyFont="1" applyAlignment="1">
      <alignment/>
    </xf>
    <xf numFmtId="0" fontId="11" fillId="0" borderId="0" xfId="58" applyFont="1" applyBorder="1" applyAlignment="1">
      <alignment horizontal="left" wrapText="1"/>
      <protection/>
    </xf>
    <xf numFmtId="168" fontId="4" fillId="0" borderId="19" xfId="40" applyNumberFormat="1" applyFont="1" applyBorder="1" applyAlignment="1">
      <alignment/>
    </xf>
    <xf numFmtId="168" fontId="4" fillId="0" borderId="20" xfId="40" applyNumberFormat="1" applyFont="1" applyBorder="1" applyAlignment="1">
      <alignment/>
    </xf>
    <xf numFmtId="168" fontId="4" fillId="0" borderId="17" xfId="40" applyNumberFormat="1" applyFont="1" applyBorder="1" applyAlignment="1">
      <alignment/>
    </xf>
    <xf numFmtId="168" fontId="4" fillId="0" borderId="21" xfId="40" applyNumberFormat="1" applyFont="1" applyBorder="1" applyAlignment="1">
      <alignment/>
    </xf>
    <xf numFmtId="0" fontId="4" fillId="0" borderId="18" xfId="0" applyFont="1" applyBorder="1" applyAlignment="1">
      <alignment/>
    </xf>
    <xf numFmtId="0" fontId="10" fillId="0" borderId="18" xfId="58" applyFont="1" applyBorder="1">
      <alignment/>
      <protection/>
    </xf>
    <xf numFmtId="0" fontId="18" fillId="0" borderId="0" xfId="58" applyFont="1">
      <alignment/>
      <protection/>
    </xf>
    <xf numFmtId="0" fontId="6" fillId="0" borderId="0" xfId="59" applyFont="1" applyAlignment="1">
      <alignment horizontal="centerContinuous"/>
      <protection/>
    </xf>
    <xf numFmtId="0" fontId="24" fillId="0" borderId="0" xfId="59" applyFont="1">
      <alignment/>
      <protection/>
    </xf>
    <xf numFmtId="0" fontId="6" fillId="0" borderId="11" xfId="59" applyFont="1" applyBorder="1">
      <alignment/>
      <protection/>
    </xf>
    <xf numFmtId="0" fontId="6" fillId="0" borderId="11" xfId="59" applyFont="1" applyBorder="1" applyAlignment="1">
      <alignment horizontal="center"/>
      <protection/>
    </xf>
    <xf numFmtId="0" fontId="6" fillId="0" borderId="12" xfId="59" applyFont="1" applyBorder="1" applyAlignment="1">
      <alignment horizontal="center"/>
      <protection/>
    </xf>
    <xf numFmtId="0" fontId="6" fillId="0" borderId="13" xfId="59" applyFont="1" applyBorder="1">
      <alignment/>
      <protection/>
    </xf>
    <xf numFmtId="0" fontId="6" fillId="0" borderId="13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0" fontId="12" fillId="0" borderId="0" xfId="59" applyFont="1" applyBorder="1">
      <alignment/>
      <protection/>
    </xf>
    <xf numFmtId="168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22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3" xfId="40" applyNumberFormat="1" applyFont="1" applyBorder="1" applyAlignment="1">
      <alignment/>
    </xf>
    <xf numFmtId="168" fontId="6" fillId="0" borderId="24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168" fontId="12" fillId="0" borderId="25" xfId="40" applyNumberFormat="1" applyFont="1" applyBorder="1" applyAlignment="1">
      <alignment/>
    </xf>
    <xf numFmtId="168" fontId="12" fillId="0" borderId="24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6" xfId="0" applyFont="1" applyBorder="1" applyAlignment="1">
      <alignment horizontal="center"/>
    </xf>
    <xf numFmtId="168" fontId="12" fillId="0" borderId="27" xfId="40" applyNumberFormat="1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168" fontId="12" fillId="0" borderId="29" xfId="4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30" xfId="0" applyFont="1" applyBorder="1" applyAlignment="1">
      <alignment/>
    </xf>
    <xf numFmtId="168" fontId="12" fillId="0" borderId="13" xfId="40" applyNumberFormat="1" applyFont="1" applyBorder="1" applyAlignment="1">
      <alignment/>
    </xf>
    <xf numFmtId="168" fontId="12" fillId="0" borderId="31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168" fontId="12" fillId="0" borderId="33" xfId="4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168" fontId="12" fillId="0" borderId="17" xfId="40" applyNumberFormat="1" applyFont="1" applyBorder="1" applyAlignment="1">
      <alignment/>
    </xf>
    <xf numFmtId="168" fontId="12" fillId="0" borderId="21" xfId="40" applyNumberFormat="1" applyFont="1" applyBorder="1" applyAlignment="1">
      <alignment/>
    </xf>
    <xf numFmtId="0" fontId="12" fillId="0" borderId="17" xfId="0" applyFont="1" applyBorder="1" applyAlignment="1">
      <alignment/>
    </xf>
    <xf numFmtId="168" fontId="12" fillId="0" borderId="17" xfId="40" applyNumberFormat="1" applyFont="1" applyBorder="1" applyAlignment="1">
      <alignment/>
    </xf>
    <xf numFmtId="168" fontId="25" fillId="0" borderId="17" xfId="40" applyNumberFormat="1" applyFont="1" applyFill="1" applyBorder="1" applyAlignment="1">
      <alignment/>
    </xf>
    <xf numFmtId="168" fontId="25" fillId="0" borderId="34" xfId="40" applyNumberFormat="1" applyFont="1" applyFill="1" applyBorder="1" applyAlignment="1">
      <alignment/>
    </xf>
    <xf numFmtId="168" fontId="12" fillId="0" borderId="17" xfId="40" applyNumberFormat="1" applyFont="1" applyFill="1" applyBorder="1" applyAlignment="1">
      <alignment/>
    </xf>
    <xf numFmtId="168" fontId="12" fillId="0" borderId="34" xfId="40" applyNumberFormat="1" applyFont="1" applyFill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6" fillId="0" borderId="18" xfId="0" applyFont="1" applyBorder="1" applyAlignment="1">
      <alignment/>
    </xf>
    <xf numFmtId="168" fontId="6" fillId="0" borderId="37" xfId="40" applyNumberFormat="1" applyFont="1" applyBorder="1" applyAlignment="1">
      <alignment/>
    </xf>
    <xf numFmtId="168" fontId="6" fillId="0" borderId="18" xfId="40" applyNumberFormat="1" applyFont="1" applyBorder="1" applyAlignment="1">
      <alignment/>
    </xf>
    <xf numFmtId="0" fontId="12" fillId="0" borderId="38" xfId="0" applyFont="1" applyBorder="1" applyAlignment="1">
      <alignment horizontal="center"/>
    </xf>
    <xf numFmtId="0" fontId="6" fillId="0" borderId="19" xfId="0" applyFont="1" applyBorder="1" applyAlignment="1">
      <alignment/>
    </xf>
    <xf numFmtId="168" fontId="12" fillId="0" borderId="39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18" xfId="0" applyFont="1" applyBorder="1" applyAlignment="1">
      <alignment/>
    </xf>
    <xf numFmtId="0" fontId="6" fillId="0" borderId="40" xfId="0" applyFont="1" applyBorder="1" applyAlignment="1">
      <alignment/>
    </xf>
    <xf numFmtId="168" fontId="12" fillId="0" borderId="41" xfId="40" applyNumberFormat="1" applyFont="1" applyBorder="1" applyAlignment="1">
      <alignment/>
    </xf>
    <xf numFmtId="168" fontId="12" fillId="0" borderId="42" xfId="40" applyNumberFormat="1" applyFont="1" applyBorder="1" applyAlignment="1">
      <alignment/>
    </xf>
    <xf numFmtId="0" fontId="12" fillId="0" borderId="17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14" fillId="0" borderId="0" xfId="0" applyFont="1" applyAlignment="1">
      <alignment horizontal="left" wrapText="1"/>
    </xf>
    <xf numFmtId="14" fontId="16" fillId="0" borderId="0" xfId="0" applyNumberFormat="1" applyFont="1" applyAlignment="1">
      <alignment/>
    </xf>
    <xf numFmtId="0" fontId="12" fillId="0" borderId="0" xfId="56" applyFont="1" applyBorder="1" applyAlignment="1">
      <alignment horizontal="center"/>
      <protection/>
    </xf>
    <xf numFmtId="168" fontId="12" fillId="0" borderId="0" xfId="59" applyNumberFormat="1" applyFont="1" applyBorder="1" applyAlignment="1">
      <alignment horizontal="right"/>
      <protection/>
    </xf>
    <xf numFmtId="168" fontId="12" fillId="0" borderId="43" xfId="59" applyNumberFormat="1" applyFont="1" applyBorder="1" applyAlignment="1">
      <alignment horizontal="right"/>
      <protection/>
    </xf>
    <xf numFmtId="168" fontId="12" fillId="0" borderId="43" xfId="40" applyNumberFormat="1" applyFont="1" applyBorder="1" applyAlignment="1">
      <alignment horizontal="right"/>
    </xf>
    <xf numFmtId="0" fontId="6" fillId="0" borderId="0" xfId="56" applyFont="1" applyBorder="1" applyAlignment="1">
      <alignment horizontal="center"/>
      <protection/>
    </xf>
    <xf numFmtId="0" fontId="6" fillId="0" borderId="44" xfId="56" applyFont="1" applyBorder="1">
      <alignment/>
      <protection/>
    </xf>
    <xf numFmtId="0" fontId="6" fillId="0" borderId="44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17" xfId="0" applyFont="1" applyBorder="1" applyAlignment="1" quotePrefix="1">
      <alignment/>
    </xf>
    <xf numFmtId="0" fontId="4" fillId="0" borderId="0" xfId="0" applyFont="1" applyBorder="1" applyAlignment="1">
      <alignment/>
    </xf>
    <xf numFmtId="0" fontId="11" fillId="0" borderId="0" xfId="58" applyFont="1" applyBorder="1" applyAlignment="1">
      <alignment horizontal="right"/>
      <protection/>
    </xf>
    <xf numFmtId="0" fontId="18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3" fontId="12" fillId="0" borderId="0" xfId="56" applyNumberFormat="1" applyFont="1">
      <alignment/>
      <protection/>
    </xf>
    <xf numFmtId="3" fontId="12" fillId="0" borderId="0" xfId="56" applyNumberFormat="1" applyFont="1" applyAlignment="1">
      <alignment horizontal="right"/>
      <protection/>
    </xf>
    <xf numFmtId="3" fontId="14" fillId="0" borderId="0" xfId="56" applyNumberFormat="1" applyFont="1" applyAlignment="1">
      <alignment horizontal="right"/>
      <protection/>
    </xf>
    <xf numFmtId="3" fontId="14" fillId="0" borderId="0" xfId="40" applyNumberFormat="1" applyFont="1" applyAlignment="1">
      <alignment horizontal="right" wrapText="1"/>
    </xf>
    <xf numFmtId="3" fontId="14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45" xfId="58" applyFont="1" applyBorder="1" applyAlignment="1" quotePrefix="1">
      <alignment horizontal="center" vertical="center" wrapText="1"/>
      <protection/>
    </xf>
    <xf numFmtId="0" fontId="11" fillId="0" borderId="46" xfId="58" applyFont="1" applyBorder="1" applyAlignment="1" quotePrefix="1">
      <alignment horizontal="center" vertical="center" wrapText="1"/>
      <protection/>
    </xf>
    <xf numFmtId="0" fontId="11" fillId="0" borderId="47" xfId="58" applyFont="1" applyBorder="1" applyAlignment="1" quotePrefix="1">
      <alignment horizontal="center" vertical="center" wrapText="1"/>
      <protection/>
    </xf>
    <xf numFmtId="0" fontId="4" fillId="0" borderId="15" xfId="0" applyFont="1" applyBorder="1" applyAlignment="1">
      <alignment/>
    </xf>
    <xf numFmtId="168" fontId="19" fillId="0" borderId="48" xfId="40" applyNumberFormat="1" applyFont="1" applyBorder="1" applyAlignment="1">
      <alignment horizontal="center" vertical="center"/>
    </xf>
    <xf numFmtId="168" fontId="19" fillId="0" borderId="11" xfId="40" applyNumberFormat="1" applyFont="1" applyBorder="1" applyAlignment="1">
      <alignment horizontal="center" vertical="center"/>
    </xf>
    <xf numFmtId="168" fontId="19" fillId="0" borderId="11" xfId="4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3" fontId="11" fillId="0" borderId="16" xfId="58" applyNumberFormat="1" applyFont="1" applyBorder="1" applyAlignment="1">
      <alignment horizontal="right"/>
      <protection/>
    </xf>
    <xf numFmtId="3" fontId="11" fillId="0" borderId="17" xfId="58" applyNumberFormat="1" applyFont="1" applyBorder="1" applyAlignment="1">
      <alignment horizontal="right"/>
      <protection/>
    </xf>
    <xf numFmtId="3" fontId="18" fillId="0" borderId="17" xfId="58" applyNumberFormat="1" applyFont="1" applyBorder="1">
      <alignment/>
      <protection/>
    </xf>
    <xf numFmtId="3" fontId="11" fillId="0" borderId="17" xfId="58" applyNumberFormat="1" applyFont="1" applyBorder="1">
      <alignment/>
      <protection/>
    </xf>
    <xf numFmtId="3" fontId="18" fillId="0" borderId="34" xfId="58" applyNumberFormat="1" applyFont="1" applyBorder="1">
      <alignment/>
      <protection/>
    </xf>
    <xf numFmtId="3" fontId="11" fillId="0" borderId="34" xfId="58" applyNumberFormat="1" applyFont="1" applyBorder="1">
      <alignment/>
      <protection/>
    </xf>
    <xf numFmtId="3" fontId="11" fillId="0" borderId="21" xfId="58" applyNumberFormat="1" applyFont="1" applyBorder="1">
      <alignment/>
      <protection/>
    </xf>
    <xf numFmtId="3" fontId="10" fillId="0" borderId="40" xfId="58" applyNumberFormat="1" applyFont="1" applyBorder="1" applyAlignment="1">
      <alignment horizontal="right"/>
      <protection/>
    </xf>
    <xf numFmtId="3" fontId="10" fillId="0" borderId="50" xfId="58" applyNumberFormat="1" applyFont="1" applyBorder="1" applyAlignment="1">
      <alignment horizontal="right"/>
      <protection/>
    </xf>
    <xf numFmtId="0" fontId="12" fillId="0" borderId="0" xfId="56" applyFont="1" applyBorder="1" applyAlignment="1">
      <alignment horizontal="center" vertical="center"/>
      <protection/>
    </xf>
    <xf numFmtId="0" fontId="10" fillId="0" borderId="51" xfId="59" applyFont="1" applyBorder="1">
      <alignment/>
      <protection/>
    </xf>
    <xf numFmtId="0" fontId="12" fillId="0" borderId="0" xfId="56" applyFont="1" applyBorder="1">
      <alignment/>
      <protection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45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0" fontId="11" fillId="0" borderId="52" xfId="58" applyFont="1" applyBorder="1" applyAlignment="1" quotePrefix="1">
      <alignment horizontal="center" vertical="center" wrapText="1"/>
      <protection/>
    </xf>
    <xf numFmtId="0" fontId="11" fillId="0" borderId="51" xfId="58" applyFont="1" applyBorder="1" applyAlignment="1">
      <alignment horizontal="left" wrapText="1"/>
      <protection/>
    </xf>
    <xf numFmtId="168" fontId="4" fillId="0" borderId="41" xfId="40" applyNumberFormat="1" applyFont="1" applyBorder="1" applyAlignment="1">
      <alignment/>
    </xf>
    <xf numFmtId="168" fontId="4" fillId="0" borderId="53" xfId="40" applyNumberFormat="1" applyFont="1" applyBorder="1" applyAlignment="1">
      <alignment/>
    </xf>
    <xf numFmtId="0" fontId="11" fillId="0" borderId="21" xfId="58" applyFont="1" applyBorder="1" applyAlignment="1">
      <alignment horizontal="right"/>
      <protection/>
    </xf>
    <xf numFmtId="0" fontId="4" fillId="0" borderId="54" xfId="0" applyFont="1" applyBorder="1" applyAlignment="1">
      <alignment/>
    </xf>
    <xf numFmtId="0" fontId="10" fillId="0" borderId="40" xfId="59" applyFont="1" applyBorder="1">
      <alignment/>
      <protection/>
    </xf>
    <xf numFmtId="168" fontId="4" fillId="0" borderId="55" xfId="40" applyNumberFormat="1" applyFont="1" applyBorder="1" applyAlignment="1">
      <alignment/>
    </xf>
    <xf numFmtId="168" fontId="4" fillId="0" borderId="56" xfId="40" applyNumberFormat="1" applyFont="1" applyBorder="1" applyAlignment="1">
      <alignment/>
    </xf>
    <xf numFmtId="168" fontId="4" fillId="0" borderId="57" xfId="40" applyNumberFormat="1" applyFont="1" applyBorder="1" applyAlignment="1">
      <alignment/>
    </xf>
    <xf numFmtId="168" fontId="4" fillId="0" borderId="57" xfId="58" applyNumberFormat="1" applyFont="1" applyBorder="1" applyAlignment="1">
      <alignment/>
      <protection/>
    </xf>
    <xf numFmtId="168" fontId="4" fillId="0" borderId="57" xfId="58" applyNumberFormat="1" applyFont="1" applyBorder="1" applyAlignment="1">
      <alignment horizontal="right"/>
      <protection/>
    </xf>
    <xf numFmtId="168" fontId="7" fillId="0" borderId="18" xfId="40" applyNumberFormat="1" applyFont="1" applyBorder="1" applyAlignment="1">
      <alignment/>
    </xf>
    <xf numFmtId="168" fontId="7" fillId="0" borderId="49" xfId="40" applyNumberFormat="1" applyFont="1" applyBorder="1" applyAlignment="1">
      <alignment/>
    </xf>
    <xf numFmtId="168" fontId="7" fillId="0" borderId="15" xfId="40" applyNumberFormat="1" applyFont="1" applyBorder="1" applyAlignment="1">
      <alignment/>
    </xf>
    <xf numFmtId="0" fontId="6" fillId="0" borderId="17" xfId="56" applyFont="1" applyBorder="1" applyAlignment="1">
      <alignment horizontal="right"/>
      <protection/>
    </xf>
    <xf numFmtId="0" fontId="6" fillId="0" borderId="17" xfId="56" applyFont="1" applyBorder="1" applyAlignment="1">
      <alignment/>
      <protection/>
    </xf>
    <xf numFmtId="0" fontId="6" fillId="0" borderId="18" xfId="57" applyFont="1" applyBorder="1" applyAlignment="1">
      <alignment vertical="center"/>
      <protection/>
    </xf>
    <xf numFmtId="168" fontId="6" fillId="0" borderId="18" xfId="57" applyNumberFormat="1" applyFont="1" applyBorder="1" applyAlignment="1">
      <alignment vertical="center"/>
      <protection/>
    </xf>
    <xf numFmtId="0" fontId="14" fillId="0" borderId="0" xfId="58" applyFont="1">
      <alignment/>
      <protection/>
    </xf>
    <xf numFmtId="0" fontId="28" fillId="0" borderId="0" xfId="58" applyFont="1" applyBorder="1" applyAlignment="1">
      <alignment horizontal="left" wrapText="1"/>
      <protection/>
    </xf>
    <xf numFmtId="0" fontId="28" fillId="0" borderId="0" xfId="58" applyFont="1" applyBorder="1" applyAlignment="1" quotePrefix="1">
      <alignment horizontal="left" wrapText="1"/>
      <protection/>
    </xf>
    <xf numFmtId="0" fontId="12" fillId="0" borderId="0" xfId="58" applyFont="1" applyBorder="1" applyAlignment="1" quotePrefix="1">
      <alignment horizontal="left" wrapText="1"/>
      <protection/>
    </xf>
    <xf numFmtId="0" fontId="11" fillId="0" borderId="58" xfId="58" applyFont="1" applyBorder="1" applyAlignment="1" quotePrefix="1">
      <alignment horizontal="center" vertical="center" wrapText="1"/>
      <protection/>
    </xf>
    <xf numFmtId="0" fontId="10" fillId="0" borderId="51" xfId="58" applyFont="1" applyBorder="1">
      <alignment/>
      <protection/>
    </xf>
    <xf numFmtId="0" fontId="11" fillId="0" borderId="17" xfId="59" applyFont="1" applyBorder="1">
      <alignment/>
      <protection/>
    </xf>
    <xf numFmtId="49" fontId="12" fillId="0" borderId="0" xfId="59" applyNumberFormat="1" applyFont="1">
      <alignment/>
      <protection/>
    </xf>
    <xf numFmtId="4" fontId="11" fillId="0" borderId="50" xfId="59" applyNumberFormat="1" applyFont="1" applyBorder="1">
      <alignment/>
      <protection/>
    </xf>
    <xf numFmtId="4" fontId="11" fillId="0" borderId="19" xfId="59" applyNumberFormat="1" applyFont="1" applyBorder="1">
      <alignment/>
      <protection/>
    </xf>
    <xf numFmtId="4" fontId="11" fillId="0" borderId="59" xfId="59" applyNumberFormat="1" applyFont="1" applyBorder="1">
      <alignment/>
      <protection/>
    </xf>
    <xf numFmtId="4" fontId="11" fillId="0" borderId="17" xfId="59" applyNumberFormat="1" applyFont="1" applyBorder="1">
      <alignment/>
      <protection/>
    </xf>
    <xf numFmtId="4" fontId="11" fillId="0" borderId="34" xfId="59" applyNumberFormat="1" applyFont="1" applyBorder="1">
      <alignment/>
      <protection/>
    </xf>
    <xf numFmtId="4" fontId="10" fillId="0" borderId="18" xfId="59" applyNumberFormat="1" applyFont="1" applyBorder="1">
      <alignment/>
      <protection/>
    </xf>
    <xf numFmtId="3" fontId="70" fillId="0" borderId="0" xfId="56" applyNumberFormat="1" applyFont="1" applyAlignment="1">
      <alignment horizontal="right"/>
      <protection/>
    </xf>
    <xf numFmtId="3" fontId="11" fillId="0" borderId="57" xfId="58" applyNumberFormat="1" applyFont="1" applyBorder="1" applyAlignment="1">
      <alignment horizontal="right"/>
      <protection/>
    </xf>
    <xf numFmtId="3" fontId="10" fillId="0" borderId="17" xfId="58" applyNumberFormat="1" applyFont="1" applyBorder="1" applyAlignment="1">
      <alignment horizontal="right"/>
      <protection/>
    </xf>
    <xf numFmtId="3" fontId="10" fillId="0" borderId="19" xfId="58" applyNumberFormat="1" applyFont="1" applyBorder="1" applyAlignment="1">
      <alignment horizontal="right"/>
      <protection/>
    </xf>
    <xf numFmtId="0" fontId="11" fillId="0" borderId="36" xfId="59" applyFont="1" applyBorder="1">
      <alignment/>
      <protection/>
    </xf>
    <xf numFmtId="0" fontId="11" fillId="0" borderId="35" xfId="59" applyFont="1" applyBorder="1">
      <alignment/>
      <protection/>
    </xf>
    <xf numFmtId="3" fontId="10" fillId="0" borderId="29" xfId="58" applyNumberFormat="1" applyFont="1" applyBorder="1" applyAlignment="1">
      <alignment horizontal="right"/>
      <protection/>
    </xf>
    <xf numFmtId="3" fontId="11" fillId="0" borderId="60" xfId="58" applyNumberFormat="1" applyFont="1" applyBorder="1" applyAlignment="1">
      <alignment horizontal="right"/>
      <protection/>
    </xf>
    <xf numFmtId="3" fontId="11" fillId="0" borderId="36" xfId="58" applyNumberFormat="1" applyFont="1" applyBorder="1" applyAlignment="1">
      <alignment horizontal="right"/>
      <protection/>
    </xf>
    <xf numFmtId="3" fontId="18" fillId="0" borderId="36" xfId="58" applyNumberFormat="1" applyFont="1" applyBorder="1">
      <alignment/>
      <protection/>
    </xf>
    <xf numFmtId="3" fontId="11" fillId="0" borderId="36" xfId="58" applyNumberFormat="1" applyFont="1" applyBorder="1">
      <alignment/>
      <protection/>
    </xf>
    <xf numFmtId="3" fontId="18" fillId="0" borderId="59" xfId="58" applyNumberFormat="1" applyFont="1" applyBorder="1">
      <alignment/>
      <protection/>
    </xf>
    <xf numFmtId="3" fontId="11" fillId="0" borderId="59" xfId="58" applyNumberFormat="1" applyFont="1" applyBorder="1">
      <alignment/>
      <protection/>
    </xf>
    <xf numFmtId="3" fontId="11" fillId="0" borderId="61" xfId="58" applyNumberFormat="1" applyFont="1" applyBorder="1">
      <alignment/>
      <protection/>
    </xf>
    <xf numFmtId="4" fontId="11" fillId="0" borderId="36" xfId="59" applyNumberFormat="1" applyFont="1" applyBorder="1">
      <alignment/>
      <protection/>
    </xf>
    <xf numFmtId="0" fontId="4" fillId="0" borderId="18" xfId="59" applyFont="1" applyBorder="1">
      <alignment/>
      <protection/>
    </xf>
    <xf numFmtId="0" fontId="7" fillId="0" borderId="17" xfId="59" applyFont="1" applyBorder="1">
      <alignment/>
      <protection/>
    </xf>
    <xf numFmtId="0" fontId="7" fillId="0" borderId="18" xfId="59" applyFont="1" applyBorder="1">
      <alignment/>
      <protection/>
    </xf>
    <xf numFmtId="0" fontId="10" fillId="0" borderId="18" xfId="59" applyFont="1" applyBorder="1">
      <alignment/>
      <protection/>
    </xf>
    <xf numFmtId="0" fontId="6" fillId="0" borderId="18" xfId="59" applyFont="1" applyBorder="1">
      <alignment/>
      <protection/>
    </xf>
    <xf numFmtId="0" fontId="10" fillId="0" borderId="0" xfId="58" applyFont="1" applyBorder="1">
      <alignment/>
      <protection/>
    </xf>
    <xf numFmtId="3" fontId="10" fillId="0" borderId="0" xfId="58" applyNumberFormat="1" applyFont="1" applyBorder="1" applyAlignment="1">
      <alignment horizontal="right"/>
      <protection/>
    </xf>
    <xf numFmtId="4" fontId="10" fillId="0" borderId="0" xfId="59" applyNumberFormat="1" applyFont="1" applyBorder="1">
      <alignment/>
      <protection/>
    </xf>
    <xf numFmtId="3" fontId="10" fillId="0" borderId="18" xfId="59" applyNumberFormat="1" applyFont="1" applyBorder="1">
      <alignment/>
      <protection/>
    </xf>
    <xf numFmtId="3" fontId="4" fillId="0" borderId="0" xfId="59" applyNumberFormat="1" applyFont="1">
      <alignment/>
      <protection/>
    </xf>
    <xf numFmtId="0" fontId="4" fillId="0" borderId="62" xfId="0" applyFont="1" applyBorder="1" applyAlignment="1">
      <alignment/>
    </xf>
    <xf numFmtId="0" fontId="11" fillId="0" borderId="63" xfId="59" applyFont="1" applyBorder="1">
      <alignment/>
      <protection/>
    </xf>
    <xf numFmtId="168" fontId="7" fillId="0" borderId="62" xfId="40" applyNumberFormat="1" applyFont="1" applyBorder="1" applyAlignment="1">
      <alignment/>
    </xf>
    <xf numFmtId="168" fontId="4" fillId="0" borderId="60" xfId="40" applyNumberFormat="1" applyFont="1" applyBorder="1" applyAlignment="1">
      <alignment/>
    </xf>
    <xf numFmtId="168" fontId="4" fillId="0" borderId="36" xfId="40" applyNumberFormat="1" applyFont="1" applyBorder="1" applyAlignment="1">
      <alignment/>
    </xf>
    <xf numFmtId="168" fontId="4" fillId="0" borderId="61" xfId="40" applyNumberFormat="1" applyFont="1" applyBorder="1" applyAlignment="1">
      <alignment/>
    </xf>
    <xf numFmtId="0" fontId="10" fillId="0" borderId="18" xfId="0" applyFont="1" applyBorder="1" applyAlignment="1">
      <alignment/>
    </xf>
    <xf numFmtId="168" fontId="10" fillId="0" borderId="18" xfId="0" applyNumberFormat="1" applyFont="1" applyBorder="1" applyAlignment="1">
      <alignment/>
    </xf>
    <xf numFmtId="168" fontId="10" fillId="0" borderId="18" xfId="40" applyNumberFormat="1" applyFont="1" applyBorder="1" applyAlignment="1">
      <alignment/>
    </xf>
    <xf numFmtId="168" fontId="10" fillId="0" borderId="52" xfId="4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15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52" xfId="0" applyFont="1" applyBorder="1" applyAlignment="1">
      <alignment/>
    </xf>
    <xf numFmtId="168" fontId="7" fillId="0" borderId="18" xfId="0" applyNumberFormat="1" applyFont="1" applyBorder="1" applyAlignment="1">
      <alignment/>
    </xf>
    <xf numFmtId="3" fontId="12" fillId="32" borderId="0" xfId="56" applyNumberFormat="1" applyFont="1" applyFill="1" applyAlignment="1">
      <alignment horizontal="right"/>
      <protection/>
    </xf>
    <xf numFmtId="3" fontId="6" fillId="0" borderId="0" xfId="4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168" fontId="12" fillId="0" borderId="17" xfId="40" applyNumberFormat="1" applyFont="1" applyBorder="1" applyAlignment="1">
      <alignment/>
    </xf>
    <xf numFmtId="4" fontId="10" fillId="0" borderId="18" xfId="59" applyNumberFormat="1" applyFont="1" applyBorder="1">
      <alignment/>
      <protection/>
    </xf>
    <xf numFmtId="0" fontId="7" fillId="0" borderId="36" xfId="59" applyFont="1" applyBorder="1">
      <alignment/>
      <protection/>
    </xf>
    <xf numFmtId="0" fontId="4" fillId="0" borderId="17" xfId="59" applyFont="1" applyBorder="1">
      <alignment/>
      <protection/>
    </xf>
    <xf numFmtId="3" fontId="11" fillId="0" borderId="17" xfId="58" applyNumberFormat="1" applyFont="1" applyBorder="1" applyAlignment="1">
      <alignment horizontal="right"/>
      <protection/>
    </xf>
    <xf numFmtId="4" fontId="11" fillId="0" borderId="17" xfId="59" applyNumberFormat="1" applyFont="1" applyBorder="1">
      <alignment/>
      <protection/>
    </xf>
    <xf numFmtId="0" fontId="4" fillId="0" borderId="17" xfId="0" applyFont="1" applyBorder="1" applyAlignment="1">
      <alignment/>
    </xf>
    <xf numFmtId="168" fontId="4" fillId="0" borderId="0" xfId="0" applyNumberFormat="1" applyFont="1" applyAlignment="1">
      <alignment/>
    </xf>
    <xf numFmtId="3" fontId="12" fillId="0" borderId="0" xfId="56" applyNumberFormat="1" applyFont="1" applyAlignment="1">
      <alignment horizontal="right"/>
      <protection/>
    </xf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29" fillId="0" borderId="0" xfId="58" applyFont="1" applyBorder="1" applyAlignment="1">
      <alignment horizontal="left" wrapText="1"/>
      <protection/>
    </xf>
    <xf numFmtId="16" fontId="12" fillId="0" borderId="0" xfId="59" applyNumberFormat="1" applyFont="1" quotePrefix="1">
      <alignment/>
      <protection/>
    </xf>
    <xf numFmtId="168" fontId="30" fillId="0" borderId="0" xfId="40" applyNumberFormat="1" applyFont="1" applyBorder="1" applyAlignment="1">
      <alignment horizontal="right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3" fontId="27" fillId="0" borderId="0" xfId="0" applyNumberFormat="1" applyFont="1" applyAlignment="1">
      <alignment/>
    </xf>
    <xf numFmtId="0" fontId="17" fillId="0" borderId="0" xfId="0" applyFont="1" applyAlignment="1">
      <alignment horizontal="left" wrapText="1"/>
    </xf>
    <xf numFmtId="14" fontId="0" fillId="0" borderId="0" xfId="0" applyNumberFormat="1" applyAlignment="1" quotePrefix="1">
      <alignment/>
    </xf>
    <xf numFmtId="164" fontId="6" fillId="0" borderId="0" xfId="0" applyNumberFormat="1" applyFont="1" applyAlignment="1">
      <alignment/>
    </xf>
    <xf numFmtId="3" fontId="12" fillId="0" borderId="0" xfId="40" applyNumberFormat="1" applyFont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59" applyFont="1" applyBorder="1" quotePrefix="1">
      <alignment/>
      <protection/>
    </xf>
    <xf numFmtId="3" fontId="0" fillId="0" borderId="43" xfId="0" applyNumberFormat="1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3" fontId="0" fillId="0" borderId="43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 quotePrefix="1">
      <alignment/>
    </xf>
    <xf numFmtId="49" fontId="12" fillId="0" borderId="0" xfId="59" applyNumberFormat="1" applyFont="1" quotePrefix="1">
      <alignment/>
      <protection/>
    </xf>
    <xf numFmtId="168" fontId="6" fillId="0" borderId="0" xfId="59" applyNumberFormat="1" applyFont="1" applyBorder="1" applyAlignment="1">
      <alignment horizontal="right"/>
      <protection/>
    </xf>
    <xf numFmtId="0" fontId="4" fillId="0" borderId="21" xfId="0" applyFont="1" applyBorder="1" applyAlignment="1">
      <alignment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12" fillId="0" borderId="0" xfId="0" applyFont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 wrapText="1"/>
      <protection/>
    </xf>
    <xf numFmtId="0" fontId="10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0" fontId="0" fillId="0" borderId="0" xfId="0" applyFont="1" applyAlignment="1">
      <alignment horizontal="left" wrapText="1"/>
    </xf>
    <xf numFmtId="0" fontId="12" fillId="0" borderId="0" xfId="56" applyFont="1" applyAlignment="1">
      <alignment horizontal="left" wrapText="1"/>
      <protection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6" fillId="0" borderId="0" xfId="56" applyFont="1" applyAlignment="1">
      <alignment horizontal="center"/>
      <protection/>
    </xf>
    <xf numFmtId="0" fontId="6" fillId="0" borderId="22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48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64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65" xfId="56" applyFont="1" applyBorder="1" applyAlignment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14" fillId="0" borderId="0" xfId="0" applyFont="1" applyAlignment="1">
      <alignment horizontal="left"/>
    </xf>
    <xf numFmtId="0" fontId="7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4" fillId="0" borderId="11" xfId="56" applyFont="1" applyBorder="1" applyAlignment="1">
      <alignment horizontal="center" vertical="center" textRotation="255"/>
      <protection/>
    </xf>
    <xf numFmtId="0" fontId="4" fillId="0" borderId="12" xfId="56" applyFont="1" applyBorder="1" applyAlignment="1">
      <alignment horizontal="center" vertical="center" textRotation="255"/>
      <protection/>
    </xf>
    <xf numFmtId="0" fontId="4" fillId="0" borderId="13" xfId="56" applyFont="1" applyBorder="1" applyAlignment="1">
      <alignment horizontal="center" vertical="center" textRotation="255"/>
      <protection/>
    </xf>
    <xf numFmtId="0" fontId="11" fillId="0" borderId="48" xfId="58" applyFont="1" applyBorder="1" applyAlignment="1">
      <alignment horizontal="center" vertical="center" wrapText="1"/>
      <protection/>
    </xf>
    <xf numFmtId="0" fontId="11" fillId="0" borderId="64" xfId="58" applyFont="1" applyBorder="1" applyAlignment="1">
      <alignment horizontal="center" vertical="center" wrapText="1"/>
      <protection/>
    </xf>
    <xf numFmtId="0" fontId="11" fillId="0" borderId="6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9" fillId="0" borderId="11" xfId="56" applyFont="1" applyBorder="1" applyAlignment="1">
      <alignment horizontal="center" vertical="center" wrapText="1"/>
      <protection/>
    </xf>
    <xf numFmtId="0" fontId="19" fillId="0" borderId="12" xfId="56" applyFont="1" applyBorder="1" applyAlignment="1">
      <alignment horizontal="center" vertical="center" wrapText="1"/>
      <protection/>
    </xf>
    <xf numFmtId="0" fontId="19" fillId="0" borderId="13" xfId="56" applyFont="1" applyBorder="1" applyAlignment="1">
      <alignment horizontal="center" vertical="center" wrapText="1"/>
      <protection/>
    </xf>
    <xf numFmtId="168" fontId="19" fillId="0" borderId="51" xfId="40" applyNumberFormat="1" applyFont="1" applyBorder="1" applyAlignment="1">
      <alignment horizontal="center" vertical="center"/>
    </xf>
    <xf numFmtId="168" fontId="19" fillId="0" borderId="52" xfId="40" applyNumberFormat="1" applyFont="1" applyBorder="1" applyAlignment="1">
      <alignment horizontal="center" vertical="center"/>
    </xf>
    <xf numFmtId="168" fontId="19" fillId="0" borderId="22" xfId="40" applyNumberFormat="1" applyFont="1" applyBorder="1" applyAlignment="1">
      <alignment horizontal="center" vertical="center"/>
    </xf>
    <xf numFmtId="168" fontId="19" fillId="0" borderId="44" xfId="40" applyNumberFormat="1" applyFont="1" applyBorder="1" applyAlignment="1">
      <alignment horizontal="center" vertical="center"/>
    </xf>
    <xf numFmtId="168" fontId="19" fillId="0" borderId="48" xfId="40" applyNumberFormat="1" applyFont="1" applyBorder="1" applyAlignment="1">
      <alignment horizontal="center" vertical="center"/>
    </xf>
    <xf numFmtId="168" fontId="19" fillId="0" borderId="30" xfId="40" applyNumberFormat="1" applyFont="1" applyBorder="1" applyAlignment="1">
      <alignment horizontal="center" vertical="center"/>
    </xf>
    <xf numFmtId="168" fontId="19" fillId="0" borderId="10" xfId="40" applyNumberFormat="1" applyFont="1" applyBorder="1" applyAlignment="1">
      <alignment horizontal="center" vertical="center"/>
    </xf>
    <xf numFmtId="168" fontId="19" fillId="0" borderId="65" xfId="40" applyNumberFormat="1" applyFont="1" applyBorder="1" applyAlignment="1">
      <alignment horizontal="center" vertical="center"/>
    </xf>
    <xf numFmtId="0" fontId="7" fillId="0" borderId="26" xfId="56" applyFont="1" applyBorder="1" applyAlignment="1">
      <alignment horizontal="center"/>
      <protection/>
    </xf>
    <xf numFmtId="0" fontId="7" fillId="0" borderId="64" xfId="56" applyFont="1" applyBorder="1" applyAlignment="1">
      <alignment horizontal="center"/>
      <protection/>
    </xf>
    <xf numFmtId="0" fontId="7" fillId="0" borderId="30" xfId="56" applyFont="1" applyBorder="1" applyAlignment="1">
      <alignment horizontal="center"/>
      <protection/>
    </xf>
    <xf numFmtId="0" fontId="7" fillId="0" borderId="65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horizontal="center" vertical="center"/>
      <protection/>
    </xf>
    <xf numFmtId="0" fontId="11" fillId="0" borderId="13" xfId="56" applyFont="1" applyBorder="1" applyAlignment="1">
      <alignment horizontal="center" vertical="center"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13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48" xfId="58" applyFont="1" applyBorder="1" applyAlignment="1">
      <alignment horizontal="center" vertical="center" wrapText="1"/>
      <protection/>
    </xf>
    <xf numFmtId="0" fontId="11" fillId="0" borderId="64" xfId="58" applyFont="1" applyBorder="1" applyAlignment="1">
      <alignment horizontal="center" vertical="center" wrapText="1"/>
      <protection/>
    </xf>
    <xf numFmtId="0" fontId="11" fillId="0" borderId="65" xfId="58" applyFont="1" applyBorder="1" applyAlignment="1">
      <alignment horizontal="center" vertical="center" wrapText="1"/>
      <protection/>
    </xf>
    <xf numFmtId="0" fontId="11" fillId="0" borderId="36" xfId="56" applyFont="1" applyBorder="1" applyAlignment="1">
      <alignment horizontal="center" vertical="center" textRotation="180"/>
      <protection/>
    </xf>
    <xf numFmtId="0" fontId="11" fillId="0" borderId="29" xfId="56" applyFont="1" applyBorder="1" applyAlignment="1">
      <alignment horizontal="center" vertical="center" textRotation="180"/>
      <protection/>
    </xf>
    <xf numFmtId="0" fontId="11" fillId="0" borderId="19" xfId="56" applyFont="1" applyBorder="1" applyAlignment="1">
      <alignment horizontal="center" vertical="center" textRotation="180"/>
      <protection/>
    </xf>
    <xf numFmtId="0" fontId="10" fillId="0" borderId="0" xfId="59" applyFont="1" applyAlignment="1">
      <alignment horizontal="center"/>
      <protection/>
    </xf>
    <xf numFmtId="44" fontId="11" fillId="0" borderId="40" xfId="61" applyFont="1" applyBorder="1" applyAlignment="1">
      <alignment horizontal="center" vertical="center"/>
    </xf>
    <xf numFmtId="44" fontId="11" fillId="0" borderId="51" xfId="61" applyFont="1" applyBorder="1" applyAlignment="1">
      <alignment horizontal="center" vertical="center"/>
    </xf>
    <xf numFmtId="44" fontId="11" fillId="0" borderId="52" xfId="61" applyFont="1" applyBorder="1" applyAlignment="1">
      <alignment horizontal="center" vertical="center"/>
    </xf>
    <xf numFmtId="0" fontId="11" fillId="0" borderId="10" xfId="59" applyFont="1" applyBorder="1" applyAlignment="1">
      <alignment horizontal="right"/>
      <protection/>
    </xf>
    <xf numFmtId="0" fontId="14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1" fillId="0" borderId="40" xfId="56" applyFont="1" applyBorder="1" applyAlignment="1">
      <alignment horizontal="center" vertical="center"/>
      <protection/>
    </xf>
    <xf numFmtId="0" fontId="11" fillId="0" borderId="51" xfId="56" applyFont="1" applyBorder="1" applyAlignment="1">
      <alignment horizontal="center" vertical="center"/>
      <protection/>
    </xf>
    <xf numFmtId="0" fontId="11" fillId="0" borderId="52" xfId="56" applyFont="1" applyBorder="1" applyAlignment="1">
      <alignment horizontal="center" vertical="center"/>
      <protection/>
    </xf>
    <xf numFmtId="0" fontId="11" fillId="0" borderId="40" xfId="56" applyFont="1" applyBorder="1" applyAlignment="1">
      <alignment horizontal="center" vertical="center" wrapText="1"/>
      <protection/>
    </xf>
    <xf numFmtId="0" fontId="11" fillId="0" borderId="51" xfId="56" applyFont="1" applyBorder="1" applyAlignment="1">
      <alignment horizontal="center" vertical="center" wrapText="1"/>
      <protection/>
    </xf>
    <xf numFmtId="0" fontId="11" fillId="0" borderId="52" xfId="56" applyFont="1" applyBorder="1" applyAlignment="1">
      <alignment horizontal="center" vertical="center" wrapText="1"/>
      <protection/>
    </xf>
    <xf numFmtId="0" fontId="11" fillId="0" borderId="40" xfId="56" applyFont="1" applyBorder="1" applyAlignment="1">
      <alignment horizontal="center"/>
      <protection/>
    </xf>
    <xf numFmtId="0" fontId="11" fillId="0" borderId="51" xfId="56" applyFont="1" applyBorder="1" applyAlignment="1">
      <alignment horizontal="center"/>
      <protection/>
    </xf>
    <xf numFmtId="0" fontId="11" fillId="0" borderId="52" xfId="56" applyFont="1" applyBorder="1" applyAlignment="1">
      <alignment horizontal="center"/>
      <protection/>
    </xf>
    <xf numFmtId="0" fontId="7" fillId="0" borderId="40" xfId="56" applyFont="1" applyBorder="1" applyAlignment="1">
      <alignment horizontal="center"/>
      <protection/>
    </xf>
    <xf numFmtId="0" fontId="7" fillId="0" borderId="52" xfId="56" applyFont="1" applyBorder="1" applyAlignment="1">
      <alignment horizontal="center"/>
      <protection/>
    </xf>
    <xf numFmtId="168" fontId="19" fillId="0" borderId="26" xfId="40" applyNumberFormat="1" applyFont="1" applyBorder="1" applyAlignment="1">
      <alignment horizontal="center" vertical="center"/>
    </xf>
    <xf numFmtId="168" fontId="19" fillId="0" borderId="0" xfId="40" applyNumberFormat="1" applyFont="1" applyBorder="1" applyAlignment="1">
      <alignment horizontal="center" vertical="center"/>
    </xf>
    <xf numFmtId="168" fontId="19" fillId="0" borderId="64" xfId="40" applyNumberFormat="1" applyFont="1" applyBorder="1" applyAlignment="1">
      <alignment horizontal="center" vertical="center"/>
    </xf>
    <xf numFmtId="0" fontId="22" fillId="0" borderId="11" xfId="56" applyFont="1" applyBorder="1" applyAlignment="1">
      <alignment horizontal="center" textRotation="255"/>
      <protection/>
    </xf>
    <xf numFmtId="0" fontId="22" fillId="0" borderId="12" xfId="56" applyFont="1" applyBorder="1" applyAlignment="1">
      <alignment horizontal="center" textRotation="255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0" xfId="0" applyFont="1" applyAlignment="1">
      <alignment horizontal="center"/>
    </xf>
    <xf numFmtId="0" fontId="12" fillId="0" borderId="11" xfId="59" applyFont="1" applyBorder="1" applyAlignment="1">
      <alignment horizontal="center" textRotation="180"/>
      <protection/>
    </xf>
    <xf numFmtId="0" fontId="12" fillId="0" borderId="12" xfId="59" applyFont="1" applyBorder="1" applyAlignment="1">
      <alignment horizontal="center" textRotation="180"/>
      <protection/>
    </xf>
    <xf numFmtId="0" fontId="12" fillId="0" borderId="13" xfId="59" applyFont="1" applyBorder="1" applyAlignment="1">
      <alignment horizontal="center" textRotation="180"/>
      <protection/>
    </xf>
    <xf numFmtId="0" fontId="12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15" fillId="0" borderId="18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8:U64"/>
  <sheetViews>
    <sheetView tabSelected="1" zoomScalePageLayoutView="0" workbookViewId="0" topLeftCell="C25">
      <selection activeCell="L46" sqref="L46:T46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27"/>
      <c r="J39" s="2"/>
      <c r="L39" s="379" t="s">
        <v>4</v>
      </c>
      <c r="M39" s="379"/>
      <c r="N39" s="379"/>
      <c r="O39" s="379"/>
      <c r="P39" s="379"/>
      <c r="Q39" s="379"/>
      <c r="R39" s="379"/>
      <c r="S39" s="379"/>
      <c r="T39" s="379"/>
      <c r="U39" s="27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22"/>
      <c r="J41" s="2"/>
      <c r="L41" s="379" t="s">
        <v>421</v>
      </c>
      <c r="M41" s="379"/>
      <c r="N41" s="379"/>
      <c r="O41" s="379"/>
      <c r="P41" s="379"/>
      <c r="Q41" s="379"/>
      <c r="R41" s="379"/>
      <c r="S41" s="379"/>
      <c r="T41" s="379"/>
      <c r="U41" s="27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22"/>
      <c r="J43" s="2"/>
      <c r="L43" s="379" t="s">
        <v>314</v>
      </c>
      <c r="M43" s="379"/>
      <c r="N43" s="379"/>
      <c r="O43" s="379"/>
      <c r="P43" s="379"/>
      <c r="Q43" s="379"/>
      <c r="R43" s="379"/>
      <c r="S43" s="379"/>
      <c r="T43" s="379"/>
      <c r="U43" s="27"/>
    </row>
    <row r="44" spans="9:21" ht="27.75">
      <c r="I44" s="22"/>
      <c r="J44" s="2"/>
      <c r="L44" s="379" t="s">
        <v>501</v>
      </c>
      <c r="M44" s="381"/>
      <c r="N44" s="381"/>
      <c r="O44" s="381"/>
      <c r="P44" s="381"/>
      <c r="Q44" s="381"/>
      <c r="R44" s="381"/>
      <c r="S44" s="381"/>
      <c r="T44" s="381"/>
      <c r="U44" s="27"/>
    </row>
    <row r="45" spans="2:10" ht="27.75">
      <c r="B45" s="2"/>
      <c r="C45" s="3"/>
      <c r="D45" s="3"/>
      <c r="E45" s="3"/>
      <c r="F45" s="3"/>
      <c r="G45" s="3"/>
      <c r="H45" s="3"/>
      <c r="I45" s="3"/>
      <c r="J45" s="2"/>
    </row>
    <row r="46" spans="2:20" ht="27.75">
      <c r="B46" s="2"/>
      <c r="C46" s="3"/>
      <c r="D46" s="3"/>
      <c r="E46" s="3"/>
      <c r="F46" s="3"/>
      <c r="G46" s="3"/>
      <c r="H46" s="3"/>
      <c r="I46" s="3"/>
      <c r="J46" s="2"/>
      <c r="L46" s="380"/>
      <c r="M46" s="380"/>
      <c r="N46" s="380"/>
      <c r="O46" s="380"/>
      <c r="P46" s="380"/>
      <c r="Q46" s="380"/>
      <c r="R46" s="380"/>
      <c r="S46" s="380"/>
      <c r="T46" s="380"/>
    </row>
    <row r="47" spans="2:15" ht="27.75">
      <c r="B47" s="2"/>
      <c r="C47" s="2"/>
      <c r="D47" s="2"/>
      <c r="E47" s="2"/>
      <c r="F47" s="2"/>
      <c r="G47" s="2"/>
      <c r="H47" s="2"/>
      <c r="I47" s="2"/>
      <c r="J47" s="2"/>
      <c r="L47" s="28"/>
      <c r="M47" s="202"/>
      <c r="N47" s="12"/>
      <c r="O47" s="120"/>
    </row>
    <row r="48" spans="1:10" ht="27.75">
      <c r="A48" s="28"/>
      <c r="B48" s="29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  <row r="64" spans="2:10" ht="27.75">
      <c r="B64" s="2"/>
      <c r="C64" s="2"/>
      <c r="D64" s="2"/>
      <c r="E64" s="2"/>
      <c r="F64" s="2"/>
      <c r="G64" s="2"/>
      <c r="H64" s="2"/>
      <c r="I64" s="2"/>
      <c r="J64" s="2"/>
    </row>
  </sheetData>
  <sheetProtection/>
  <mergeCells count="5">
    <mergeCell ref="L39:T39"/>
    <mergeCell ref="L41:T41"/>
    <mergeCell ref="L43:T43"/>
    <mergeCell ref="L46:T46"/>
    <mergeCell ref="L44:T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7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87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382" t="s">
        <v>528</v>
      </c>
      <c r="B1" s="382"/>
      <c r="C1" s="382"/>
    </row>
    <row r="3" spans="1:3" ht="15.75">
      <c r="A3" s="387" t="s">
        <v>470</v>
      </c>
      <c r="B3" s="387"/>
      <c r="C3" s="387"/>
    </row>
    <row r="4" s="80" customFormat="1" ht="15.75">
      <c r="C4" s="86"/>
    </row>
    <row r="5" spans="1:3" s="73" customFormat="1" ht="15">
      <c r="A5" s="495"/>
      <c r="B5" s="495"/>
      <c r="C5" s="495"/>
    </row>
    <row r="6" spans="1:3" s="73" customFormat="1" ht="6.75" customHeight="1">
      <c r="A6" s="81"/>
      <c r="B6" s="39"/>
      <c r="C6" s="39"/>
    </row>
    <row r="7" spans="1:3" ht="15.75">
      <c r="A7" s="401" t="s">
        <v>4</v>
      </c>
      <c r="B7" s="401"/>
      <c r="C7" s="401"/>
    </row>
    <row r="8" spans="1:3" ht="15.75">
      <c r="A8" s="411" t="s">
        <v>244</v>
      </c>
      <c r="B8" s="411"/>
      <c r="C8" s="411"/>
    </row>
    <row r="9" spans="1:3" ht="15.75">
      <c r="A9" s="411" t="s">
        <v>191</v>
      </c>
      <c r="B9" s="411"/>
      <c r="C9" s="411"/>
    </row>
    <row r="10" spans="1:3" ht="15.75">
      <c r="A10" s="411" t="s">
        <v>425</v>
      </c>
      <c r="B10" s="411"/>
      <c r="C10" s="411"/>
    </row>
    <row r="11" ht="16.5" thickBot="1"/>
    <row r="12" spans="1:3" ht="15.75">
      <c r="A12" s="89" t="s">
        <v>23</v>
      </c>
      <c r="B12" s="82"/>
      <c r="C12" s="90" t="s">
        <v>11</v>
      </c>
    </row>
    <row r="13" spans="1:3" ht="15.75">
      <c r="A13" s="83"/>
      <c r="B13" s="84" t="s">
        <v>0</v>
      </c>
      <c r="C13" s="91" t="s">
        <v>7</v>
      </c>
    </row>
    <row r="14" spans="1:4" ht="18" customHeight="1" thickBot="1">
      <c r="A14" s="85" t="s">
        <v>24</v>
      </c>
      <c r="B14" s="92"/>
      <c r="C14" s="93" t="s">
        <v>1</v>
      </c>
      <c r="D14" s="251"/>
    </row>
    <row r="15" spans="2:4" ht="8.25" customHeight="1">
      <c r="B15" s="208"/>
      <c r="C15" s="209"/>
      <c r="D15" s="119"/>
    </row>
    <row r="16" spans="1:3" ht="20.25" customHeight="1">
      <c r="A16" s="497" t="s">
        <v>192</v>
      </c>
      <c r="B16" s="497"/>
      <c r="C16" s="497"/>
    </row>
    <row r="17" spans="1:3" ht="20.25" customHeight="1">
      <c r="A17" s="94" t="s">
        <v>25</v>
      </c>
      <c r="B17" s="95" t="s">
        <v>193</v>
      </c>
      <c r="C17" s="96"/>
    </row>
    <row r="18" spans="1:3" ht="20.25" customHeight="1">
      <c r="A18" s="94"/>
      <c r="B18" s="14" t="s">
        <v>194</v>
      </c>
      <c r="C18" s="96">
        <f>'2.mell - bevétel'!H56</f>
        <v>31984557</v>
      </c>
    </row>
    <row r="19" spans="1:5" ht="20.25" customHeight="1">
      <c r="A19" s="94"/>
      <c r="B19" s="51" t="s">
        <v>195</v>
      </c>
      <c r="C19" s="96">
        <f>'2.mell - bevétel'!H63</f>
        <v>1404292</v>
      </c>
      <c r="D19" s="48"/>
      <c r="E19" s="48"/>
    </row>
    <row r="20" spans="1:3" ht="20.25" customHeight="1">
      <c r="A20" s="94" t="s">
        <v>16</v>
      </c>
      <c r="B20" s="95" t="s">
        <v>196</v>
      </c>
      <c r="C20" s="96">
        <f>'2.mell - bevétel'!H89</f>
        <v>7813000</v>
      </c>
    </row>
    <row r="21" spans="1:3" ht="20.25" customHeight="1">
      <c r="A21" s="94" t="s">
        <v>26</v>
      </c>
      <c r="B21" s="95" t="s">
        <v>197</v>
      </c>
      <c r="C21" s="96">
        <f>'2.mell - bevétel'!H111</f>
        <v>10105565</v>
      </c>
    </row>
    <row r="22" spans="1:3" ht="20.25" customHeight="1">
      <c r="A22" s="94" t="s">
        <v>69</v>
      </c>
      <c r="B22" s="97" t="s">
        <v>198</v>
      </c>
      <c r="C22" s="96"/>
    </row>
    <row r="23" spans="1:5" ht="36" customHeight="1">
      <c r="A23" s="94"/>
      <c r="B23" s="51" t="s">
        <v>199</v>
      </c>
      <c r="C23" s="96"/>
      <c r="D23" s="51"/>
      <c r="E23" s="51"/>
    </row>
    <row r="24" spans="1:3" ht="20.25" customHeight="1">
      <c r="A24" s="94"/>
      <c r="B24" s="14" t="s">
        <v>200</v>
      </c>
      <c r="C24" s="96"/>
    </row>
    <row r="25" spans="1:3" ht="30" customHeight="1">
      <c r="A25" s="273"/>
      <c r="B25" s="274" t="s">
        <v>201</v>
      </c>
      <c r="C25" s="114">
        <f>SUM(C18:C24)</f>
        <v>51307414</v>
      </c>
    </row>
    <row r="26" spans="1:3" ht="21" customHeight="1">
      <c r="A26" s="88" t="s">
        <v>70</v>
      </c>
      <c r="B26" s="95" t="s">
        <v>202</v>
      </c>
      <c r="C26" s="15">
        <f>'4.mell. - kiadás'!E45</f>
        <v>24364383</v>
      </c>
    </row>
    <row r="27" spans="1:3" ht="21" customHeight="1">
      <c r="A27" s="88" t="s">
        <v>76</v>
      </c>
      <c r="B27" s="95" t="s">
        <v>203</v>
      </c>
      <c r="C27" s="15">
        <f>'4.mell. - kiadás'!F45</f>
        <v>4665235</v>
      </c>
    </row>
    <row r="28" spans="1:3" ht="21" customHeight="1">
      <c r="A28" s="88" t="s">
        <v>204</v>
      </c>
      <c r="B28" s="101" t="s">
        <v>205</v>
      </c>
      <c r="C28" s="15">
        <f>'4.mell. - kiadás'!G45</f>
        <v>24832458</v>
      </c>
    </row>
    <row r="29" spans="1:3" ht="21" customHeight="1">
      <c r="A29" s="88" t="s">
        <v>206</v>
      </c>
      <c r="B29" s="101" t="s">
        <v>207</v>
      </c>
      <c r="C29" s="15">
        <f>'4.mell. - kiadás'!H45</f>
        <v>3061400</v>
      </c>
    </row>
    <row r="30" spans="1:3" ht="21" customHeight="1">
      <c r="A30" s="88" t="s">
        <v>208</v>
      </c>
      <c r="B30" s="101" t="s">
        <v>209</v>
      </c>
      <c r="C30" s="15"/>
    </row>
    <row r="31" spans="1:3" ht="32.25" customHeight="1">
      <c r="A31" s="88"/>
      <c r="B31" s="51" t="s">
        <v>210</v>
      </c>
      <c r="C31" s="103"/>
    </row>
    <row r="32" spans="1:3" ht="15.75">
      <c r="A32" s="88"/>
      <c r="B32" s="102" t="s">
        <v>418</v>
      </c>
      <c r="C32" s="103">
        <f>'4.mell. - kiadás'!I45-C33</f>
        <v>2740000</v>
      </c>
    </row>
    <row r="33" spans="1:5" ht="15.75">
      <c r="A33" s="88"/>
      <c r="B33" s="102" t="s">
        <v>211</v>
      </c>
      <c r="C33" s="87">
        <f>'1.mell. -mérleg'!C41</f>
        <v>20701085</v>
      </c>
      <c r="E33" s="53"/>
    </row>
    <row r="34" spans="1:6" ht="33.75" customHeight="1">
      <c r="A34" s="273"/>
      <c r="B34" s="274" t="s">
        <v>212</v>
      </c>
      <c r="C34" s="114">
        <f>SUM(C26:C33)</f>
        <v>80364561</v>
      </c>
      <c r="E34" s="53"/>
      <c r="F34" s="53"/>
    </row>
    <row r="35" spans="1:3" ht="15.75">
      <c r="A35" s="493"/>
      <c r="B35" s="493"/>
      <c r="C35" s="493"/>
    </row>
    <row r="36" spans="1:3" ht="15.75">
      <c r="A36" s="203"/>
      <c r="B36" s="203"/>
      <c r="C36" s="203"/>
    </row>
    <row r="37" spans="1:3" ht="15.75">
      <c r="A37" s="203"/>
      <c r="B37" s="203"/>
      <c r="C37" s="203"/>
    </row>
    <row r="38" spans="1:3" ht="15.75">
      <c r="A38" s="203"/>
      <c r="B38" s="203"/>
      <c r="C38" s="203"/>
    </row>
    <row r="39" spans="1:3" ht="16.5" thickBot="1">
      <c r="A39" s="203"/>
      <c r="B39" s="203"/>
      <c r="C39" s="203"/>
    </row>
    <row r="40" spans="1:3" ht="15.75">
      <c r="A40" s="89" t="s">
        <v>23</v>
      </c>
      <c r="B40" s="82"/>
      <c r="C40" s="90" t="s">
        <v>11</v>
      </c>
    </row>
    <row r="41" spans="1:3" ht="12.75" customHeight="1">
      <c r="A41" s="83"/>
      <c r="B41" s="84" t="s">
        <v>0</v>
      </c>
      <c r="C41" s="91"/>
    </row>
    <row r="42" spans="1:3" ht="21.75" customHeight="1" thickBot="1">
      <c r="A42" s="85" t="s">
        <v>24</v>
      </c>
      <c r="B42" s="92"/>
      <c r="C42" s="93" t="s">
        <v>7</v>
      </c>
    </row>
    <row r="43" spans="1:3" ht="12" customHeight="1">
      <c r="A43" s="109"/>
      <c r="B43" s="207"/>
      <c r="C43" s="119"/>
    </row>
    <row r="44" spans="1:3" ht="21" customHeight="1">
      <c r="A44" s="494" t="s">
        <v>213</v>
      </c>
      <c r="B44" s="494"/>
      <c r="C44" s="494"/>
    </row>
    <row r="45" spans="1:3" ht="21" customHeight="1">
      <c r="A45" s="88" t="s">
        <v>214</v>
      </c>
      <c r="B45" s="31" t="s">
        <v>215</v>
      </c>
      <c r="C45" s="87">
        <f>'2.mell - bevétel'!H65</f>
        <v>0</v>
      </c>
    </row>
    <row r="46" spans="1:2" ht="21" customHeight="1">
      <c r="A46" s="88" t="s">
        <v>216</v>
      </c>
      <c r="B46" s="31" t="s">
        <v>217</v>
      </c>
    </row>
    <row r="47" spans="1:2" ht="21" customHeight="1">
      <c r="A47" s="88" t="s">
        <v>218</v>
      </c>
      <c r="B47" s="97" t="s">
        <v>219</v>
      </c>
    </row>
    <row r="48" spans="1:3" ht="31.5" customHeight="1">
      <c r="A48" s="88"/>
      <c r="B48" s="66" t="s">
        <v>220</v>
      </c>
      <c r="C48" s="87">
        <f>'2.mell - bevétel'!H119</f>
        <v>346850</v>
      </c>
    </row>
    <row r="49" spans="1:3" ht="21" customHeight="1">
      <c r="A49" s="88"/>
      <c r="B49" s="20" t="s">
        <v>221</v>
      </c>
      <c r="C49" s="87">
        <f>'2.mell - bevétel'!H120</f>
        <v>6000000</v>
      </c>
    </row>
    <row r="50" spans="1:5" ht="30" customHeight="1">
      <c r="A50" s="273"/>
      <c r="B50" s="274" t="s">
        <v>222</v>
      </c>
      <c r="C50" s="114">
        <f>SUM(C45:C49)</f>
        <v>6346850</v>
      </c>
      <c r="E50" s="53"/>
    </row>
    <row r="51" spans="1:3" ht="21" customHeight="1">
      <c r="A51" s="88" t="s">
        <v>223</v>
      </c>
      <c r="B51" s="31" t="s">
        <v>224</v>
      </c>
      <c r="C51" s="87">
        <f>'4.mell. - kiadás'!K45</f>
        <v>14251934</v>
      </c>
    </row>
    <row r="52" spans="1:3" ht="21" customHeight="1">
      <c r="A52" s="88" t="s">
        <v>225</v>
      </c>
      <c r="B52" s="31" t="s">
        <v>226</v>
      </c>
      <c r="C52" s="87">
        <f>'4.mell. - kiadás'!L45</f>
        <v>103818209</v>
      </c>
    </row>
    <row r="53" spans="1:2" ht="21" customHeight="1">
      <c r="A53" s="88" t="s">
        <v>227</v>
      </c>
      <c r="B53" s="97" t="s">
        <v>228</v>
      </c>
    </row>
    <row r="54" spans="1:3" ht="21" customHeight="1">
      <c r="A54" s="88"/>
      <c r="B54" s="102" t="s">
        <v>229</v>
      </c>
      <c r="C54" s="87">
        <f>'4.mell. - kiadás'!M45</f>
        <v>2000000</v>
      </c>
    </row>
    <row r="55" spans="1:2" ht="21" customHeight="1">
      <c r="A55" s="88"/>
      <c r="B55" s="102" t="s">
        <v>211</v>
      </c>
    </row>
    <row r="56" spans="1:6" s="9" customFormat="1" ht="27.75" customHeight="1" thickBot="1">
      <c r="A56" s="273"/>
      <c r="B56" s="274" t="s">
        <v>230</v>
      </c>
      <c r="C56" s="114">
        <f>SUM(C51:C55)</f>
        <v>120070143</v>
      </c>
      <c r="F56" s="104"/>
    </row>
    <row r="57" spans="1:3" s="9" customFormat="1" ht="24" customHeight="1" thickBot="1">
      <c r="A57" s="105"/>
      <c r="B57" s="106" t="s">
        <v>231</v>
      </c>
      <c r="C57" s="107">
        <f>C25+C50</f>
        <v>57654264</v>
      </c>
    </row>
    <row r="58" spans="1:6" s="9" customFormat="1" ht="22.5" customHeight="1" thickBot="1">
      <c r="A58" s="105"/>
      <c r="B58" s="106" t="s">
        <v>232</v>
      </c>
      <c r="C58" s="107">
        <f>C34+C56</f>
        <v>200434704</v>
      </c>
      <c r="F58" s="104"/>
    </row>
    <row r="59" spans="1:3" s="9" customFormat="1" ht="15.75">
      <c r="A59" s="108"/>
      <c r="B59" s="109"/>
      <c r="C59" s="110"/>
    </row>
    <row r="60" spans="1:3" s="111" customFormat="1" ht="9.75" customHeight="1">
      <c r="A60" s="210"/>
      <c r="B60" s="210"/>
      <c r="C60" s="210"/>
    </row>
    <row r="61" spans="1:3" s="111" customFormat="1" ht="9" customHeight="1">
      <c r="A61" s="109"/>
      <c r="B61" s="118"/>
      <c r="C61" s="119"/>
    </row>
    <row r="62" spans="1:3" ht="20.25" customHeight="1">
      <c r="A62" s="496" t="s">
        <v>233</v>
      </c>
      <c r="B62" s="496"/>
      <c r="C62" s="496"/>
    </row>
    <row r="63" spans="1:3" ht="6.75" customHeight="1">
      <c r="A63" s="112"/>
      <c r="B63" s="112"/>
      <c r="C63" s="112"/>
    </row>
    <row r="64" spans="1:3" ht="20.25" customHeight="1">
      <c r="A64" s="98" t="s">
        <v>234</v>
      </c>
      <c r="B64" s="113" t="s">
        <v>235</v>
      </c>
      <c r="C64" s="100">
        <f>'2.mell - bevétel'!H130</f>
        <v>25744918</v>
      </c>
    </row>
    <row r="65" spans="1:3" ht="20.25" customHeight="1">
      <c r="A65" s="98" t="s">
        <v>237</v>
      </c>
      <c r="B65" s="99" t="s">
        <v>420</v>
      </c>
      <c r="C65" s="100"/>
    </row>
    <row r="66" spans="1:3" ht="21" customHeight="1">
      <c r="A66" s="98"/>
      <c r="B66" s="99" t="s">
        <v>236</v>
      </c>
      <c r="C66" s="114">
        <f>SUM(C64:C65)</f>
        <v>25744918</v>
      </c>
    </row>
    <row r="67" spans="1:3" ht="21" customHeight="1">
      <c r="A67" s="94" t="s">
        <v>239</v>
      </c>
      <c r="B67" s="99" t="s">
        <v>329</v>
      </c>
      <c r="C67" s="337">
        <f>'4.mell. - kiadás'!R45</f>
        <v>1240566</v>
      </c>
    </row>
    <row r="68" spans="1:3" ht="15.75">
      <c r="A68" s="94" t="s">
        <v>305</v>
      </c>
      <c r="B68" s="113" t="s">
        <v>238</v>
      </c>
      <c r="C68" s="100"/>
    </row>
    <row r="69" spans="1:3" ht="15.75">
      <c r="A69" s="88" t="s">
        <v>307</v>
      </c>
      <c r="B69" s="113" t="s">
        <v>240</v>
      </c>
      <c r="C69" s="100"/>
    </row>
    <row r="70" spans="1:3" s="115" customFormat="1" ht="30" customHeight="1" thickBot="1">
      <c r="A70" s="98"/>
      <c r="B70" s="99" t="s">
        <v>241</v>
      </c>
      <c r="C70" s="114">
        <f>SUM(C67:C69)</f>
        <v>1240566</v>
      </c>
    </row>
    <row r="71" spans="1:5" s="115" customFormat="1" ht="37.5" customHeight="1" thickBot="1">
      <c r="A71" s="116"/>
      <c r="B71" s="275" t="s">
        <v>242</v>
      </c>
      <c r="C71" s="276">
        <f>C57+C66</f>
        <v>83399182</v>
      </c>
      <c r="E71" s="117"/>
    </row>
    <row r="72" spans="1:5" ht="34.5" customHeight="1" thickBot="1">
      <c r="A72" s="116"/>
      <c r="B72" s="275" t="s">
        <v>243</v>
      </c>
      <c r="C72" s="276">
        <f>C58+C70</f>
        <v>201675270</v>
      </c>
      <c r="E72" s="117"/>
    </row>
  </sheetData>
  <sheetProtection/>
  <mergeCells count="11">
    <mergeCell ref="A62:C62"/>
    <mergeCell ref="A8:C8"/>
    <mergeCell ref="A9:C9"/>
    <mergeCell ref="A10:C10"/>
    <mergeCell ref="A16:C16"/>
    <mergeCell ref="A1:C1"/>
    <mergeCell ref="A35:C35"/>
    <mergeCell ref="A44:C44"/>
    <mergeCell ref="A3:C3"/>
    <mergeCell ref="A5:C5"/>
    <mergeCell ref="A7:C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125" style="20" customWidth="1"/>
    <col min="2" max="2" width="43.625" style="20" customWidth="1"/>
    <col min="3" max="11" width="15.375" style="15" customWidth="1"/>
    <col min="12" max="12" width="16.875" style="15" customWidth="1"/>
    <col min="13" max="13" width="16.75390625" style="15" customWidth="1"/>
    <col min="14" max="14" width="16.25390625" style="15" customWidth="1"/>
    <col min="15" max="15" width="16.625" style="15" customWidth="1"/>
    <col min="16" max="17" width="15.625" style="20" bestFit="1" customWidth="1"/>
    <col min="18" max="18" width="12.625" style="20" bestFit="1" customWidth="1"/>
    <col min="19" max="16384" width="9.125" style="20" customWidth="1"/>
  </cols>
  <sheetData>
    <row r="1" spans="1:15" ht="15.75">
      <c r="A1" s="463" t="s">
        <v>529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</row>
    <row r="3" spans="1:15" s="54" customFormat="1" ht="15.75">
      <c r="A3" s="412" t="s">
        <v>471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5" spans="2:15" ht="15.75"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</row>
    <row r="6" spans="2:15" ht="15.75"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</row>
    <row r="7" spans="2:15" ht="15.75">
      <c r="B7" s="385" t="s">
        <v>22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</row>
    <row r="8" spans="2:15" ht="15.75">
      <c r="B8" s="385" t="s">
        <v>270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</row>
    <row r="9" spans="2:15" ht="15.75">
      <c r="B9" s="385" t="s">
        <v>425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</row>
    <row r="10" spans="3:15" ht="16.5" thickBot="1">
      <c r="C10" s="16"/>
      <c r="D10" s="16"/>
      <c r="E10" s="16"/>
      <c r="F10" s="153"/>
      <c r="G10" s="16"/>
      <c r="H10" s="16"/>
      <c r="I10" s="16"/>
      <c r="J10" s="16"/>
      <c r="O10" s="154" t="s">
        <v>332</v>
      </c>
    </row>
    <row r="11" spans="1:15" ht="15.75">
      <c r="A11" s="155" t="s">
        <v>23</v>
      </c>
      <c r="B11" s="156"/>
      <c r="C11" s="157"/>
      <c r="D11" s="158"/>
      <c r="E11" s="159"/>
      <c r="F11" s="160"/>
      <c r="G11" s="160"/>
      <c r="H11" s="160"/>
      <c r="I11" s="160"/>
      <c r="J11" s="160"/>
      <c r="K11" s="161"/>
      <c r="L11" s="161"/>
      <c r="M11" s="161"/>
      <c r="N11" s="162"/>
      <c r="O11" s="163"/>
    </row>
    <row r="12" spans="1:15" ht="15.75">
      <c r="A12" s="164"/>
      <c r="B12" s="165" t="s">
        <v>0</v>
      </c>
      <c r="C12" s="57" t="s">
        <v>271</v>
      </c>
      <c r="D12" s="166" t="s">
        <v>272</v>
      </c>
      <c r="E12" s="167" t="s">
        <v>273</v>
      </c>
      <c r="F12" s="168" t="s">
        <v>274</v>
      </c>
      <c r="G12" s="168" t="s">
        <v>275</v>
      </c>
      <c r="H12" s="168" t="s">
        <v>276</v>
      </c>
      <c r="I12" s="168" t="s">
        <v>277</v>
      </c>
      <c r="J12" s="168" t="s">
        <v>278</v>
      </c>
      <c r="K12" s="168" t="s">
        <v>279</v>
      </c>
      <c r="L12" s="168" t="s">
        <v>280</v>
      </c>
      <c r="M12" s="168" t="s">
        <v>281</v>
      </c>
      <c r="N12" s="167" t="s">
        <v>282</v>
      </c>
      <c r="O12" s="91" t="s">
        <v>262</v>
      </c>
    </row>
    <row r="13" spans="1:15" ht="16.5" thickBot="1">
      <c r="A13" s="169" t="s">
        <v>24</v>
      </c>
      <c r="B13" s="170"/>
      <c r="C13" s="171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3"/>
      <c r="O13" s="171"/>
    </row>
    <row r="14" spans="1:15" ht="28.5" customHeight="1">
      <c r="A14" s="175"/>
      <c r="B14" s="176" t="s">
        <v>283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8"/>
    </row>
    <row r="15" spans="1:15" ht="28.5" customHeight="1">
      <c r="A15" s="175" t="s">
        <v>25</v>
      </c>
      <c r="B15" s="176" t="s">
        <v>284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</row>
    <row r="16" spans="1:15" ht="28.5" customHeight="1">
      <c r="A16" s="175"/>
      <c r="B16" s="176" t="s">
        <v>285</v>
      </c>
      <c r="C16" s="177">
        <f>2243614+756325-364911-92809</f>
        <v>2542219</v>
      </c>
      <c r="D16" s="177">
        <f>2953539-364910</f>
        <v>2588629</v>
      </c>
      <c r="E16" s="177">
        <f aca="true" t="shared" si="0" ref="E16:N16">2953539-364910</f>
        <v>2588629</v>
      </c>
      <c r="F16" s="177">
        <f t="shared" si="0"/>
        <v>2588629</v>
      </c>
      <c r="G16" s="177">
        <f t="shared" si="0"/>
        <v>2588629</v>
      </c>
      <c r="H16" s="177">
        <f t="shared" si="0"/>
        <v>2588629</v>
      </c>
      <c r="I16" s="177">
        <f>2953539-364910+165209-110720</f>
        <v>2643118</v>
      </c>
      <c r="J16" s="177">
        <f>2953539-364910+582930+330000</f>
        <v>3501559</v>
      </c>
      <c r="K16" s="177">
        <f t="shared" si="0"/>
        <v>2588629</v>
      </c>
      <c r="L16" s="177">
        <f t="shared" si="0"/>
        <v>2588629</v>
      </c>
      <c r="M16" s="177">
        <f t="shared" si="0"/>
        <v>2588629</v>
      </c>
      <c r="N16" s="177">
        <f t="shared" si="0"/>
        <v>2588629</v>
      </c>
      <c r="O16" s="178">
        <f>SUM(C16:N16)</f>
        <v>31984557</v>
      </c>
    </row>
    <row r="17" spans="1:15" ht="28.5" customHeight="1">
      <c r="A17" s="175"/>
      <c r="B17" s="176" t="s">
        <v>286</v>
      </c>
      <c r="C17" s="177"/>
      <c r="D17" s="177"/>
      <c r="E17" s="177">
        <v>259101</v>
      </c>
      <c r="F17" s="177"/>
      <c r="G17" s="177"/>
      <c r="H17" s="177"/>
      <c r="I17" s="177">
        <f>268437+251194</f>
        <v>519631</v>
      </c>
      <c r="J17" s="177">
        <f>23200+262610</f>
        <v>285810</v>
      </c>
      <c r="K17" s="177">
        <f>216550+100000</f>
        <v>316550</v>
      </c>
      <c r="L17" s="177"/>
      <c r="M17" s="177">
        <v>23200</v>
      </c>
      <c r="N17" s="177"/>
      <c r="O17" s="178">
        <f>SUM(C17:N17)</f>
        <v>1404292</v>
      </c>
    </row>
    <row r="18" spans="1:15" ht="31.5" customHeight="1">
      <c r="A18" s="175"/>
      <c r="B18" s="176" t="s">
        <v>466</v>
      </c>
      <c r="C18" s="180">
        <v>15833638</v>
      </c>
      <c r="D18" s="177"/>
      <c r="E18" s="177"/>
      <c r="F18" s="177"/>
      <c r="G18" s="177"/>
      <c r="H18" s="177"/>
      <c r="I18" s="177"/>
      <c r="J18" s="177">
        <v>2918584</v>
      </c>
      <c r="K18" s="177"/>
      <c r="L18" s="177">
        <f>14547890+77988095+1999880+4988001</f>
        <v>99523866</v>
      </c>
      <c r="M18" s="177"/>
      <c r="N18" s="177"/>
      <c r="O18" s="178">
        <f>SUM(C18:N18)</f>
        <v>118276088</v>
      </c>
    </row>
    <row r="19" spans="1:15" ht="15.75">
      <c r="A19" s="175" t="s">
        <v>26</v>
      </c>
      <c r="B19" s="176" t="s">
        <v>287</v>
      </c>
      <c r="C19" s="177">
        <f>(12+44+32+31)*1000</f>
        <v>119000</v>
      </c>
      <c r="D19" s="177">
        <f>(19+12+118+253+31)*1000</f>
        <v>433000</v>
      </c>
      <c r="E19" s="177">
        <f>(1127+11+620+382+31)*1000</f>
        <v>2171000</v>
      </c>
      <c r="F19" s="177">
        <f>(9+12+76+34+31+200)*1000</f>
        <v>362000</v>
      </c>
      <c r="G19" s="177">
        <f>(408+12+48+35+31-200)*1000</f>
        <v>334000</v>
      </c>
      <c r="H19" s="177">
        <f>(46+12+20+19+31)*1000</f>
        <v>128000</v>
      </c>
      <c r="I19" s="177">
        <f>(12+2+2+31)*1000</f>
        <v>47000</v>
      </c>
      <c r="J19" s="177">
        <f>(12+237+346+31)*1000</f>
        <v>626000</v>
      </c>
      <c r="K19" s="177">
        <f>(1188+11+601+335+31)*1000</f>
        <v>2166000</v>
      </c>
      <c r="L19" s="177">
        <f>(10+12+27+35+31)*1000</f>
        <v>115000</v>
      </c>
      <c r="M19" s="177">
        <f>(852+11+76+12+31)*1000</f>
        <v>982000</v>
      </c>
      <c r="N19" s="177">
        <f>(241+11+34+15+29)*1000</f>
        <v>330000</v>
      </c>
      <c r="O19" s="178">
        <f aca="true" t="shared" si="1" ref="O19:O28">SUM(C19:N19)</f>
        <v>7813000</v>
      </c>
    </row>
    <row r="20" spans="1:18" ht="15.75">
      <c r="A20" s="175" t="s">
        <v>69</v>
      </c>
      <c r="B20" s="176" t="s">
        <v>288</v>
      </c>
      <c r="C20" s="177">
        <v>840000</v>
      </c>
      <c r="D20" s="177">
        <v>840000</v>
      </c>
      <c r="E20" s="177">
        <v>840000</v>
      </c>
      <c r="F20" s="177">
        <v>840000</v>
      </c>
      <c r="G20" s="177">
        <v>840000</v>
      </c>
      <c r="H20" s="177">
        <v>840000</v>
      </c>
      <c r="I20" s="177">
        <v>840000</v>
      </c>
      <c r="J20" s="177">
        <v>840000</v>
      </c>
      <c r="K20" s="177">
        <v>840000</v>
      </c>
      <c r="L20" s="177">
        <v>840000</v>
      </c>
      <c r="M20" s="177">
        <f>840000+17846+7719</f>
        <v>865565</v>
      </c>
      <c r="N20" s="177">
        <v>840000</v>
      </c>
      <c r="O20" s="178">
        <f t="shared" si="1"/>
        <v>10105565</v>
      </c>
      <c r="Q20" s="200"/>
      <c r="R20" s="200"/>
    </row>
    <row r="21" spans="1:15" ht="15.75">
      <c r="A21" s="175" t="s">
        <v>70</v>
      </c>
      <c r="B21" s="179" t="s">
        <v>289</v>
      </c>
      <c r="C21" s="180">
        <f>15833638-15833638</f>
        <v>0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78">
        <f t="shared" si="1"/>
        <v>0</v>
      </c>
    </row>
    <row r="22" spans="1:15" ht="15.75">
      <c r="A22" s="175" t="s">
        <v>76</v>
      </c>
      <c r="B22" s="179" t="s">
        <v>198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  <c r="O22" s="178">
        <f t="shared" si="1"/>
        <v>0</v>
      </c>
    </row>
    <row r="23" spans="1:15" ht="31.5">
      <c r="A23" s="175"/>
      <c r="B23" s="176" t="s">
        <v>290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/>
      <c r="O23" s="178">
        <f t="shared" si="1"/>
        <v>0</v>
      </c>
    </row>
    <row r="24" spans="1:15" ht="17.25" customHeight="1">
      <c r="A24" s="175"/>
      <c r="B24" s="176" t="s">
        <v>291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4"/>
      <c r="O24" s="178">
        <f t="shared" si="1"/>
        <v>0</v>
      </c>
    </row>
    <row r="25" spans="1:15" ht="15.75">
      <c r="A25" s="175" t="s">
        <v>204</v>
      </c>
      <c r="B25" s="179" t="s">
        <v>292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  <c r="O25" s="178">
        <f t="shared" si="1"/>
        <v>0</v>
      </c>
    </row>
    <row r="26" spans="1:15" ht="47.25">
      <c r="A26" s="175"/>
      <c r="B26" s="198" t="s">
        <v>293</v>
      </c>
      <c r="C26" s="183">
        <v>28904</v>
      </c>
      <c r="D26" s="183">
        <v>28904</v>
      </c>
      <c r="E26" s="183">
        <v>28904</v>
      </c>
      <c r="F26" s="183">
        <v>28904</v>
      </c>
      <c r="G26" s="183">
        <v>28904</v>
      </c>
      <c r="H26" s="183">
        <v>28904</v>
      </c>
      <c r="I26" s="183">
        <v>28904</v>
      </c>
      <c r="J26" s="183">
        <v>28904</v>
      </c>
      <c r="K26" s="183">
        <v>28904</v>
      </c>
      <c r="L26" s="183">
        <v>28904</v>
      </c>
      <c r="M26" s="183">
        <f>28904+2</f>
        <v>28906</v>
      </c>
      <c r="N26" s="183">
        <v>28904</v>
      </c>
      <c r="O26" s="178">
        <f t="shared" si="1"/>
        <v>346850</v>
      </c>
    </row>
    <row r="27" spans="1:15" ht="15.75">
      <c r="A27" s="175"/>
      <c r="B27" s="176" t="s">
        <v>294</v>
      </c>
      <c r="C27" s="183"/>
      <c r="D27" s="183"/>
      <c r="E27" s="183"/>
      <c r="F27" s="183"/>
      <c r="G27" s="183"/>
      <c r="H27" s="183"/>
      <c r="I27" s="183"/>
      <c r="J27" s="183">
        <v>3000000</v>
      </c>
      <c r="K27" s="183"/>
      <c r="L27" s="183"/>
      <c r="M27" s="183"/>
      <c r="N27" s="184">
        <v>3000000</v>
      </c>
      <c r="O27" s="178">
        <f t="shared" si="1"/>
        <v>6000000</v>
      </c>
    </row>
    <row r="28" spans="1:15" ht="15.75">
      <c r="A28" s="175" t="s">
        <v>206</v>
      </c>
      <c r="B28" s="179" t="s">
        <v>295</v>
      </c>
      <c r="C28" s="183"/>
      <c r="D28" s="183">
        <f>6216573+109982+18484786+933577</f>
        <v>25744918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4"/>
      <c r="O28" s="178">
        <f t="shared" si="1"/>
        <v>25744918</v>
      </c>
    </row>
    <row r="29" spans="1:15" ht="16.5" thickBot="1">
      <c r="A29" s="185" t="s">
        <v>208</v>
      </c>
      <c r="B29" s="186" t="s">
        <v>296</v>
      </c>
      <c r="C29" s="183"/>
      <c r="D29" s="183">
        <f>C51</f>
        <v>8056950</v>
      </c>
      <c r="E29" s="183">
        <f aca="true" t="shared" si="2" ref="E29:N29">D51</f>
        <v>29063611</v>
      </c>
      <c r="F29" s="183">
        <f t="shared" si="2"/>
        <v>29642839</v>
      </c>
      <c r="G29" s="183">
        <f t="shared" si="2"/>
        <v>29005584</v>
      </c>
      <c r="H29" s="183">
        <f t="shared" si="2"/>
        <v>12207757</v>
      </c>
      <c r="I29" s="183">
        <f t="shared" si="2"/>
        <v>11052603</v>
      </c>
      <c r="J29" s="183">
        <f t="shared" si="2"/>
        <v>10485449</v>
      </c>
      <c r="K29" s="183">
        <f t="shared" si="2"/>
        <v>16490145</v>
      </c>
      <c r="L29" s="183">
        <f t="shared" si="2"/>
        <v>14956718</v>
      </c>
      <c r="M29" s="183">
        <f t="shared" si="2"/>
        <v>110159069</v>
      </c>
      <c r="N29" s="183">
        <f t="shared" si="2"/>
        <v>91336984</v>
      </c>
      <c r="O29" s="178"/>
    </row>
    <row r="30" spans="1:16" s="12" customFormat="1" ht="27.75" customHeight="1" thickBot="1">
      <c r="A30" s="187"/>
      <c r="B30" s="187" t="s">
        <v>297</v>
      </c>
      <c r="C30" s="188">
        <f aca="true" t="shared" si="3" ref="C30:N30">SUM(C16:C29)</f>
        <v>19363761</v>
      </c>
      <c r="D30" s="188">
        <f t="shared" si="3"/>
        <v>37692401</v>
      </c>
      <c r="E30" s="188">
        <f t="shared" si="3"/>
        <v>34951245</v>
      </c>
      <c r="F30" s="188">
        <f t="shared" si="3"/>
        <v>33462372</v>
      </c>
      <c r="G30" s="188">
        <f t="shared" si="3"/>
        <v>32797117</v>
      </c>
      <c r="H30" s="188">
        <f t="shared" si="3"/>
        <v>15793290</v>
      </c>
      <c r="I30" s="188">
        <f t="shared" si="3"/>
        <v>15131256</v>
      </c>
      <c r="J30" s="188">
        <f t="shared" si="3"/>
        <v>21686306</v>
      </c>
      <c r="K30" s="188">
        <f t="shared" si="3"/>
        <v>22430228</v>
      </c>
      <c r="L30" s="188">
        <f t="shared" si="3"/>
        <v>118053117</v>
      </c>
      <c r="M30" s="188">
        <f t="shared" si="3"/>
        <v>114647369</v>
      </c>
      <c r="N30" s="188">
        <f t="shared" si="3"/>
        <v>98124517</v>
      </c>
      <c r="O30" s="189">
        <f>SUM(O15:O29)</f>
        <v>201675270</v>
      </c>
      <c r="P30" s="60"/>
    </row>
    <row r="31" spans="1:15" ht="15.75">
      <c r="A31" s="190"/>
      <c r="B31" s="191" t="s">
        <v>298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92"/>
    </row>
    <row r="32" spans="1:17" ht="15.75">
      <c r="A32" s="175" t="s">
        <v>214</v>
      </c>
      <c r="B32" s="179" t="s">
        <v>152</v>
      </c>
      <c r="C32" s="177">
        <f>1865910+57442+59021</f>
        <v>1982373</v>
      </c>
      <c r="D32" s="177">
        <f>1865910+57442+59020</f>
        <v>1982372</v>
      </c>
      <c r="E32" s="177">
        <f>1865910+57441+59021</f>
        <v>1982372</v>
      </c>
      <c r="F32" s="177">
        <f>1865910+57442+59021</f>
        <v>1982373</v>
      </c>
      <c r="G32" s="177">
        <f>1865910+57442</f>
        <v>1923352</v>
      </c>
      <c r="H32" s="177">
        <f>1865910+57441+179195+244590</f>
        <v>2347136</v>
      </c>
      <c r="I32" s="177">
        <f>1865910+57441</f>
        <v>1923351</v>
      </c>
      <c r="J32" s="177">
        <f>1865910+57442</f>
        <v>1923352</v>
      </c>
      <c r="K32" s="177">
        <f>1865910+57441+187007</f>
        <v>2110358</v>
      </c>
      <c r="L32" s="177">
        <f>1865910+57441+437280</f>
        <v>2360631</v>
      </c>
      <c r="M32" s="177">
        <f>1865910+57441</f>
        <v>1923351</v>
      </c>
      <c r="N32" s="177">
        <f>1865910+57452</f>
        <v>1923362</v>
      </c>
      <c r="O32" s="178">
        <f aca="true" t="shared" si="4" ref="O32:O49">SUM(C32:N32)</f>
        <v>24364383</v>
      </c>
      <c r="P32" s="200"/>
      <c r="Q32" s="200"/>
    </row>
    <row r="33" spans="1:17" ht="31.5">
      <c r="A33" s="175" t="s">
        <v>216</v>
      </c>
      <c r="B33" s="198" t="s">
        <v>299</v>
      </c>
      <c r="C33" s="177">
        <f>373679-6782+5755</f>
        <v>372652</v>
      </c>
      <c r="D33" s="177">
        <f>373679+5754</f>
        <v>379433</v>
      </c>
      <c r="E33" s="177">
        <f>373679+5755</f>
        <v>379434</v>
      </c>
      <c r="F33" s="177">
        <f>373679+5754</f>
        <v>379433</v>
      </c>
      <c r="G33" s="177">
        <v>373679</v>
      </c>
      <c r="H33" s="177">
        <f>373679+34943</f>
        <v>408622</v>
      </c>
      <c r="I33" s="177">
        <f>23847+373679</f>
        <v>397526</v>
      </c>
      <c r="J33" s="177">
        <v>373679</v>
      </c>
      <c r="K33" s="177">
        <f>373679+29543</f>
        <v>403222</v>
      </c>
      <c r="L33" s="177">
        <f>373679+76524</f>
        <v>450203</v>
      </c>
      <c r="M33" s="177">
        <v>373679</v>
      </c>
      <c r="N33" s="177">
        <f>373679-6</f>
        <v>373673</v>
      </c>
      <c r="O33" s="178">
        <f t="shared" si="4"/>
        <v>4665235</v>
      </c>
      <c r="Q33" s="200"/>
    </row>
    <row r="34" spans="1:17" ht="15.75">
      <c r="A34" s="175" t="s">
        <v>218</v>
      </c>
      <c r="B34" s="179" t="s">
        <v>154</v>
      </c>
      <c r="C34" s="177">
        <f>2391000-270000-500000-100000</f>
        <v>1521000</v>
      </c>
      <c r="D34" s="177">
        <f>1745000+200000</f>
        <v>1945000</v>
      </c>
      <c r="E34" s="177">
        <f>1745000+900000</f>
        <v>2645000</v>
      </c>
      <c r="F34" s="177">
        <f>1745000+50000</f>
        <v>1795000</v>
      </c>
      <c r="G34" s="177">
        <f>1745000+450000+89930</f>
        <v>2284930</v>
      </c>
      <c r="H34" s="177">
        <f>1745000+89929</f>
        <v>1834929</v>
      </c>
      <c r="I34" s="177">
        <f>1745000+300000+89930</f>
        <v>2134930</v>
      </c>
      <c r="J34" s="177">
        <f>1745000+250000+89930+100000</f>
        <v>2184930</v>
      </c>
      <c r="K34" s="177">
        <f>1745000+150000+89930</f>
        <v>1984930</v>
      </c>
      <c r="L34" s="177">
        <f>1745000+60000+89930</f>
        <v>1894930</v>
      </c>
      <c r="M34" s="177">
        <f>1745000+123732+89930+582930+35560</f>
        <v>2577152</v>
      </c>
      <c r="N34" s="177">
        <f>1745000+194797+89930</f>
        <v>2029727</v>
      </c>
      <c r="O34" s="178">
        <f t="shared" si="4"/>
        <v>24832458</v>
      </c>
      <c r="P34" s="200"/>
      <c r="Q34" s="200"/>
    </row>
    <row r="35" spans="1:15" ht="15.75">
      <c r="A35" s="175" t="s">
        <v>223</v>
      </c>
      <c r="B35" s="179" t="s">
        <v>155</v>
      </c>
      <c r="C35" s="177">
        <f>150000</f>
        <v>150000</v>
      </c>
      <c r="D35" s="177">
        <v>150000</v>
      </c>
      <c r="E35" s="177">
        <v>150000</v>
      </c>
      <c r="F35" s="177">
        <v>150000</v>
      </c>
      <c r="G35" s="177">
        <v>150000</v>
      </c>
      <c r="H35" s="177">
        <v>150000</v>
      </c>
      <c r="I35" s="177">
        <v>150000</v>
      </c>
      <c r="J35" s="177">
        <f>150000+350000</f>
        <v>500000</v>
      </c>
      <c r="K35" s="177">
        <v>150000</v>
      </c>
      <c r="L35" s="177">
        <v>150000</v>
      </c>
      <c r="M35" s="177">
        <f>150000+61400</f>
        <v>211400</v>
      </c>
      <c r="N35" s="177">
        <v>1000000</v>
      </c>
      <c r="O35" s="178">
        <f t="shared" si="4"/>
        <v>3061400</v>
      </c>
    </row>
    <row r="36" spans="1:15" ht="15.75">
      <c r="A36" s="175" t="s">
        <v>225</v>
      </c>
      <c r="B36" s="179" t="s">
        <v>300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8"/>
    </row>
    <row r="37" spans="1:15" ht="15.75">
      <c r="A37" s="175"/>
      <c r="B37" s="179" t="s">
        <v>301</v>
      </c>
      <c r="C37" s="177">
        <v>25000</v>
      </c>
      <c r="D37" s="177"/>
      <c r="E37" s="177"/>
      <c r="F37" s="177"/>
      <c r="G37" s="177">
        <v>3000</v>
      </c>
      <c r="H37" s="177"/>
      <c r="I37" s="177"/>
      <c r="J37" s="177">
        <v>25000</v>
      </c>
      <c r="K37" s="177">
        <v>1200000</v>
      </c>
      <c r="L37" s="177">
        <v>50000</v>
      </c>
      <c r="M37" s="177"/>
      <c r="N37" s="177"/>
      <c r="O37" s="178">
        <f t="shared" si="4"/>
        <v>1303000</v>
      </c>
    </row>
    <row r="38" spans="1:16" ht="15.75">
      <c r="A38" s="175"/>
      <c r="B38" s="179" t="s">
        <v>302</v>
      </c>
      <c r="C38" s="177"/>
      <c r="D38" s="177">
        <v>79850</v>
      </c>
      <c r="E38" s="177">
        <v>50000</v>
      </c>
      <c r="F38" s="177">
        <v>40000</v>
      </c>
      <c r="G38" s="177">
        <v>209100</v>
      </c>
      <c r="H38" s="177"/>
      <c r="I38" s="177">
        <v>40000</v>
      </c>
      <c r="J38" s="177">
        <f>40000+74200+75000</f>
        <v>189200</v>
      </c>
      <c r="K38" s="177">
        <v>625000</v>
      </c>
      <c r="L38" s="177">
        <v>69700</v>
      </c>
      <c r="M38" s="177">
        <v>54300</v>
      </c>
      <c r="N38" s="177">
        <v>79850</v>
      </c>
      <c r="O38" s="178">
        <f t="shared" si="4"/>
        <v>1437000</v>
      </c>
      <c r="P38" s="200"/>
    </row>
    <row r="39" spans="1:15" ht="15.75">
      <c r="A39" s="175" t="s">
        <v>227</v>
      </c>
      <c r="B39" s="179" t="s">
        <v>158</v>
      </c>
      <c r="C39" s="177"/>
      <c r="D39" s="177">
        <v>51562</v>
      </c>
      <c r="E39" s="177">
        <v>101600</v>
      </c>
      <c r="F39" s="177">
        <v>109982</v>
      </c>
      <c r="G39" s="177">
        <v>1200000</v>
      </c>
      <c r="H39" s="177"/>
      <c r="I39" s="177"/>
      <c r="J39" s="177"/>
      <c r="K39" s="177"/>
      <c r="L39" s="177">
        <v>2918584</v>
      </c>
      <c r="M39" s="177">
        <f>280797-152400</f>
        <v>128397</v>
      </c>
      <c r="N39" s="177">
        <f>7741929+1999880</f>
        <v>9741809</v>
      </c>
      <c r="O39" s="178">
        <f t="shared" si="4"/>
        <v>14251934</v>
      </c>
    </row>
    <row r="40" spans="1:15" ht="15.75">
      <c r="A40" s="175" t="s">
        <v>234</v>
      </c>
      <c r="B40" s="179" t="s">
        <v>46</v>
      </c>
      <c r="C40" s="177"/>
      <c r="D40" s="177">
        <v>2800007</v>
      </c>
      <c r="E40" s="177"/>
      <c r="F40" s="177"/>
      <c r="G40" s="177"/>
      <c r="H40" s="177"/>
      <c r="I40" s="177"/>
      <c r="J40" s="177"/>
      <c r="K40" s="177"/>
      <c r="L40" s="177"/>
      <c r="M40" s="177">
        <f>508000+418941+14547890+2567275</f>
        <v>18042106</v>
      </c>
      <c r="N40" s="177">
        <f>4988001+77988095</f>
        <v>82976096</v>
      </c>
      <c r="O40" s="178">
        <f t="shared" si="4"/>
        <v>103818209</v>
      </c>
    </row>
    <row r="41" spans="1:15" ht="20.25" customHeight="1">
      <c r="A41" s="175" t="s">
        <v>237</v>
      </c>
      <c r="B41" s="179" t="s">
        <v>228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8">
        <f t="shared" si="4"/>
        <v>0</v>
      </c>
    </row>
    <row r="42" spans="1:15" ht="20.25" customHeight="1">
      <c r="A42" s="175"/>
      <c r="B42" s="179" t="s">
        <v>301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8">
        <f t="shared" si="4"/>
        <v>0</v>
      </c>
    </row>
    <row r="43" spans="1:15" ht="15.75">
      <c r="A43" s="175"/>
      <c r="B43" s="179" t="s">
        <v>302</v>
      </c>
      <c r="C43" s="177">
        <v>1000000</v>
      </c>
      <c r="D43" s="177"/>
      <c r="E43" s="177"/>
      <c r="F43" s="177"/>
      <c r="G43" s="177"/>
      <c r="H43" s="177"/>
      <c r="I43" s="177"/>
      <c r="J43" s="177"/>
      <c r="K43" s="177">
        <v>1000000</v>
      </c>
      <c r="L43" s="177"/>
      <c r="M43" s="177"/>
      <c r="N43" s="177"/>
      <c r="O43" s="178">
        <f t="shared" si="4"/>
        <v>2000000</v>
      </c>
    </row>
    <row r="44" spans="1:15" ht="15.75">
      <c r="A44" s="175" t="s">
        <v>239</v>
      </c>
      <c r="B44" s="179" t="s">
        <v>151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8">
        <f t="shared" si="4"/>
        <v>0</v>
      </c>
    </row>
    <row r="45" spans="1:15" ht="15.75">
      <c r="A45" s="175"/>
      <c r="B45" s="211" t="s">
        <v>331</v>
      </c>
      <c r="C45" s="177"/>
      <c r="D45" s="177">
        <v>1240566</v>
      </c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8">
        <f t="shared" si="4"/>
        <v>1240566</v>
      </c>
    </row>
    <row r="46" spans="1:15" ht="15.75">
      <c r="A46" s="175"/>
      <c r="B46" s="179" t="s">
        <v>303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8">
        <f t="shared" si="4"/>
        <v>0</v>
      </c>
    </row>
    <row r="47" spans="1:15" ht="15.75">
      <c r="A47" s="175"/>
      <c r="B47" s="179" t="s">
        <v>304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8">
        <f t="shared" si="4"/>
        <v>0</v>
      </c>
    </row>
    <row r="48" spans="1:16" ht="15.75">
      <c r="A48" s="175" t="s">
        <v>305</v>
      </c>
      <c r="B48" s="179" t="s">
        <v>306</v>
      </c>
      <c r="C48" s="177">
        <v>6255786</v>
      </c>
      <c r="D48" s="177"/>
      <c r="E48" s="177"/>
      <c r="F48" s="177"/>
      <c r="G48" s="177">
        <f>18481786-1200000+165209-110720+330000-35560-418941-149200-50000-2567275</f>
        <v>14445299</v>
      </c>
      <c r="H48" s="177"/>
      <c r="I48" s="177"/>
      <c r="J48" s="177"/>
      <c r="K48" s="177"/>
      <c r="L48" s="177"/>
      <c r="M48" s="177"/>
      <c r="N48" s="177"/>
      <c r="O48" s="178">
        <f t="shared" si="4"/>
        <v>20701085</v>
      </c>
      <c r="P48" s="200"/>
    </row>
    <row r="49" spans="1:15" ht="16.5" thickBot="1">
      <c r="A49" s="185" t="s">
        <v>307</v>
      </c>
      <c r="B49" s="186" t="s">
        <v>308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8">
        <f t="shared" si="4"/>
        <v>0</v>
      </c>
    </row>
    <row r="50" spans="1:19" s="12" customFormat="1" ht="24" customHeight="1" thickBot="1">
      <c r="A50" s="187"/>
      <c r="B50" s="187" t="s">
        <v>309</v>
      </c>
      <c r="C50" s="188">
        <f aca="true" t="shared" si="5" ref="C50:N50">SUM(C32:C49)</f>
        <v>11306811</v>
      </c>
      <c r="D50" s="188">
        <f t="shared" si="5"/>
        <v>8628790</v>
      </c>
      <c r="E50" s="188">
        <f t="shared" si="5"/>
        <v>5308406</v>
      </c>
      <c r="F50" s="188">
        <f t="shared" si="5"/>
        <v>4456788</v>
      </c>
      <c r="G50" s="188">
        <f t="shared" si="5"/>
        <v>20589360</v>
      </c>
      <c r="H50" s="188">
        <f t="shared" si="5"/>
        <v>4740687</v>
      </c>
      <c r="I50" s="188">
        <f t="shared" si="5"/>
        <v>4645807</v>
      </c>
      <c r="J50" s="188">
        <f t="shared" si="5"/>
        <v>5196161</v>
      </c>
      <c r="K50" s="188">
        <f t="shared" si="5"/>
        <v>7473510</v>
      </c>
      <c r="L50" s="188">
        <f t="shared" si="5"/>
        <v>7894048</v>
      </c>
      <c r="M50" s="188">
        <f t="shared" si="5"/>
        <v>23310385</v>
      </c>
      <c r="N50" s="188">
        <f t="shared" si="5"/>
        <v>98124517</v>
      </c>
      <c r="O50" s="189">
        <f>SUM(O32:O49)</f>
        <v>201675270</v>
      </c>
      <c r="S50" s="193"/>
    </row>
    <row r="51" spans="1:15" ht="26.25" customHeight="1" thickBot="1">
      <c r="A51" s="194"/>
      <c r="B51" s="195" t="s">
        <v>310</v>
      </c>
      <c r="C51" s="196">
        <f aca="true" t="shared" si="6" ref="C51:N51">C30-C50</f>
        <v>8056950</v>
      </c>
      <c r="D51" s="196">
        <f t="shared" si="6"/>
        <v>29063611</v>
      </c>
      <c r="E51" s="196">
        <f t="shared" si="6"/>
        <v>29642839</v>
      </c>
      <c r="F51" s="196">
        <f t="shared" si="6"/>
        <v>29005584</v>
      </c>
      <c r="G51" s="196">
        <f t="shared" si="6"/>
        <v>12207757</v>
      </c>
      <c r="H51" s="196">
        <f t="shared" si="6"/>
        <v>11052603</v>
      </c>
      <c r="I51" s="196">
        <f t="shared" si="6"/>
        <v>10485449</v>
      </c>
      <c r="J51" s="196">
        <f t="shared" si="6"/>
        <v>16490145</v>
      </c>
      <c r="K51" s="196">
        <f t="shared" si="6"/>
        <v>14956718</v>
      </c>
      <c r="L51" s="196">
        <f t="shared" si="6"/>
        <v>110159069</v>
      </c>
      <c r="M51" s="196">
        <f t="shared" si="6"/>
        <v>91336984</v>
      </c>
      <c r="N51" s="196">
        <f t="shared" si="6"/>
        <v>0</v>
      </c>
      <c r="O51" s="197"/>
    </row>
    <row r="53" spans="3:15" ht="15.75"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</row>
    <row r="54" ht="15.75">
      <c r="O54" s="199"/>
    </row>
    <row r="55" ht="15.75">
      <c r="O55" s="199"/>
    </row>
    <row r="56" ht="15.75">
      <c r="O56" s="199"/>
    </row>
    <row r="57" ht="15.75">
      <c r="O57" s="199"/>
    </row>
  </sheetData>
  <sheetProtection/>
  <mergeCells count="7">
    <mergeCell ref="A1:O1"/>
    <mergeCell ref="B9:O9"/>
    <mergeCell ref="B5:O5"/>
    <mergeCell ref="B6:O6"/>
    <mergeCell ref="B7:O7"/>
    <mergeCell ref="B8:O8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1" spans="2:14" ht="12.75">
      <c r="B1" s="383" t="s">
        <v>530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3" spans="1:4" ht="12.75">
      <c r="A3" s="391" t="s">
        <v>472</v>
      </c>
      <c r="B3" s="391"/>
      <c r="C3" s="391"/>
      <c r="D3" s="391"/>
    </row>
    <row r="5" spans="1:14" ht="18.75" customHeight="1">
      <c r="A5" s="486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</row>
    <row r="6" spans="1:14" ht="18" customHeight="1">
      <c r="A6" s="486" t="s">
        <v>398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</row>
    <row r="7" spans="1:14" ht="16.5" customHeight="1">
      <c r="A7" s="486" t="s">
        <v>399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</row>
    <row r="8" spans="1:14" ht="16.5" customHeight="1">
      <c r="A8" s="486" t="s">
        <v>425</v>
      </c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</row>
    <row r="10" ht="13.5" thickBot="1">
      <c r="N10" s="326" t="s">
        <v>400</v>
      </c>
    </row>
    <row r="11" spans="1:14" ht="21" customHeight="1" thickBot="1">
      <c r="A11" s="502" t="s">
        <v>401</v>
      </c>
      <c r="B11" s="498" t="s">
        <v>0</v>
      </c>
      <c r="C11" s="499" t="s">
        <v>402</v>
      </c>
      <c r="D11" s="500" t="s">
        <v>403</v>
      </c>
      <c r="E11" s="500"/>
      <c r="F11" s="500"/>
      <c r="G11" s="500"/>
      <c r="H11" s="500"/>
      <c r="I11" s="501" t="s">
        <v>404</v>
      </c>
      <c r="J11" s="501"/>
      <c r="K11" s="501"/>
      <c r="L11" s="501"/>
      <c r="M11" s="501" t="s">
        <v>405</v>
      </c>
      <c r="N11" s="501"/>
    </row>
    <row r="12" spans="1:14" ht="63" customHeight="1" thickBot="1">
      <c r="A12" s="502"/>
      <c r="B12" s="498"/>
      <c r="C12" s="499"/>
      <c r="D12" s="327" t="s">
        <v>406</v>
      </c>
      <c r="E12" s="327" t="s">
        <v>407</v>
      </c>
      <c r="F12" s="327" t="s">
        <v>403</v>
      </c>
      <c r="G12" s="327" t="s">
        <v>408</v>
      </c>
      <c r="H12" s="327" t="s">
        <v>409</v>
      </c>
      <c r="I12" s="327" t="s">
        <v>410</v>
      </c>
      <c r="J12" s="327" t="s">
        <v>404</v>
      </c>
      <c r="K12" s="327" t="s">
        <v>417</v>
      </c>
      <c r="L12" s="327" t="s">
        <v>411</v>
      </c>
      <c r="M12" s="327" t="s">
        <v>412</v>
      </c>
      <c r="N12" s="327" t="s">
        <v>413</v>
      </c>
    </row>
    <row r="13" spans="1:14" ht="16.5" customHeight="1" thickBot="1">
      <c r="A13" s="328" t="s">
        <v>25</v>
      </c>
      <c r="B13" s="328" t="s">
        <v>414</v>
      </c>
      <c r="C13" s="329">
        <f>H13+M13+L13+N13</f>
        <v>185167122</v>
      </c>
      <c r="D13" s="329">
        <f>31984557+46400+100000+513804</f>
        <v>32644761</v>
      </c>
      <c r="E13" s="329">
        <v>7813000</v>
      </c>
      <c r="F13" s="329">
        <v>6687685</v>
      </c>
      <c r="G13" s="328"/>
      <c r="H13" s="329">
        <f>D13+E13+F13</f>
        <v>47145446</v>
      </c>
      <c r="I13" s="329">
        <f>15833638+2918584+77988095+1999880+4988001+14547890</f>
        <v>118276088</v>
      </c>
      <c r="J13" s="329"/>
      <c r="K13" s="329">
        <v>6346850</v>
      </c>
      <c r="L13" s="329">
        <f>I13+J13+K13</f>
        <v>124622938</v>
      </c>
      <c r="M13" s="329">
        <f>6216573+109982+3000+18481786</f>
        <v>24811341</v>
      </c>
      <c r="N13" s="329">
        <v>-11412603</v>
      </c>
    </row>
    <row r="14" spans="1:14" ht="18.75" customHeight="1" thickBot="1">
      <c r="A14" s="328" t="s">
        <v>16</v>
      </c>
      <c r="B14" s="328" t="s">
        <v>415</v>
      </c>
      <c r="C14" s="329">
        <f>H14+N14+M14</f>
        <v>16508148</v>
      </c>
      <c r="D14" s="329">
        <f>259101+268437+216550</f>
        <v>744088</v>
      </c>
      <c r="E14" s="328"/>
      <c r="F14" s="329">
        <v>3417880</v>
      </c>
      <c r="G14" s="328"/>
      <c r="H14" s="329">
        <f>D14+E14+F14</f>
        <v>4161968</v>
      </c>
      <c r="I14" s="329"/>
      <c r="J14" s="329"/>
      <c r="K14" s="329"/>
      <c r="L14" s="328"/>
      <c r="M14" s="329">
        <v>933577</v>
      </c>
      <c r="N14" s="329">
        <v>11412603</v>
      </c>
    </row>
    <row r="15" spans="1:14" ht="20.25" customHeight="1" thickBot="1">
      <c r="A15" s="328" t="s">
        <v>26</v>
      </c>
      <c r="B15" s="328" t="s">
        <v>416</v>
      </c>
      <c r="C15" s="329">
        <f>C13+C14</f>
        <v>201675270</v>
      </c>
      <c r="D15" s="329">
        <f aca="true" t="shared" si="0" ref="D15:N15">D13+D14</f>
        <v>33388849</v>
      </c>
      <c r="E15" s="329">
        <f t="shared" si="0"/>
        <v>7813000</v>
      </c>
      <c r="F15" s="329">
        <f t="shared" si="0"/>
        <v>10105565</v>
      </c>
      <c r="G15" s="329">
        <f t="shared" si="0"/>
        <v>0</v>
      </c>
      <c r="H15" s="329">
        <f t="shared" si="0"/>
        <v>51307414</v>
      </c>
      <c r="I15" s="329">
        <f t="shared" si="0"/>
        <v>118276088</v>
      </c>
      <c r="J15" s="329">
        <f t="shared" si="0"/>
        <v>0</v>
      </c>
      <c r="K15" s="329">
        <f t="shared" si="0"/>
        <v>6346850</v>
      </c>
      <c r="L15" s="329">
        <f t="shared" si="0"/>
        <v>124622938</v>
      </c>
      <c r="M15" s="329">
        <f t="shared" si="0"/>
        <v>25744918</v>
      </c>
      <c r="N15" s="329">
        <f t="shared" si="0"/>
        <v>0</v>
      </c>
    </row>
    <row r="24" ht="12.75">
      <c r="B24" s="330"/>
    </row>
  </sheetData>
  <sheetProtection/>
  <mergeCells count="12">
    <mergeCell ref="A11:A12"/>
    <mergeCell ref="A3:D3"/>
    <mergeCell ref="A5:N5"/>
    <mergeCell ref="A6:N6"/>
    <mergeCell ref="A7:N7"/>
    <mergeCell ref="A8:N8"/>
    <mergeCell ref="B11:B12"/>
    <mergeCell ref="C11:C12"/>
    <mergeCell ref="D11:H11"/>
    <mergeCell ref="I11:L11"/>
    <mergeCell ref="M11:N11"/>
    <mergeCell ref="B1:N1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625" style="4" customWidth="1"/>
    <col min="2" max="2" width="66.125" style="4" customWidth="1"/>
    <col min="3" max="3" width="14.625" style="23" customWidth="1"/>
    <col min="4" max="4" width="4.875" style="4" customWidth="1"/>
    <col min="5" max="5" width="16.375" style="23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7" ht="15">
      <c r="A1" s="382" t="s">
        <v>520</v>
      </c>
      <c r="B1" s="383"/>
      <c r="C1" s="383"/>
      <c r="D1" s="383"/>
      <c r="E1" s="383"/>
      <c r="F1" s="383"/>
      <c r="G1" s="346"/>
    </row>
    <row r="3" spans="1:6" ht="15">
      <c r="A3" s="387" t="s">
        <v>438</v>
      </c>
      <c r="B3" s="388"/>
      <c r="C3" s="388"/>
      <c r="D3" s="388"/>
      <c r="E3" s="388"/>
      <c r="F3" s="388"/>
    </row>
    <row r="4" spans="2:6" ht="15">
      <c r="B4" s="46"/>
      <c r="C4" s="46"/>
      <c r="D4" s="46"/>
      <c r="E4" s="46"/>
      <c r="F4" s="46"/>
    </row>
    <row r="5" spans="2:6" s="20" customFormat="1" ht="15.75">
      <c r="B5" s="386"/>
      <c r="C5" s="386"/>
      <c r="D5" s="386"/>
      <c r="E5" s="386"/>
      <c r="F5" s="386"/>
    </row>
    <row r="6" spans="2:6" s="20" customFormat="1" ht="15.75">
      <c r="B6" s="385" t="s">
        <v>22</v>
      </c>
      <c r="C6" s="385"/>
      <c r="D6" s="385"/>
      <c r="E6" s="385"/>
      <c r="F6" s="385"/>
    </row>
    <row r="7" spans="2:6" ht="15.75">
      <c r="B7" s="385" t="s">
        <v>124</v>
      </c>
      <c r="C7" s="385"/>
      <c r="D7" s="385"/>
      <c r="E7" s="385"/>
      <c r="F7" s="385"/>
    </row>
    <row r="8" spans="2:6" ht="12.75" customHeight="1">
      <c r="B8" s="384" t="s">
        <v>422</v>
      </c>
      <c r="C8" s="384"/>
      <c r="D8" s="384"/>
      <c r="E8" s="384"/>
      <c r="F8" s="384"/>
    </row>
    <row r="9" spans="2:6" s="1" customFormat="1" ht="15">
      <c r="B9" s="4"/>
      <c r="C9" s="23"/>
      <c r="D9" s="4"/>
      <c r="E9" s="19"/>
      <c r="F9" s="4"/>
    </row>
    <row r="10" spans="1:5" s="1" customFormat="1" ht="18.75">
      <c r="A10" s="252" t="s">
        <v>25</v>
      </c>
      <c r="B10" s="63" t="s">
        <v>125</v>
      </c>
      <c r="C10" s="24"/>
      <c r="E10" s="64"/>
    </row>
    <row r="11" spans="1:6" ht="15.75">
      <c r="A11" s="252" t="s">
        <v>352</v>
      </c>
      <c r="B11" s="7" t="s">
        <v>126</v>
      </c>
      <c r="C11" s="24"/>
      <c r="D11" s="1"/>
      <c r="E11" s="65">
        <f>C12+C13</f>
        <v>33388849</v>
      </c>
      <c r="F11" s="1" t="s">
        <v>335</v>
      </c>
    </row>
    <row r="12" spans="1:8" ht="15.75">
      <c r="A12" s="252" t="s">
        <v>353</v>
      </c>
      <c r="B12" s="66" t="s">
        <v>127</v>
      </c>
      <c r="C12" s="23">
        <f>'2.mell - bevétel'!H56</f>
        <v>31984557</v>
      </c>
      <c r="D12" s="4" t="s">
        <v>5</v>
      </c>
      <c r="E12" s="19"/>
      <c r="H12" s="41"/>
    </row>
    <row r="13" spans="1:6" s="1" customFormat="1" ht="15.75" customHeight="1">
      <c r="A13" s="252" t="s">
        <v>354</v>
      </c>
      <c r="B13" s="66" t="s">
        <v>128</v>
      </c>
      <c r="C13" s="23">
        <f>'2.mell - bevétel'!H63</f>
        <v>1404292</v>
      </c>
      <c r="D13" s="4" t="s">
        <v>5</v>
      </c>
      <c r="E13" s="19"/>
      <c r="F13" s="4"/>
    </row>
    <row r="14" spans="1:5" s="1" customFormat="1" ht="15.75">
      <c r="A14" s="252"/>
      <c r="B14" s="7"/>
      <c r="C14" s="24"/>
      <c r="E14" s="65"/>
    </row>
    <row r="15" spans="1:6" s="1" customFormat="1" ht="15.75">
      <c r="A15" s="252" t="s">
        <v>355</v>
      </c>
      <c r="B15" s="7" t="s">
        <v>129</v>
      </c>
      <c r="C15" s="24"/>
      <c r="E15" s="65">
        <f>'2.mell - bevétel'!H65</f>
        <v>0</v>
      </c>
      <c r="F15" s="1" t="s">
        <v>335</v>
      </c>
    </row>
    <row r="16" spans="1:5" s="1" customFormat="1" ht="15.75">
      <c r="A16" s="252"/>
      <c r="B16" s="7"/>
      <c r="C16" s="24"/>
      <c r="E16" s="65"/>
    </row>
    <row r="17" spans="1:6" s="1" customFormat="1" ht="15.75">
      <c r="A17" s="252" t="s">
        <v>356</v>
      </c>
      <c r="B17" s="7" t="s">
        <v>83</v>
      </c>
      <c r="C17" s="24"/>
      <c r="E17" s="65">
        <f>'2.mell - bevétel'!G89</f>
        <v>7813000</v>
      </c>
      <c r="F17" s="1" t="s">
        <v>335</v>
      </c>
    </row>
    <row r="18" spans="1:8" s="1" customFormat="1" ht="15.75">
      <c r="A18" s="252"/>
      <c r="B18" s="7"/>
      <c r="C18" s="24"/>
      <c r="E18" s="65"/>
      <c r="H18" s="42"/>
    </row>
    <row r="19" spans="1:6" s="1" customFormat="1" ht="15.75">
      <c r="A19" s="252" t="s">
        <v>357</v>
      </c>
      <c r="B19" s="7" t="s">
        <v>36</v>
      </c>
      <c r="C19" s="24"/>
      <c r="E19" s="65">
        <f>'2.mell - bevétel'!H111</f>
        <v>10105565</v>
      </c>
      <c r="F19" s="1" t="s">
        <v>335</v>
      </c>
    </row>
    <row r="20" spans="1:5" s="1" customFormat="1" ht="15.75">
      <c r="A20" s="252"/>
      <c r="B20" s="8"/>
      <c r="C20" s="25"/>
      <c r="E20" s="65"/>
    </row>
    <row r="21" spans="1:5" s="1" customFormat="1" ht="15.75">
      <c r="A21" s="252" t="s">
        <v>358</v>
      </c>
      <c r="B21" s="7" t="s">
        <v>130</v>
      </c>
      <c r="C21" s="24"/>
      <c r="E21" s="65"/>
    </row>
    <row r="22" spans="1:5" s="1" customFormat="1" ht="15.75">
      <c r="A22" s="252"/>
      <c r="B22" s="8"/>
      <c r="C22" s="24"/>
      <c r="E22" s="65"/>
    </row>
    <row r="23" spans="1:6" s="1" customFormat="1" ht="15.75">
      <c r="A23" s="252" t="s">
        <v>359</v>
      </c>
      <c r="B23" s="7" t="s">
        <v>131</v>
      </c>
      <c r="E23" s="65">
        <f>C24+C25</f>
        <v>0</v>
      </c>
      <c r="F23" s="1" t="s">
        <v>335</v>
      </c>
    </row>
    <row r="24" spans="1:8" s="6" customFormat="1" ht="32.25">
      <c r="A24" s="253" t="s">
        <v>360</v>
      </c>
      <c r="B24" s="66" t="s">
        <v>132</v>
      </c>
      <c r="C24" s="25">
        <v>0</v>
      </c>
      <c r="D24" s="1" t="s">
        <v>5</v>
      </c>
      <c r="E24" s="65"/>
      <c r="F24" s="1"/>
      <c r="G24" s="1"/>
      <c r="H24" s="43"/>
    </row>
    <row r="25" spans="1:8" ht="18.75">
      <c r="A25" s="252"/>
      <c r="B25" s="20" t="s">
        <v>133</v>
      </c>
      <c r="C25" s="24">
        <v>0</v>
      </c>
      <c r="D25" s="1" t="s">
        <v>5</v>
      </c>
      <c r="E25" s="65"/>
      <c r="F25" s="1"/>
      <c r="G25" s="6"/>
      <c r="H25" s="44"/>
    </row>
    <row r="26" spans="1:8" s="1" customFormat="1" ht="18.75">
      <c r="A26" s="252"/>
      <c r="B26" s="32"/>
      <c r="C26" s="23"/>
      <c r="D26" s="4"/>
      <c r="E26" s="67"/>
      <c r="F26" s="6"/>
      <c r="H26" s="45"/>
    </row>
    <row r="27" spans="1:6" s="1" customFormat="1" ht="15.75">
      <c r="A27" s="252" t="s">
        <v>361</v>
      </c>
      <c r="B27" s="7" t="s">
        <v>111</v>
      </c>
      <c r="C27" s="24"/>
      <c r="E27" s="65">
        <f>C28+C29</f>
        <v>6346850</v>
      </c>
      <c r="F27" s="1" t="s">
        <v>335</v>
      </c>
    </row>
    <row r="28" spans="1:5" s="1" customFormat="1" ht="31.5">
      <c r="A28" s="252" t="s">
        <v>362</v>
      </c>
      <c r="B28" s="66" t="s">
        <v>134</v>
      </c>
      <c r="C28" s="24">
        <f>'2.mell - bevétel'!H119</f>
        <v>346850</v>
      </c>
      <c r="D28" s="1" t="s">
        <v>5</v>
      </c>
      <c r="E28" s="65"/>
    </row>
    <row r="29" spans="1:5" s="1" customFormat="1" ht="15.75">
      <c r="A29" s="252" t="s">
        <v>363</v>
      </c>
      <c r="B29" s="20" t="s">
        <v>135</v>
      </c>
      <c r="C29" s="24">
        <f>'2.mell - bevétel'!H120</f>
        <v>6000000</v>
      </c>
      <c r="D29" s="1" t="s">
        <v>5</v>
      </c>
      <c r="E29" s="65"/>
    </row>
    <row r="30" spans="1:5" s="1" customFormat="1" ht="15.75">
      <c r="A30" s="252"/>
      <c r="B30" s="32"/>
      <c r="E30" s="64"/>
    </row>
    <row r="31" spans="1:6" s="1" customFormat="1" ht="15.75">
      <c r="A31" s="252" t="s">
        <v>16</v>
      </c>
      <c r="B31" s="7" t="s">
        <v>27</v>
      </c>
      <c r="E31" s="68">
        <f>SUM(E11:E30)</f>
        <v>57654264</v>
      </c>
      <c r="F31" s="1" t="s">
        <v>335</v>
      </c>
    </row>
    <row r="32" spans="1:5" s="1" customFormat="1" ht="15.75">
      <c r="A32" s="252"/>
      <c r="B32" s="20"/>
      <c r="E32" s="64"/>
    </row>
    <row r="33" spans="1:5" s="1" customFormat="1" ht="18.75">
      <c r="A33" s="252" t="s">
        <v>26</v>
      </c>
      <c r="B33" s="63" t="s">
        <v>136</v>
      </c>
      <c r="E33" s="64"/>
    </row>
    <row r="34" spans="1:6" s="1" customFormat="1" ht="15.75">
      <c r="A34" s="252" t="s">
        <v>364</v>
      </c>
      <c r="B34" s="9" t="s">
        <v>9</v>
      </c>
      <c r="C34" s="24"/>
      <c r="E34" s="65">
        <f>C36+C37+C38+C39+C40+C41</f>
        <v>80364561</v>
      </c>
      <c r="F34" s="1" t="s">
        <v>335</v>
      </c>
    </row>
    <row r="35" spans="1:5" s="1" customFormat="1" ht="15.75">
      <c r="A35" s="252"/>
      <c r="B35" s="8" t="s">
        <v>8</v>
      </c>
      <c r="C35" s="24"/>
      <c r="E35" s="65"/>
    </row>
    <row r="36" spans="1:5" s="1" customFormat="1" ht="15.75">
      <c r="A36" s="252" t="s">
        <v>365</v>
      </c>
      <c r="B36" s="20" t="s">
        <v>137</v>
      </c>
      <c r="C36" s="24">
        <f>'4.mell. - kiadás'!E45</f>
        <v>24364383</v>
      </c>
      <c r="D36" s="1" t="s">
        <v>335</v>
      </c>
      <c r="E36" s="65"/>
    </row>
    <row r="37" spans="1:5" s="1" customFormat="1" ht="15.75">
      <c r="A37" s="252" t="s">
        <v>366</v>
      </c>
      <c r="B37" s="20" t="s">
        <v>138</v>
      </c>
      <c r="C37" s="24">
        <f>'4.mell. - kiadás'!F45</f>
        <v>4665235</v>
      </c>
      <c r="D37" s="1" t="s">
        <v>335</v>
      </c>
      <c r="E37" s="65"/>
    </row>
    <row r="38" spans="1:5" s="1" customFormat="1" ht="15.75">
      <c r="A38" s="252" t="s">
        <v>367</v>
      </c>
      <c r="B38" s="20" t="s">
        <v>139</v>
      </c>
      <c r="C38" s="24">
        <f>'4.mell. - kiadás'!G45</f>
        <v>24832458</v>
      </c>
      <c r="D38" s="1" t="s">
        <v>335</v>
      </c>
      <c r="E38" s="65"/>
    </row>
    <row r="39" spans="1:5" s="1" customFormat="1" ht="15.75">
      <c r="A39" s="252" t="s">
        <v>368</v>
      </c>
      <c r="B39" s="69" t="s">
        <v>140</v>
      </c>
      <c r="C39" s="24">
        <f>'4.mell. - kiadás'!H45</f>
        <v>3061400</v>
      </c>
      <c r="D39" s="1" t="s">
        <v>335</v>
      </c>
      <c r="E39" s="65"/>
    </row>
    <row r="40" spans="1:5" s="1" customFormat="1" ht="15.75">
      <c r="A40" s="252" t="s">
        <v>375</v>
      </c>
      <c r="B40" s="20" t="s">
        <v>47</v>
      </c>
      <c r="C40" s="24">
        <f>'4.mell. - kiadás'!I45-C41</f>
        <v>2740000</v>
      </c>
      <c r="D40" s="1" t="s">
        <v>335</v>
      </c>
      <c r="E40" s="65"/>
    </row>
    <row r="41" spans="1:5" s="1" customFormat="1" ht="15.75">
      <c r="A41" s="252" t="s">
        <v>382</v>
      </c>
      <c r="B41" s="20" t="s">
        <v>381</v>
      </c>
      <c r="C41" s="25">
        <f>6255786+18481786-1200000+76000+89209-110720+330000-35560-418941-149200-50000-2567275</f>
        <v>20701085</v>
      </c>
      <c r="D41" s="1" t="s">
        <v>1</v>
      </c>
      <c r="E41" s="65"/>
    </row>
    <row r="42" spans="1:6" s="1" customFormat="1" ht="15.75">
      <c r="A42" s="252" t="s">
        <v>369</v>
      </c>
      <c r="B42" s="9" t="s">
        <v>10</v>
      </c>
      <c r="C42" s="24"/>
      <c r="E42" s="70">
        <f>C44+C45+C46</f>
        <v>120070143</v>
      </c>
      <c r="F42" s="1" t="s">
        <v>335</v>
      </c>
    </row>
    <row r="43" spans="1:5" s="1" customFormat="1" ht="15.75">
      <c r="A43" s="252"/>
      <c r="B43" s="8" t="s">
        <v>8</v>
      </c>
      <c r="C43" s="24"/>
      <c r="E43" s="65"/>
    </row>
    <row r="44" spans="1:5" s="1" customFormat="1" ht="15.75">
      <c r="A44" s="252" t="s">
        <v>376</v>
      </c>
      <c r="B44" s="20" t="s">
        <v>141</v>
      </c>
      <c r="C44" s="25">
        <f>'4.mell. - kiadás'!K45</f>
        <v>14251934</v>
      </c>
      <c r="D44" s="1" t="s">
        <v>335</v>
      </c>
      <c r="E44" s="65"/>
    </row>
    <row r="45" spans="1:5" s="1" customFormat="1" ht="15.75">
      <c r="A45" s="252" t="s">
        <v>370</v>
      </c>
      <c r="B45" s="20" t="s">
        <v>142</v>
      </c>
      <c r="C45" s="25">
        <f>'4.mell. - kiadás'!L45</f>
        <v>103818209</v>
      </c>
      <c r="D45" s="1" t="s">
        <v>335</v>
      </c>
      <c r="E45" s="65"/>
    </row>
    <row r="46" spans="1:7" ht="15.75">
      <c r="A46" s="252" t="s">
        <v>371</v>
      </c>
      <c r="B46" s="20" t="s">
        <v>48</v>
      </c>
      <c r="C46" s="25">
        <f>'4.mell. - kiadás'!M45</f>
        <v>2000000</v>
      </c>
      <c r="D46" s="1" t="s">
        <v>335</v>
      </c>
      <c r="E46" s="65"/>
      <c r="F46" s="1"/>
      <c r="G46" s="1"/>
    </row>
    <row r="47" s="1" customFormat="1" ht="7.5" customHeight="1">
      <c r="E47" s="65"/>
    </row>
    <row r="48" spans="1:6" s="1" customFormat="1" ht="15.75">
      <c r="A48" s="252" t="s">
        <v>69</v>
      </c>
      <c r="B48" s="12" t="s">
        <v>143</v>
      </c>
      <c r="C48" s="25"/>
      <c r="E48" s="65">
        <f>C49+C50+C51</f>
        <v>1240566</v>
      </c>
      <c r="F48" s="1" t="s">
        <v>335</v>
      </c>
    </row>
    <row r="49" spans="1:5" s="1" customFormat="1" ht="15.75">
      <c r="A49" s="252" t="s">
        <v>372</v>
      </c>
      <c r="B49" s="20" t="s">
        <v>144</v>
      </c>
      <c r="C49" s="24"/>
      <c r="D49" s="1" t="s">
        <v>335</v>
      </c>
      <c r="E49" s="65"/>
    </row>
    <row r="50" spans="1:7" s="6" customFormat="1" ht="18.75">
      <c r="A50" s="254" t="s">
        <v>373</v>
      </c>
      <c r="B50" s="20" t="s">
        <v>145</v>
      </c>
      <c r="C50" s="24"/>
      <c r="D50" s="1" t="s">
        <v>335</v>
      </c>
      <c r="E50" s="65"/>
      <c r="F50" s="1"/>
      <c r="G50" s="4"/>
    </row>
    <row r="51" spans="1:7" ht="15.75">
      <c r="A51" s="252" t="s">
        <v>374</v>
      </c>
      <c r="B51" s="20" t="s">
        <v>330</v>
      </c>
      <c r="C51" s="25">
        <f>'4.mell. - kiadás'!O17</f>
        <v>1240566</v>
      </c>
      <c r="D51" s="1" t="s">
        <v>335</v>
      </c>
      <c r="E51" s="65"/>
      <c r="F51" s="1"/>
      <c r="G51" s="1"/>
    </row>
    <row r="52" spans="1:7" ht="15.75">
      <c r="A52" s="252" t="s">
        <v>70</v>
      </c>
      <c r="B52" s="7" t="s">
        <v>28</v>
      </c>
      <c r="C52" s="25"/>
      <c r="D52" s="1"/>
      <c r="E52" s="19">
        <f>SUM(E34:E51)</f>
        <v>201675270</v>
      </c>
      <c r="F52" s="4" t="s">
        <v>335</v>
      </c>
      <c r="G52" s="1"/>
    </row>
    <row r="53" spans="1:7" ht="15.75">
      <c r="A53" s="252"/>
      <c r="B53" s="20"/>
      <c r="C53" s="24"/>
      <c r="D53" s="1"/>
      <c r="E53" s="70"/>
      <c r="F53" s="1"/>
      <c r="G53" s="1"/>
    </row>
    <row r="54" spans="1:7" ht="18.75">
      <c r="A54" s="252" t="s">
        <v>76</v>
      </c>
      <c r="B54" s="7" t="s">
        <v>29</v>
      </c>
      <c r="C54" s="24"/>
      <c r="D54" s="1"/>
      <c r="E54" s="19">
        <f>E31-E52</f>
        <v>-144021006</v>
      </c>
      <c r="F54" s="4" t="s">
        <v>335</v>
      </c>
      <c r="G54" s="6"/>
    </row>
    <row r="55" spans="1:5" ht="15.75">
      <c r="A55" s="252"/>
      <c r="B55" s="20"/>
      <c r="C55" s="24"/>
      <c r="D55" s="1"/>
      <c r="E55" s="19"/>
    </row>
    <row r="56" spans="1:6" ht="32.25">
      <c r="A56" s="252" t="s">
        <v>204</v>
      </c>
      <c r="B56" s="58" t="s">
        <v>432</v>
      </c>
      <c r="C56" s="26"/>
      <c r="D56" s="6"/>
      <c r="E56" s="19">
        <f>'2.mell - bevétel'!H127</f>
        <v>4976007</v>
      </c>
      <c r="F56" s="4" t="s">
        <v>335</v>
      </c>
    </row>
    <row r="57" spans="1:7" s="1" customFormat="1" ht="15.75">
      <c r="A57" s="252" t="s">
        <v>206</v>
      </c>
      <c r="B57" s="14" t="s">
        <v>429</v>
      </c>
      <c r="C57" s="23"/>
      <c r="D57" s="4"/>
      <c r="E57" s="19">
        <f>'4.mell. - kiadás'!O17</f>
        <v>1240566</v>
      </c>
      <c r="F57" s="4"/>
      <c r="G57" s="4"/>
    </row>
    <row r="58" spans="1:7" s="1" customFormat="1" ht="21.75" customHeight="1">
      <c r="A58" s="252" t="s">
        <v>208</v>
      </c>
      <c r="B58" s="14" t="s">
        <v>440</v>
      </c>
      <c r="C58" s="23"/>
      <c r="D58" s="4"/>
      <c r="E58" s="19">
        <f>109982+3000+18481786+933577</f>
        <v>19528345</v>
      </c>
      <c r="F58" s="4" t="s">
        <v>1</v>
      </c>
      <c r="G58" s="4"/>
    </row>
    <row r="59" spans="1:6" ht="15.75">
      <c r="A59" s="255" t="s">
        <v>214</v>
      </c>
      <c r="B59" s="7" t="s">
        <v>378</v>
      </c>
      <c r="E59" s="19">
        <f>E54+E56+E57+E58</f>
        <v>-118276088</v>
      </c>
      <c r="F59" s="4" t="s">
        <v>335</v>
      </c>
    </row>
    <row r="60" spans="2:5" s="1" customFormat="1" ht="10.5" customHeight="1">
      <c r="B60" s="5"/>
      <c r="C60" s="24"/>
      <c r="E60" s="15"/>
    </row>
    <row r="61" spans="2:6" ht="15.75">
      <c r="B61" s="5"/>
      <c r="C61" s="24"/>
      <c r="D61" s="1"/>
      <c r="E61" s="15"/>
      <c r="F61" s="7"/>
    </row>
    <row r="62" spans="2:6" ht="15.75">
      <c r="B62" s="7"/>
      <c r="E62" s="16"/>
      <c r="F62" s="7"/>
    </row>
  </sheetData>
  <sheetProtection/>
  <mergeCells count="6">
    <mergeCell ref="A1:F1"/>
    <mergeCell ref="B8:F8"/>
    <mergeCell ref="B6:F6"/>
    <mergeCell ref="B5:F5"/>
    <mergeCell ref="B7:F7"/>
    <mergeCell ref="A3:F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K167"/>
  <sheetViews>
    <sheetView zoomScalePageLayoutView="0" workbookViewId="0" topLeftCell="A1">
      <selection activeCell="A9" sqref="A9:I9"/>
    </sheetView>
  </sheetViews>
  <sheetFormatPr defaultColWidth="9.00390625" defaultRowHeight="12.75"/>
  <cols>
    <col min="1" max="1" width="4.25390625" style="31" customWidth="1"/>
    <col min="2" max="5" width="3.125" style="30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3" spans="1:9" ht="15.75">
      <c r="A3" s="382" t="s">
        <v>521</v>
      </c>
      <c r="B3" s="383"/>
      <c r="C3" s="383"/>
      <c r="D3" s="383"/>
      <c r="E3" s="383"/>
      <c r="F3" s="383"/>
      <c r="G3" s="391"/>
      <c r="H3" s="391"/>
      <c r="I3" s="391"/>
    </row>
    <row r="4" spans="1:9" ht="15.75">
      <c r="A4" s="387" t="s">
        <v>437</v>
      </c>
      <c r="B4" s="387"/>
      <c r="C4" s="387"/>
      <c r="D4" s="387"/>
      <c r="E4" s="387"/>
      <c r="F4" s="387"/>
      <c r="G4" s="387"/>
      <c r="H4" s="387"/>
      <c r="I4" s="387"/>
    </row>
    <row r="5" spans="1:9" s="9" customFormat="1" ht="15.75">
      <c r="A5" s="411" t="s">
        <v>4</v>
      </c>
      <c r="B5" s="411"/>
      <c r="C5" s="411"/>
      <c r="D5" s="411"/>
      <c r="E5" s="411"/>
      <c r="F5" s="411"/>
      <c r="G5" s="411"/>
      <c r="H5" s="411"/>
      <c r="I5" s="411"/>
    </row>
    <row r="6" spans="1:9" s="9" customFormat="1" ht="15.75">
      <c r="A6" s="411" t="s">
        <v>21</v>
      </c>
      <c r="B6" s="411"/>
      <c r="C6" s="411"/>
      <c r="D6" s="411"/>
      <c r="E6" s="411"/>
      <c r="F6" s="411"/>
      <c r="G6" s="411"/>
      <c r="H6" s="411"/>
      <c r="I6" s="411"/>
    </row>
    <row r="7" spans="1:9" ht="15.75">
      <c r="A7" s="411" t="s">
        <v>425</v>
      </c>
      <c r="B7" s="411"/>
      <c r="C7" s="411"/>
      <c r="D7" s="411"/>
      <c r="E7" s="411"/>
      <c r="F7" s="411"/>
      <c r="G7" s="411"/>
      <c r="H7" s="411"/>
      <c r="I7" s="411"/>
    </row>
    <row r="8" ht="15.75" hidden="1"/>
    <row r="9" spans="1:9" ht="15.75">
      <c r="A9" s="401"/>
      <c r="B9" s="401"/>
      <c r="C9" s="401"/>
      <c r="D9" s="401"/>
      <c r="E9" s="401"/>
      <c r="F9" s="401"/>
      <c r="G9" s="401"/>
      <c r="H9" s="401"/>
      <c r="I9" s="401"/>
    </row>
    <row r="10" spans="8:9" ht="16.5" thickBot="1">
      <c r="H10" s="33"/>
      <c r="I10" s="34" t="s">
        <v>332</v>
      </c>
    </row>
    <row r="11" spans="1:9" ht="15.75">
      <c r="A11" s="402" t="s">
        <v>13</v>
      </c>
      <c r="B11" s="403"/>
      <c r="C11" s="403"/>
      <c r="D11" s="403"/>
      <c r="E11" s="403"/>
      <c r="F11" s="404"/>
      <c r="G11" s="35" t="s">
        <v>11</v>
      </c>
      <c r="H11" s="35" t="s">
        <v>11</v>
      </c>
      <c r="I11" s="35" t="s">
        <v>12</v>
      </c>
    </row>
    <row r="12" spans="1:9" ht="15.75">
      <c r="A12" s="405"/>
      <c r="B12" s="406"/>
      <c r="C12" s="406"/>
      <c r="D12" s="406"/>
      <c r="E12" s="406"/>
      <c r="F12" s="407"/>
      <c r="G12" s="36" t="s">
        <v>7</v>
      </c>
      <c r="H12" s="36" t="s">
        <v>7</v>
      </c>
      <c r="I12" s="36"/>
    </row>
    <row r="13" spans="1:9" ht="16.5" thickBot="1">
      <c r="A13" s="408"/>
      <c r="B13" s="409"/>
      <c r="C13" s="409"/>
      <c r="D13" s="409"/>
      <c r="E13" s="409"/>
      <c r="F13" s="410"/>
      <c r="G13" s="37" t="s">
        <v>384</v>
      </c>
      <c r="H13" s="37" t="s">
        <v>425</v>
      </c>
      <c r="I13" s="37" t="s">
        <v>14</v>
      </c>
    </row>
    <row r="14" spans="1:9" ht="6.75" customHeight="1">
      <c r="A14" s="203"/>
      <c r="B14" s="203"/>
      <c r="C14" s="203"/>
      <c r="D14" s="203"/>
      <c r="E14" s="203"/>
      <c r="F14" s="203"/>
      <c r="G14" s="203"/>
      <c r="H14" s="203"/>
      <c r="I14" s="203"/>
    </row>
    <row r="15" spans="1:9" ht="15.75">
      <c r="A15" s="12" t="s">
        <v>30</v>
      </c>
      <c r="B15" s="393" t="s">
        <v>51</v>
      </c>
      <c r="C15" s="393"/>
      <c r="D15" s="393"/>
      <c r="E15" s="393"/>
      <c r="F15" s="393"/>
      <c r="G15" s="48"/>
      <c r="H15" s="49"/>
      <c r="I15" s="48"/>
    </row>
    <row r="16" spans="1:9" ht="15.75">
      <c r="A16" s="12"/>
      <c r="B16" s="12" t="s">
        <v>30</v>
      </c>
      <c r="C16" s="12" t="s">
        <v>52</v>
      </c>
      <c r="D16" s="12"/>
      <c r="E16" s="12"/>
      <c r="F16" s="12"/>
      <c r="G16" s="18"/>
      <c r="H16" s="18"/>
      <c r="I16" s="12"/>
    </row>
    <row r="17" spans="1:9" ht="18" customHeight="1">
      <c r="A17" s="12"/>
      <c r="B17" s="12"/>
      <c r="C17" s="12" t="s">
        <v>25</v>
      </c>
      <c r="D17" s="393" t="s">
        <v>53</v>
      </c>
      <c r="E17" s="393"/>
      <c r="F17" s="393"/>
      <c r="G17" s="49"/>
      <c r="H17" s="49"/>
      <c r="I17" s="48"/>
    </row>
    <row r="18" spans="1:9" ht="21.75" customHeight="1">
      <c r="A18" s="12"/>
      <c r="B18" s="12"/>
      <c r="C18" s="12"/>
      <c r="D18" s="12" t="s">
        <v>25</v>
      </c>
      <c r="E18" s="393" t="s">
        <v>54</v>
      </c>
      <c r="F18" s="393"/>
      <c r="G18" s="49"/>
      <c r="H18" s="49"/>
      <c r="I18" s="48"/>
    </row>
    <row r="19" spans="1:9" ht="15.75">
      <c r="A19" s="14"/>
      <c r="B19" s="14"/>
      <c r="C19" s="14"/>
      <c r="D19" s="14"/>
      <c r="E19" s="14" t="s">
        <v>37</v>
      </c>
      <c r="F19" s="14" t="s">
        <v>31</v>
      </c>
      <c r="G19" s="17"/>
      <c r="H19" s="17"/>
      <c r="I19" s="50"/>
    </row>
    <row r="20" spans="1:9" ht="17.25" customHeight="1">
      <c r="A20" s="14"/>
      <c r="B20" s="14"/>
      <c r="C20" s="14"/>
      <c r="D20" s="14"/>
      <c r="E20" s="14"/>
      <c r="F20" s="14" t="s">
        <v>55</v>
      </c>
      <c r="G20" s="17"/>
      <c r="I20" s="50"/>
    </row>
    <row r="21" spans="1:9" ht="17.25" customHeight="1">
      <c r="A21" s="14"/>
      <c r="B21" s="14"/>
      <c r="C21" s="14"/>
      <c r="D21" s="14"/>
      <c r="E21" s="14" t="s">
        <v>38</v>
      </c>
      <c r="F21" s="51" t="s">
        <v>32</v>
      </c>
      <c r="G21" s="52"/>
      <c r="I21" s="50"/>
    </row>
    <row r="22" spans="1:9" ht="36.75" customHeight="1">
      <c r="A22" s="14"/>
      <c r="B22" s="14"/>
      <c r="C22" s="14"/>
      <c r="D22" s="14"/>
      <c r="E22" s="14" t="s">
        <v>56</v>
      </c>
      <c r="F22" s="51" t="s">
        <v>57</v>
      </c>
      <c r="G22" s="217">
        <f>2553350</f>
        <v>2553350</v>
      </c>
      <c r="H22" s="217">
        <v>2553350</v>
      </c>
      <c r="I22" s="50">
        <f>H22/G22*100</f>
        <v>100</v>
      </c>
    </row>
    <row r="23" spans="1:9" ht="15.75">
      <c r="A23" s="14"/>
      <c r="B23" s="14"/>
      <c r="C23" s="14"/>
      <c r="D23" s="14"/>
      <c r="E23" s="14"/>
      <c r="F23" s="14" t="s">
        <v>55</v>
      </c>
      <c r="G23" s="217"/>
      <c r="H23" s="217"/>
      <c r="I23" s="50"/>
    </row>
    <row r="24" spans="1:9" ht="15.75">
      <c r="A24" s="14"/>
      <c r="B24" s="14"/>
      <c r="C24" s="14"/>
      <c r="D24" s="14"/>
      <c r="E24" s="14" t="s">
        <v>58</v>
      </c>
      <c r="F24" s="51" t="s">
        <v>59</v>
      </c>
      <c r="G24" s="217">
        <v>3040000</v>
      </c>
      <c r="H24" s="217">
        <v>3072000</v>
      </c>
      <c r="I24" s="50">
        <f>H24/G24*100</f>
        <v>101.05263157894737</v>
      </c>
    </row>
    <row r="25" spans="1:9" ht="15.75">
      <c r="A25" s="14"/>
      <c r="B25" s="14"/>
      <c r="C25" s="14"/>
      <c r="D25" s="14"/>
      <c r="E25" s="14"/>
      <c r="F25" s="14" t="s">
        <v>55</v>
      </c>
      <c r="G25" s="217"/>
      <c r="H25" s="217"/>
      <c r="I25" s="50"/>
    </row>
    <row r="26" spans="1:9" ht="17.25" customHeight="1">
      <c r="A26" s="14"/>
      <c r="B26" s="14"/>
      <c r="C26" s="14"/>
      <c r="D26" s="14"/>
      <c r="E26" s="14" t="s">
        <v>60</v>
      </c>
      <c r="F26" s="51" t="s">
        <v>61</v>
      </c>
      <c r="G26" s="217">
        <v>100000</v>
      </c>
      <c r="H26" s="217">
        <v>100000</v>
      </c>
      <c r="I26" s="50">
        <f>H26/G26*100</f>
        <v>100</v>
      </c>
    </row>
    <row r="27" spans="1:9" ht="15.75">
      <c r="A27" s="14"/>
      <c r="B27" s="14"/>
      <c r="C27" s="14"/>
      <c r="D27" s="14"/>
      <c r="E27" s="14"/>
      <c r="F27" s="14" t="s">
        <v>55</v>
      </c>
      <c r="G27" s="217"/>
      <c r="H27" s="217"/>
      <c r="I27" s="50"/>
    </row>
    <row r="28" spans="1:9" ht="15.75">
      <c r="A28" s="14"/>
      <c r="B28" s="14"/>
      <c r="C28" s="14"/>
      <c r="D28" s="14"/>
      <c r="E28" s="14" t="s">
        <v>62</v>
      </c>
      <c r="F28" s="51" t="s">
        <v>63</v>
      </c>
      <c r="G28" s="217">
        <v>7506890</v>
      </c>
      <c r="H28" s="217">
        <v>7506890</v>
      </c>
      <c r="I28" s="50">
        <f>H28/G28*100</f>
        <v>100</v>
      </c>
    </row>
    <row r="29" spans="1:9" s="21" customFormat="1" ht="15.75">
      <c r="A29" s="14"/>
      <c r="B29" s="14"/>
      <c r="C29" s="14"/>
      <c r="D29" s="14"/>
      <c r="E29" s="14"/>
      <c r="F29" s="14" t="s">
        <v>55</v>
      </c>
      <c r="G29" s="218"/>
      <c r="H29" s="218"/>
      <c r="I29" s="50"/>
    </row>
    <row r="30" spans="1:9" ht="15.75">
      <c r="A30" s="14"/>
      <c r="B30" s="14"/>
      <c r="C30" s="14"/>
      <c r="D30" s="14" t="s">
        <v>39</v>
      </c>
      <c r="E30" s="14" t="s">
        <v>64</v>
      </c>
      <c r="F30" s="14"/>
      <c r="G30" s="217">
        <v>5000000</v>
      </c>
      <c r="H30" s="217">
        <v>5000000</v>
      </c>
      <c r="I30" s="50">
        <f>H30/G30*100</f>
        <v>100</v>
      </c>
    </row>
    <row r="31" spans="1:9" ht="15.75">
      <c r="A31" s="14"/>
      <c r="B31" s="14"/>
      <c r="C31" s="14"/>
      <c r="D31" s="14"/>
      <c r="E31" s="14"/>
      <c r="F31" s="14" t="s">
        <v>55</v>
      </c>
      <c r="G31" s="217"/>
      <c r="H31" s="217"/>
      <c r="I31" s="50"/>
    </row>
    <row r="32" spans="1:9" ht="15.75">
      <c r="A32" s="14"/>
      <c r="B32" s="14"/>
      <c r="C32" s="14"/>
      <c r="D32" s="14"/>
      <c r="E32" s="14" t="s">
        <v>334</v>
      </c>
      <c r="F32" s="14"/>
      <c r="G32" s="217">
        <v>3664298</v>
      </c>
      <c r="H32" s="217"/>
      <c r="I32" s="50"/>
    </row>
    <row r="33" spans="1:9" ht="15.75">
      <c r="A33" s="14"/>
      <c r="B33" s="14"/>
      <c r="C33" s="14"/>
      <c r="D33" s="14" t="s">
        <v>40</v>
      </c>
      <c r="E33" s="14" t="s">
        <v>119</v>
      </c>
      <c r="F33" s="14"/>
      <c r="G33" s="217">
        <v>17850</v>
      </c>
      <c r="H33" s="217">
        <v>17850</v>
      </c>
      <c r="I33" s="50">
        <f>H33/G33*100</f>
        <v>100</v>
      </c>
    </row>
    <row r="34" spans="1:9" ht="15.75">
      <c r="A34" s="14"/>
      <c r="B34" s="14"/>
      <c r="C34" s="14"/>
      <c r="D34" s="14" t="s">
        <v>120</v>
      </c>
      <c r="E34" s="14" t="s">
        <v>77</v>
      </c>
      <c r="F34" s="14"/>
      <c r="G34" s="217">
        <v>103400</v>
      </c>
      <c r="H34" s="217">
        <v>423800</v>
      </c>
      <c r="I34" s="50">
        <f>H34/G34*100</f>
        <v>409.8646034816247</v>
      </c>
    </row>
    <row r="35" spans="1:9" ht="15.75">
      <c r="A35" s="14"/>
      <c r="B35" s="14"/>
      <c r="C35" s="14" t="s">
        <v>16</v>
      </c>
      <c r="D35" s="389" t="s">
        <v>65</v>
      </c>
      <c r="E35" s="389"/>
      <c r="F35" s="389"/>
      <c r="G35" s="217">
        <v>3000</v>
      </c>
      <c r="H35" s="217">
        <v>3000</v>
      </c>
      <c r="I35" s="50">
        <f>H35/G35*100</f>
        <v>100</v>
      </c>
    </row>
    <row r="36" spans="1:9" ht="15.75">
      <c r="A36" s="14"/>
      <c r="B36" s="14"/>
      <c r="C36" s="14" t="s">
        <v>70</v>
      </c>
      <c r="D36" s="14" t="s">
        <v>333</v>
      </c>
      <c r="E36" s="14"/>
      <c r="F36" s="14"/>
      <c r="G36" s="217"/>
      <c r="H36" s="217"/>
      <c r="I36" s="50"/>
    </row>
    <row r="37" spans="1:9" ht="16.5" customHeight="1">
      <c r="A37" s="14"/>
      <c r="B37" s="14"/>
      <c r="C37" s="14" t="s">
        <v>76</v>
      </c>
      <c r="D37" s="14" t="s">
        <v>385</v>
      </c>
      <c r="E37" s="14"/>
      <c r="F37" s="14"/>
      <c r="G37" s="217">
        <v>1170400</v>
      </c>
      <c r="H37" s="217">
        <v>1120500</v>
      </c>
      <c r="I37" s="50">
        <f>H37/G37*100</f>
        <v>95.7365003417635</v>
      </c>
    </row>
    <row r="38" spans="1:9" ht="21" customHeight="1">
      <c r="A38" s="54"/>
      <c r="B38" s="54"/>
      <c r="C38" s="55"/>
      <c r="D38" s="400" t="s">
        <v>66</v>
      </c>
      <c r="E38" s="400"/>
      <c r="F38" s="400"/>
      <c r="G38" s="219">
        <f>SUM(G19:G37)</f>
        <v>23159188</v>
      </c>
      <c r="H38" s="219">
        <f>SUM(H19:H37)</f>
        <v>19797390</v>
      </c>
      <c r="I38" s="50">
        <f>H38/G38*100</f>
        <v>85.48395565509465</v>
      </c>
    </row>
    <row r="39" spans="1:9" ht="33" customHeight="1">
      <c r="A39" s="14"/>
      <c r="B39" s="12" t="s">
        <v>34</v>
      </c>
      <c r="C39" s="12" t="s">
        <v>26</v>
      </c>
      <c r="D39" s="393" t="s">
        <v>67</v>
      </c>
      <c r="E39" s="393"/>
      <c r="F39" s="393"/>
      <c r="G39" s="217"/>
      <c r="H39" s="217"/>
      <c r="I39" s="50"/>
    </row>
    <row r="40" spans="1:9" ht="15.75">
      <c r="A40" s="14"/>
      <c r="B40" s="14"/>
      <c r="C40" s="14"/>
      <c r="D40" s="14" t="s">
        <v>25</v>
      </c>
      <c r="E40" s="14" t="s">
        <v>121</v>
      </c>
      <c r="F40" s="14"/>
      <c r="G40" s="217"/>
      <c r="H40" s="217"/>
      <c r="I40" s="50"/>
    </row>
    <row r="41" spans="1:9" ht="30.75" customHeight="1">
      <c r="A41" s="14"/>
      <c r="B41" s="14"/>
      <c r="C41" s="14"/>
      <c r="D41" s="14" t="s">
        <v>16</v>
      </c>
      <c r="E41" s="389" t="s">
        <v>122</v>
      </c>
      <c r="F41" s="389"/>
      <c r="G41" s="217">
        <v>4111000</v>
      </c>
      <c r="H41" s="217">
        <v>2728000</v>
      </c>
      <c r="I41" s="50">
        <f>H41/G41*100</f>
        <v>66.35855023108734</v>
      </c>
    </row>
    <row r="42" spans="1:9" ht="15.75">
      <c r="A42" s="14"/>
      <c r="B42" s="14"/>
      <c r="C42" s="14"/>
      <c r="D42" s="14" t="s">
        <v>26</v>
      </c>
      <c r="E42" s="14" t="s">
        <v>68</v>
      </c>
      <c r="F42" s="14"/>
      <c r="G42" s="217">
        <v>830400</v>
      </c>
      <c r="H42" s="217">
        <f>719680-110720+130000</f>
        <v>738960</v>
      </c>
      <c r="I42" s="50">
        <f>H42/G42*100</f>
        <v>88.98843930635837</v>
      </c>
    </row>
    <row r="43" spans="1:9" ht="15.75">
      <c r="A43" s="14"/>
      <c r="B43" s="14"/>
      <c r="C43" s="14"/>
      <c r="D43" s="14" t="s">
        <v>70</v>
      </c>
      <c r="E43" s="14" t="s">
        <v>71</v>
      </c>
      <c r="F43" s="14"/>
      <c r="G43" s="217"/>
      <c r="H43" s="217"/>
      <c r="I43" s="50"/>
    </row>
    <row r="44" spans="1:9" ht="31.5">
      <c r="A44" s="14"/>
      <c r="B44" s="14"/>
      <c r="C44" s="14"/>
      <c r="D44" s="14"/>
      <c r="E44" s="14" t="s">
        <v>37</v>
      </c>
      <c r="F44" s="51" t="s">
        <v>386</v>
      </c>
      <c r="G44" s="217">
        <v>1672000</v>
      </c>
      <c r="H44" s="217">
        <f>1900000+76000+200000</f>
        <v>2176000</v>
      </c>
      <c r="I44" s="50">
        <f>H44/G44*100</f>
        <v>130.14354066985646</v>
      </c>
    </row>
    <row r="45" spans="1:9" ht="15.75">
      <c r="A45" s="14"/>
      <c r="B45" s="14"/>
      <c r="C45" s="14"/>
      <c r="D45" s="14"/>
      <c r="E45" s="14" t="s">
        <v>38</v>
      </c>
      <c r="F45" s="14" t="s">
        <v>387</v>
      </c>
      <c r="G45" s="217">
        <v>3869880</v>
      </c>
      <c r="H45" s="217">
        <f>4072068+89209</f>
        <v>4161277</v>
      </c>
      <c r="I45" s="50">
        <f>H45/G45*100</f>
        <v>107.5298717272887</v>
      </c>
    </row>
    <row r="46" spans="1:9" ht="33.75" customHeight="1">
      <c r="A46" s="54"/>
      <c r="B46" s="54"/>
      <c r="C46" s="400" t="s">
        <v>72</v>
      </c>
      <c r="D46" s="400"/>
      <c r="E46" s="400"/>
      <c r="F46" s="400"/>
      <c r="G46" s="220">
        <f>SUM(G40:G45)</f>
        <v>10483280</v>
      </c>
      <c r="H46" s="220">
        <f>SUM(H40:H45)</f>
        <v>9804237</v>
      </c>
      <c r="I46" s="50">
        <f>H46/G46*100</f>
        <v>93.52260933600934</v>
      </c>
    </row>
    <row r="47" spans="1:9" ht="3" customHeight="1">
      <c r="A47" s="54"/>
      <c r="B47" s="54"/>
      <c r="C47" s="201"/>
      <c r="D47" s="201"/>
      <c r="E47" s="201"/>
      <c r="F47" s="201"/>
      <c r="G47" s="220"/>
      <c r="H47" s="217"/>
      <c r="I47" s="50"/>
    </row>
    <row r="48" spans="1:9" ht="14.25" customHeight="1">
      <c r="A48" s="14"/>
      <c r="B48" s="14"/>
      <c r="C48" s="12" t="s">
        <v>69</v>
      </c>
      <c r="D48" s="393" t="s">
        <v>73</v>
      </c>
      <c r="E48" s="393"/>
      <c r="F48" s="393"/>
      <c r="G48" s="221"/>
      <c r="H48" s="217"/>
      <c r="I48" s="50"/>
    </row>
    <row r="49" spans="1:9" ht="15.75">
      <c r="A49" s="14"/>
      <c r="B49" s="14"/>
      <c r="C49" s="14"/>
      <c r="D49" s="14" t="s">
        <v>25</v>
      </c>
      <c r="E49" s="389" t="s">
        <v>35</v>
      </c>
      <c r="F49" s="389"/>
      <c r="G49" s="222"/>
      <c r="H49" s="217"/>
      <c r="I49" s="50"/>
    </row>
    <row r="50" spans="1:9" ht="31.5">
      <c r="A50" s="14"/>
      <c r="B50" s="14"/>
      <c r="C50" s="14"/>
      <c r="D50" s="14"/>
      <c r="E50" s="14" t="s">
        <v>40</v>
      </c>
      <c r="F50" s="51" t="s">
        <v>74</v>
      </c>
      <c r="G50" s="222">
        <v>1800000</v>
      </c>
      <c r="H50" s="217">
        <v>1800000</v>
      </c>
      <c r="I50" s="50">
        <f>H50/G50*100</f>
        <v>100</v>
      </c>
    </row>
    <row r="51" spans="1:9" ht="30" customHeight="1">
      <c r="A51" s="54"/>
      <c r="B51" s="54"/>
      <c r="C51" s="399" t="s">
        <v>75</v>
      </c>
      <c r="D51" s="399"/>
      <c r="E51" s="399"/>
      <c r="F51" s="399"/>
      <c r="G51" s="220">
        <f>SUM(G50:G50)</f>
        <v>1800000</v>
      </c>
      <c r="H51" s="220">
        <f>SUM(H50:H50)</f>
        <v>1800000</v>
      </c>
      <c r="I51" s="50">
        <f>H51/G51*100</f>
        <v>100</v>
      </c>
    </row>
    <row r="52" spans="1:9" ht="17.25" customHeight="1">
      <c r="A52" s="54"/>
      <c r="B52" s="54"/>
      <c r="C52" s="359" t="s">
        <v>70</v>
      </c>
      <c r="D52" s="399" t="s">
        <v>474</v>
      </c>
      <c r="E52" s="390"/>
      <c r="F52" s="390"/>
      <c r="G52" s="220"/>
      <c r="H52" s="220"/>
      <c r="I52" s="50"/>
    </row>
    <row r="53" spans="1:9" ht="15.75" customHeight="1">
      <c r="A53" s="54"/>
      <c r="B53" s="54"/>
      <c r="C53" s="359"/>
      <c r="D53" s="359"/>
      <c r="E53" s="58" t="s">
        <v>477</v>
      </c>
      <c r="F53" s="58" t="s">
        <v>475</v>
      </c>
      <c r="G53" s="220"/>
      <c r="H53" s="223">
        <v>582930</v>
      </c>
      <c r="I53" s="50"/>
    </row>
    <row r="54" spans="1:9" ht="16.5" customHeight="1">
      <c r="A54" s="54"/>
      <c r="B54" s="54"/>
      <c r="C54" s="399" t="s">
        <v>476</v>
      </c>
      <c r="D54" s="390"/>
      <c r="E54" s="390"/>
      <c r="F54" s="390"/>
      <c r="G54" s="220"/>
      <c r="H54" s="220">
        <f>H53</f>
        <v>582930</v>
      </c>
      <c r="I54" s="50"/>
    </row>
    <row r="55" spans="1:9" ht="16.5" customHeight="1">
      <c r="A55" s="54"/>
      <c r="B55" s="54"/>
      <c r="C55" s="359"/>
      <c r="D55" s="359"/>
      <c r="E55" s="359"/>
      <c r="F55" s="359"/>
      <c r="G55" s="220"/>
      <c r="H55" s="220"/>
      <c r="I55" s="50"/>
    </row>
    <row r="56" spans="1:9" ht="15.75">
      <c r="A56" s="56"/>
      <c r="B56" s="393" t="s">
        <v>78</v>
      </c>
      <c r="C56" s="393"/>
      <c r="D56" s="393"/>
      <c r="E56" s="393"/>
      <c r="F56" s="393"/>
      <c r="G56" s="225">
        <f>G38+G46+G51</f>
        <v>35442468</v>
      </c>
      <c r="H56" s="225">
        <f>H38+H46+H51+H54</f>
        <v>31984557</v>
      </c>
      <c r="I56" s="361">
        <f>H56/G56*100</f>
        <v>90.24359421020004</v>
      </c>
    </row>
    <row r="57" spans="1:9" ht="12" customHeight="1">
      <c r="A57" s="14"/>
      <c r="B57" s="14"/>
      <c r="C57" s="14"/>
      <c r="D57" s="14"/>
      <c r="E57" s="14"/>
      <c r="F57" s="14"/>
      <c r="G57" s="223"/>
      <c r="H57" s="217"/>
      <c r="I57" s="50"/>
    </row>
    <row r="58" spans="1:9" ht="15.75">
      <c r="A58" s="56"/>
      <c r="B58" s="12" t="s">
        <v>33</v>
      </c>
      <c r="C58" s="393" t="s">
        <v>79</v>
      </c>
      <c r="D58" s="393"/>
      <c r="E58" s="393"/>
      <c r="F58" s="393"/>
      <c r="G58" s="221"/>
      <c r="H58" s="217"/>
      <c r="I58" s="50"/>
    </row>
    <row r="59" spans="1:9" ht="30" customHeight="1">
      <c r="A59" s="14"/>
      <c r="B59" s="14"/>
      <c r="C59" s="14" t="s">
        <v>25</v>
      </c>
      <c r="D59" s="398" t="s">
        <v>433</v>
      </c>
      <c r="E59" s="398"/>
      <c r="F59" s="398"/>
      <c r="G59" s="223">
        <v>46400</v>
      </c>
      <c r="H59" s="217">
        <v>46400</v>
      </c>
      <c r="I59" s="50">
        <f>H59/G59*100</f>
        <v>100</v>
      </c>
    </row>
    <row r="60" spans="1:9" ht="21" customHeight="1">
      <c r="A60" s="14"/>
      <c r="B60" s="14"/>
      <c r="C60" s="14" t="s">
        <v>16</v>
      </c>
      <c r="D60" s="14" t="s">
        <v>441</v>
      </c>
      <c r="E60" s="14"/>
      <c r="F60" s="14"/>
      <c r="G60" s="223"/>
      <c r="H60" s="217">
        <f>259101+268437+216550</f>
        <v>744088</v>
      </c>
      <c r="I60" s="50"/>
    </row>
    <row r="61" spans="1:9" ht="21" customHeight="1">
      <c r="A61" s="14"/>
      <c r="B61" s="14"/>
      <c r="C61" s="14" t="s">
        <v>518</v>
      </c>
      <c r="D61" s="14"/>
      <c r="E61" s="14"/>
      <c r="F61" s="14"/>
      <c r="G61" s="223"/>
      <c r="H61" s="217">
        <v>513804</v>
      </c>
      <c r="I61" s="50"/>
    </row>
    <row r="62" spans="1:9" ht="21" customHeight="1">
      <c r="A62" s="14"/>
      <c r="B62" s="14"/>
      <c r="C62" s="14" t="s">
        <v>519</v>
      </c>
      <c r="D62" s="14"/>
      <c r="E62" s="14"/>
      <c r="F62" s="14"/>
      <c r="G62" s="223"/>
      <c r="H62" s="217">
        <v>100000</v>
      </c>
      <c r="I62" s="50"/>
    </row>
    <row r="63" spans="1:9" ht="15.75" customHeight="1">
      <c r="A63" s="56"/>
      <c r="B63" s="393" t="s">
        <v>80</v>
      </c>
      <c r="C63" s="393"/>
      <c r="D63" s="393"/>
      <c r="E63" s="393"/>
      <c r="F63" s="393"/>
      <c r="G63" s="225">
        <f>SUM(G59:G60)</f>
        <v>46400</v>
      </c>
      <c r="H63" s="225">
        <f>SUM(H59:H62)</f>
        <v>1404292</v>
      </c>
      <c r="I63" s="361">
        <f>H63/G63*100</f>
        <v>3026.491379310345</v>
      </c>
    </row>
    <row r="64" spans="1:9" ht="36" customHeight="1">
      <c r="A64" s="393" t="s">
        <v>81</v>
      </c>
      <c r="B64" s="393"/>
      <c r="C64" s="393"/>
      <c r="D64" s="393"/>
      <c r="E64" s="393"/>
      <c r="F64" s="393"/>
      <c r="G64" s="226">
        <f>G63+G56</f>
        <v>35488868</v>
      </c>
      <c r="H64" s="226">
        <f>H63+H56</f>
        <v>33388849</v>
      </c>
      <c r="I64" s="361">
        <f>H64/G64*100</f>
        <v>94.08259795719604</v>
      </c>
    </row>
    <row r="65" spans="1:9" s="38" customFormat="1" ht="32.25" customHeight="1">
      <c r="A65" s="12" t="s">
        <v>33</v>
      </c>
      <c r="B65" s="393" t="s">
        <v>82</v>
      </c>
      <c r="C65" s="393"/>
      <c r="D65" s="393"/>
      <c r="E65" s="393"/>
      <c r="F65" s="393"/>
      <c r="G65" s="226"/>
      <c r="H65" s="221"/>
      <c r="I65" s="50"/>
    </row>
    <row r="66" spans="1:9" ht="20.25" customHeight="1">
      <c r="A66" s="58"/>
      <c r="B66" s="58"/>
      <c r="C66" s="58" t="s">
        <v>25</v>
      </c>
      <c r="D66" s="389" t="s">
        <v>478</v>
      </c>
      <c r="E66" s="397"/>
      <c r="F66" s="397"/>
      <c r="G66" s="362"/>
      <c r="H66" s="362">
        <v>15833638</v>
      </c>
      <c r="I66" s="50"/>
    </row>
    <row r="67" spans="1:9" ht="20.25" customHeight="1">
      <c r="A67" s="58"/>
      <c r="B67" s="58"/>
      <c r="C67" s="58" t="s">
        <v>430</v>
      </c>
      <c r="D67" s="389" t="s">
        <v>503</v>
      </c>
      <c r="E67" s="390"/>
      <c r="F67" s="390"/>
      <c r="G67" s="362"/>
      <c r="H67" s="362">
        <v>14547890</v>
      </c>
      <c r="I67" s="50"/>
    </row>
    <row r="68" spans="1:9" ht="20.25" customHeight="1">
      <c r="A68" s="58"/>
      <c r="B68" s="58"/>
      <c r="C68" s="58" t="s">
        <v>434</v>
      </c>
      <c r="D68" s="389" t="s">
        <v>479</v>
      </c>
      <c r="E68" s="390"/>
      <c r="F68" s="390"/>
      <c r="G68" s="362"/>
      <c r="H68" s="362">
        <v>2918584</v>
      </c>
      <c r="I68" s="50"/>
    </row>
    <row r="69" spans="1:9" ht="20.25" customHeight="1">
      <c r="A69" s="58"/>
      <c r="B69" s="58"/>
      <c r="C69" s="58" t="s">
        <v>69</v>
      </c>
      <c r="D69" s="389" t="s">
        <v>504</v>
      </c>
      <c r="E69" s="390"/>
      <c r="F69" s="390"/>
      <c r="G69" s="362"/>
      <c r="H69" s="362">
        <v>4988001</v>
      </c>
      <c r="I69" s="50"/>
    </row>
    <row r="70" spans="1:9" ht="20.25" customHeight="1">
      <c r="A70" s="58"/>
      <c r="B70" s="58"/>
      <c r="C70" s="58" t="s">
        <v>70</v>
      </c>
      <c r="D70" s="389" t="s">
        <v>505</v>
      </c>
      <c r="E70" s="390"/>
      <c r="F70" s="390"/>
      <c r="G70" s="362"/>
      <c r="H70" s="362">
        <f>77988095+1999880</f>
        <v>79987975</v>
      </c>
      <c r="I70" s="50"/>
    </row>
    <row r="71" spans="1:9" ht="35.25" customHeight="1">
      <c r="A71" s="393" t="s">
        <v>82</v>
      </c>
      <c r="B71" s="393"/>
      <c r="C71" s="393"/>
      <c r="D71" s="393"/>
      <c r="E71" s="393"/>
      <c r="F71" s="390"/>
      <c r="G71" s="362"/>
      <c r="H71" s="225">
        <f>SUM(H66:H70)</f>
        <v>118276088</v>
      </c>
      <c r="I71" s="50"/>
    </row>
    <row r="72" spans="1:9" ht="15.75">
      <c r="A72" s="12" t="s">
        <v>34</v>
      </c>
      <c r="B72" s="12" t="s">
        <v>83</v>
      </c>
      <c r="C72" s="12"/>
      <c r="D72" s="12"/>
      <c r="E72" s="12"/>
      <c r="F72" s="12"/>
      <c r="G72" s="227"/>
      <c r="H72" s="228"/>
      <c r="I72" s="50"/>
    </row>
    <row r="73" spans="1:9" ht="12" customHeight="1">
      <c r="A73" s="14"/>
      <c r="B73" s="14"/>
      <c r="C73" s="14"/>
      <c r="D73" s="14"/>
      <c r="E73" s="14"/>
      <c r="F73" s="14"/>
      <c r="G73" s="223"/>
      <c r="H73" s="223"/>
      <c r="I73" s="50"/>
    </row>
    <row r="74" spans="1:9" ht="15.75">
      <c r="A74" s="14"/>
      <c r="B74" s="14" t="s">
        <v>25</v>
      </c>
      <c r="C74" s="14" t="s">
        <v>84</v>
      </c>
      <c r="D74" s="14"/>
      <c r="E74" s="14"/>
      <c r="F74" s="14"/>
      <c r="G74" s="229"/>
      <c r="H74" s="223"/>
      <c r="I74" s="50"/>
    </row>
    <row r="75" spans="1:9" ht="15.75">
      <c r="A75" s="14"/>
      <c r="B75" s="14"/>
      <c r="C75" s="14" t="s">
        <v>25</v>
      </c>
      <c r="D75" s="14" t="s">
        <v>85</v>
      </c>
      <c r="E75" s="14"/>
      <c r="F75" s="14"/>
      <c r="G75" s="223">
        <v>1500000</v>
      </c>
      <c r="H75" s="217">
        <v>1500000</v>
      </c>
      <c r="I75" s="50">
        <f>H75/G75*100</f>
        <v>100</v>
      </c>
    </row>
    <row r="76" spans="1:9" ht="15.75">
      <c r="A76" s="12"/>
      <c r="B76" s="12" t="s">
        <v>16</v>
      </c>
      <c r="C76" s="12" t="s">
        <v>86</v>
      </c>
      <c r="D76" s="12"/>
      <c r="E76" s="12"/>
      <c r="F76" s="12"/>
      <c r="G76" s="228"/>
      <c r="H76" s="217"/>
      <c r="I76" s="50"/>
    </row>
    <row r="77" spans="1:9" s="9" customFormat="1" ht="15.75">
      <c r="A77" s="14"/>
      <c r="B77" s="14"/>
      <c r="C77" s="14" t="s">
        <v>25</v>
      </c>
      <c r="D77" s="14" t="s">
        <v>87</v>
      </c>
      <c r="E77" s="14"/>
      <c r="F77" s="14"/>
      <c r="G77" s="223">
        <v>3900000</v>
      </c>
      <c r="H77" s="345">
        <v>3900000</v>
      </c>
      <c r="I77" s="50">
        <f>H77/G77*100</f>
        <v>100</v>
      </c>
    </row>
    <row r="78" spans="1:9" ht="15.75">
      <c r="A78" s="12"/>
      <c r="B78" s="12" t="s">
        <v>26</v>
      </c>
      <c r="C78" s="12" t="s">
        <v>88</v>
      </c>
      <c r="D78" s="12"/>
      <c r="E78" s="12"/>
      <c r="F78" s="12"/>
      <c r="G78" s="228"/>
      <c r="H78" s="217"/>
      <c r="I78" s="50"/>
    </row>
    <row r="79" spans="1:9" ht="15.75">
      <c r="A79" s="14"/>
      <c r="B79" s="14"/>
      <c r="C79" s="14" t="s">
        <v>25</v>
      </c>
      <c r="D79" s="14" t="s">
        <v>89</v>
      </c>
      <c r="E79" s="14"/>
      <c r="F79" s="14"/>
      <c r="G79" s="223">
        <v>1913000</v>
      </c>
      <c r="H79" s="217">
        <v>1913000</v>
      </c>
      <c r="I79" s="50">
        <f>H79/G79*100</f>
        <v>100</v>
      </c>
    </row>
    <row r="80" spans="1:9" ht="15.75">
      <c r="A80" s="14"/>
      <c r="B80" s="12" t="s">
        <v>69</v>
      </c>
      <c r="C80" s="12" t="s">
        <v>90</v>
      </c>
      <c r="D80" s="14"/>
      <c r="E80" s="14"/>
      <c r="F80" s="14"/>
      <c r="G80" s="223"/>
      <c r="H80" s="217"/>
      <c r="I80" s="50"/>
    </row>
    <row r="81" spans="1:9" ht="15.75">
      <c r="A81" s="14"/>
      <c r="B81" s="14"/>
      <c r="C81" s="14" t="s">
        <v>25</v>
      </c>
      <c r="D81" s="14" t="s">
        <v>91</v>
      </c>
      <c r="E81" s="14"/>
      <c r="F81" s="14"/>
      <c r="G81" s="223">
        <v>140000</v>
      </c>
      <c r="H81" s="217">
        <v>140000</v>
      </c>
      <c r="I81" s="50">
        <f>H81/G81*100</f>
        <v>100</v>
      </c>
    </row>
    <row r="82" spans="1:9" ht="15.75">
      <c r="A82" s="14"/>
      <c r="B82" s="14"/>
      <c r="C82" s="14"/>
      <c r="D82" s="14"/>
      <c r="E82" s="14"/>
      <c r="F82" s="14"/>
      <c r="G82" s="223"/>
      <c r="H82" s="217"/>
      <c r="I82" s="50"/>
    </row>
    <row r="83" spans="1:9" ht="15.75">
      <c r="A83" s="14"/>
      <c r="B83" s="14"/>
      <c r="C83" s="12" t="s">
        <v>16</v>
      </c>
      <c r="D83" s="14" t="s">
        <v>50</v>
      </c>
      <c r="E83" s="14"/>
      <c r="F83" s="14"/>
      <c r="G83" s="223">
        <v>280000</v>
      </c>
      <c r="H83" s="217">
        <v>280000</v>
      </c>
      <c r="I83" s="50">
        <f>H83/G83*100</f>
        <v>100</v>
      </c>
    </row>
    <row r="84" spans="1:9" ht="15.75">
      <c r="A84" s="12"/>
      <c r="B84" s="12" t="s">
        <v>70</v>
      </c>
      <c r="C84" s="12" t="s">
        <v>92</v>
      </c>
      <c r="D84" s="12"/>
      <c r="E84" s="12"/>
      <c r="F84" s="12"/>
      <c r="G84" s="228"/>
      <c r="H84" s="217"/>
      <c r="I84" s="50"/>
    </row>
    <row r="85" spans="1:9" ht="15.75">
      <c r="A85" s="14"/>
      <c r="B85" s="14"/>
      <c r="C85" s="12" t="s">
        <v>25</v>
      </c>
      <c r="D85" s="14" t="s">
        <v>93</v>
      </c>
      <c r="E85" s="14"/>
      <c r="F85" s="14"/>
      <c r="G85" s="223">
        <v>5000</v>
      </c>
      <c r="H85" s="217">
        <v>5000</v>
      </c>
      <c r="I85" s="50">
        <f>H85/G85*100</f>
        <v>100</v>
      </c>
    </row>
    <row r="86" spans="1:9" ht="15.75" customHeight="1">
      <c r="A86" s="56"/>
      <c r="B86" s="56"/>
      <c r="C86" s="56" t="s">
        <v>26</v>
      </c>
      <c r="D86" s="59" t="s">
        <v>92</v>
      </c>
      <c r="E86" s="56"/>
      <c r="F86" s="56"/>
      <c r="G86" s="224"/>
      <c r="H86" s="217"/>
      <c r="I86" s="50"/>
    </row>
    <row r="87" spans="1:9" ht="15.75">
      <c r="A87" s="14"/>
      <c r="B87" s="14"/>
      <c r="C87" s="12" t="s">
        <v>69</v>
      </c>
      <c r="D87" s="14" t="s">
        <v>94</v>
      </c>
      <c r="E87" s="14"/>
      <c r="F87" s="14"/>
      <c r="G87" s="223">
        <v>75000</v>
      </c>
      <c r="H87" s="217">
        <v>75000</v>
      </c>
      <c r="I87" s="50">
        <f>H87/G87*100</f>
        <v>100</v>
      </c>
    </row>
    <row r="88" spans="1:9" ht="9" customHeight="1">
      <c r="A88" s="56"/>
      <c r="B88" s="56"/>
      <c r="C88" s="56"/>
      <c r="D88" s="56"/>
      <c r="E88" s="56"/>
      <c r="F88" s="56"/>
      <c r="G88" s="224"/>
      <c r="H88" s="217"/>
      <c r="I88" s="50"/>
    </row>
    <row r="89" spans="1:9" s="9" customFormat="1" ht="15.75">
      <c r="A89" s="12" t="s">
        <v>42</v>
      </c>
      <c r="B89" s="56"/>
      <c r="C89" s="56"/>
      <c r="D89" s="56"/>
      <c r="E89" s="56"/>
      <c r="F89" s="56"/>
      <c r="G89" s="225">
        <f>G75+G77+G79+G81+G83+G85+G86+G87</f>
        <v>7813000</v>
      </c>
      <c r="H89" s="225">
        <f>H75+H77+H79+H81+H83+H85+H86+H87</f>
        <v>7813000</v>
      </c>
      <c r="I89" s="361">
        <f>H89/G89*100</f>
        <v>100</v>
      </c>
    </row>
    <row r="90" spans="1:9" ht="12.75" customHeight="1">
      <c r="A90" s="56"/>
      <c r="B90" s="56"/>
      <c r="C90" s="56"/>
      <c r="D90" s="56"/>
      <c r="E90" s="56"/>
      <c r="F90" s="56"/>
      <c r="G90" s="224"/>
      <c r="H90" s="224"/>
      <c r="I90" s="50"/>
    </row>
    <row r="91" spans="1:9" ht="15.75">
      <c r="A91" s="12" t="s">
        <v>95</v>
      </c>
      <c r="B91" s="12" t="s">
        <v>36</v>
      </c>
      <c r="C91" s="12"/>
      <c r="D91" s="12"/>
      <c r="E91" s="12"/>
      <c r="F91" s="12"/>
      <c r="G91" s="227"/>
      <c r="H91" s="228"/>
      <c r="I91" s="50"/>
    </row>
    <row r="92" spans="1:9" ht="15.75">
      <c r="A92" s="56"/>
      <c r="B92" s="56" t="s">
        <v>25</v>
      </c>
      <c r="C92" s="396" t="s">
        <v>96</v>
      </c>
      <c r="D92" s="396"/>
      <c r="E92" s="396"/>
      <c r="F92" s="396"/>
      <c r="G92" s="224"/>
      <c r="H92" s="224"/>
      <c r="I92" s="50"/>
    </row>
    <row r="93" spans="1:9" ht="15.75">
      <c r="A93" s="56"/>
      <c r="B93" s="56"/>
      <c r="C93" s="56" t="s">
        <v>25</v>
      </c>
      <c r="D93" s="59" t="s">
        <v>107</v>
      </c>
      <c r="E93" s="59"/>
      <c r="F93" s="59"/>
      <c r="G93" s="224">
        <v>82942</v>
      </c>
      <c r="H93" s="217">
        <v>282128</v>
      </c>
      <c r="I93" s="50">
        <f>H93/G93*100</f>
        <v>340.150948855827</v>
      </c>
    </row>
    <row r="94" spans="1:9" ht="15.75">
      <c r="A94" s="56"/>
      <c r="B94" s="56"/>
      <c r="C94" s="56" t="s">
        <v>16</v>
      </c>
      <c r="D94" s="59" t="s">
        <v>99</v>
      </c>
      <c r="E94" s="59"/>
      <c r="F94" s="59"/>
      <c r="G94" s="224"/>
      <c r="H94" s="291"/>
      <c r="I94" s="50"/>
    </row>
    <row r="95" spans="1:9" ht="15.75">
      <c r="A95" s="56"/>
      <c r="B95" s="56"/>
      <c r="C95" s="56"/>
      <c r="D95" s="59" t="s">
        <v>25</v>
      </c>
      <c r="E95" s="59" t="s">
        <v>100</v>
      </c>
      <c r="F95" s="59"/>
      <c r="G95" s="224">
        <v>20000</v>
      </c>
      <c r="H95" s="217">
        <v>20000</v>
      </c>
      <c r="I95" s="50">
        <f>H95/G95*100</f>
        <v>100</v>
      </c>
    </row>
    <row r="96" spans="1:9" ht="15.75">
      <c r="A96" s="56"/>
      <c r="B96" s="56"/>
      <c r="C96" s="56"/>
      <c r="D96" s="59" t="s">
        <v>16</v>
      </c>
      <c r="E96" s="59" t="s">
        <v>101</v>
      </c>
      <c r="F96" s="59"/>
      <c r="G96" s="224">
        <v>820000</v>
      </c>
      <c r="H96" s="217">
        <v>64680</v>
      </c>
      <c r="I96" s="50">
        <f>H96/G96*100</f>
        <v>7.88780487804878</v>
      </c>
    </row>
    <row r="97" spans="1:9" ht="15.75">
      <c r="A97" s="56"/>
      <c r="B97" s="56"/>
      <c r="C97" s="56"/>
      <c r="D97" s="59" t="s">
        <v>26</v>
      </c>
      <c r="E97" s="59" t="s">
        <v>102</v>
      </c>
      <c r="F97" s="59"/>
      <c r="G97" s="224">
        <v>2000</v>
      </c>
      <c r="H97" s="217">
        <v>2000</v>
      </c>
      <c r="I97" s="50">
        <f>H97/G97*100</f>
        <v>100</v>
      </c>
    </row>
    <row r="98" spans="1:9" ht="15.75">
      <c r="A98" s="56"/>
      <c r="B98" s="56"/>
      <c r="C98" s="56"/>
      <c r="D98" s="59" t="s">
        <v>69</v>
      </c>
      <c r="E98" s="59" t="s">
        <v>103</v>
      </c>
      <c r="F98" s="59"/>
      <c r="G98" s="224">
        <v>85179</v>
      </c>
      <c r="H98" s="217">
        <v>203028</v>
      </c>
      <c r="I98" s="50">
        <f>H98/G98*100</f>
        <v>238.35452400239495</v>
      </c>
    </row>
    <row r="99" spans="1:9" ht="15.75">
      <c r="A99" s="56"/>
      <c r="B99" s="56"/>
      <c r="C99" s="56" t="s">
        <v>26</v>
      </c>
      <c r="D99" s="59" t="s">
        <v>123</v>
      </c>
      <c r="E99" s="59"/>
      <c r="F99" s="59"/>
      <c r="G99" s="224"/>
      <c r="H99" s="291"/>
      <c r="I99" s="50"/>
    </row>
    <row r="100" spans="1:9" ht="15.75">
      <c r="A100" s="56"/>
      <c r="B100" s="56"/>
      <c r="D100" s="56" t="s">
        <v>25</v>
      </c>
      <c r="E100" s="59" t="s">
        <v>97</v>
      </c>
      <c r="F100" s="56"/>
      <c r="G100" s="224">
        <v>41000</v>
      </c>
      <c r="H100" s="217">
        <v>41000</v>
      </c>
      <c r="I100" s="50">
        <f>H100/G100*100</f>
        <v>100</v>
      </c>
    </row>
    <row r="101" spans="1:9" ht="15.75">
      <c r="A101" s="56"/>
      <c r="B101" s="56"/>
      <c r="D101" s="56" t="s">
        <v>16</v>
      </c>
      <c r="E101" s="59" t="s">
        <v>98</v>
      </c>
      <c r="F101" s="59"/>
      <c r="G101" s="224">
        <v>274498</v>
      </c>
      <c r="H101" s="217">
        <v>411746</v>
      </c>
      <c r="I101" s="50">
        <f>H101/G101*100</f>
        <v>149.99963569862075</v>
      </c>
    </row>
    <row r="102" spans="4:9" ht="15.75">
      <c r="D102" s="30" t="s">
        <v>26</v>
      </c>
      <c r="E102" s="59" t="s">
        <v>43</v>
      </c>
      <c r="G102" s="224">
        <v>521023</v>
      </c>
      <c r="H102" s="217">
        <v>521023</v>
      </c>
      <c r="I102" s="50">
        <f>H102/G102*100</f>
        <v>100</v>
      </c>
    </row>
    <row r="103" spans="1:9" ht="15.75">
      <c r="A103" s="56"/>
      <c r="B103" s="56" t="s">
        <v>16</v>
      </c>
      <c r="C103" s="59" t="s">
        <v>104</v>
      </c>
      <c r="D103" s="59"/>
      <c r="E103" s="59"/>
      <c r="F103" s="59"/>
      <c r="G103" s="224"/>
      <c r="H103" s="291"/>
      <c r="I103" s="50"/>
    </row>
    <row r="104" spans="1:9" ht="15.75">
      <c r="A104" s="56"/>
      <c r="B104" s="56"/>
      <c r="C104" s="56" t="s">
        <v>25</v>
      </c>
      <c r="D104" s="59" t="s">
        <v>105</v>
      </c>
      <c r="E104" s="59"/>
      <c r="F104" s="59"/>
      <c r="G104" s="224">
        <v>4099152</v>
      </c>
      <c r="H104" s="217">
        <v>4156873</v>
      </c>
      <c r="I104" s="50">
        <f>H104/G104*100</f>
        <v>101.4081205088272</v>
      </c>
    </row>
    <row r="105" spans="1:9" ht="15.75">
      <c r="A105" s="56"/>
      <c r="B105" s="56" t="s">
        <v>26</v>
      </c>
      <c r="C105" s="59" t="s">
        <v>106</v>
      </c>
      <c r="D105" s="59"/>
      <c r="E105" s="59"/>
      <c r="F105" s="59"/>
      <c r="G105" s="224"/>
      <c r="H105" s="291"/>
      <c r="I105" s="50"/>
    </row>
    <row r="106" spans="1:9" ht="15.75">
      <c r="A106" s="56"/>
      <c r="B106" s="56"/>
      <c r="C106" s="56" t="s">
        <v>25</v>
      </c>
      <c r="D106" s="59" t="s">
        <v>49</v>
      </c>
      <c r="E106" s="59"/>
      <c r="F106" s="59"/>
      <c r="G106" s="224">
        <v>1267352</v>
      </c>
      <c r="H106" s="217">
        <v>1098372</v>
      </c>
      <c r="I106" s="50">
        <f aca="true" t="shared" si="0" ref="I106:I111">H106/G106*100</f>
        <v>86.66668770791382</v>
      </c>
    </row>
    <row r="107" spans="1:9" ht="15.75">
      <c r="A107" s="56"/>
      <c r="B107" s="56" t="s">
        <v>69</v>
      </c>
      <c r="C107" s="59" t="s">
        <v>108</v>
      </c>
      <c r="D107" s="56"/>
      <c r="E107" s="56"/>
      <c r="F107" s="56"/>
      <c r="G107" s="224">
        <v>1725879</v>
      </c>
      <c r="H107" s="217">
        <f>1818765-270</f>
        <v>1818495</v>
      </c>
      <c r="I107" s="50">
        <f t="shared" si="0"/>
        <v>105.36630899385182</v>
      </c>
    </row>
    <row r="108" spans="1:9" ht="15.75">
      <c r="A108" s="56"/>
      <c r="B108" s="56" t="s">
        <v>70</v>
      </c>
      <c r="C108" s="59" t="s">
        <v>109</v>
      </c>
      <c r="D108" s="56"/>
      <c r="E108" s="56"/>
      <c r="F108" s="56"/>
      <c r="G108" s="224">
        <v>1156821</v>
      </c>
      <c r="H108" s="217">
        <f>1004191+480029</f>
        <v>1484220</v>
      </c>
      <c r="I108" s="50">
        <f t="shared" si="0"/>
        <v>128.30161278192566</v>
      </c>
    </row>
    <row r="109" spans="1:9" ht="24.75" customHeight="1">
      <c r="A109" s="56"/>
      <c r="B109" s="56" t="s">
        <v>76</v>
      </c>
      <c r="C109" s="59" t="s">
        <v>110</v>
      </c>
      <c r="D109" s="56"/>
      <c r="E109" s="56"/>
      <c r="F109" s="56"/>
      <c r="G109" s="224">
        <v>2000</v>
      </c>
      <c r="H109" s="217">
        <v>2000</v>
      </c>
      <c r="I109" s="50">
        <f t="shared" si="0"/>
        <v>100</v>
      </c>
    </row>
    <row r="110" spans="1:9" ht="19.5" customHeight="1">
      <c r="A110" s="56"/>
      <c r="B110" s="249" t="s">
        <v>204</v>
      </c>
      <c r="C110" s="396" t="s">
        <v>342</v>
      </c>
      <c r="D110" s="396"/>
      <c r="E110" s="396"/>
      <c r="F110" s="396"/>
      <c r="G110" s="224"/>
      <c r="H110" s="217"/>
      <c r="I110" s="50"/>
    </row>
    <row r="111" spans="1:11" ht="15.75">
      <c r="A111" s="12" t="s">
        <v>15</v>
      </c>
      <c r="B111" s="56"/>
      <c r="C111" s="56"/>
      <c r="D111" s="56"/>
      <c r="E111" s="56"/>
      <c r="F111" s="56"/>
      <c r="G111" s="225">
        <f>SUM(G92:G110)</f>
        <v>10097846</v>
      </c>
      <c r="H111" s="335">
        <f>SUM(H92:H110)</f>
        <v>10105565</v>
      </c>
      <c r="I111" s="361">
        <f t="shared" si="0"/>
        <v>100.07644204516488</v>
      </c>
      <c r="K111" s="216"/>
    </row>
    <row r="112" spans="1:9" ht="1.5" customHeight="1">
      <c r="A112" s="56"/>
      <c r="B112" s="56"/>
      <c r="C112" s="56"/>
      <c r="D112" s="56"/>
      <c r="E112" s="56"/>
      <c r="F112" s="56"/>
      <c r="G112" s="224"/>
      <c r="H112" s="291"/>
      <c r="I112" s="50"/>
    </row>
    <row r="113" spans="1:9" ht="1.5" customHeight="1">
      <c r="A113" s="56"/>
      <c r="B113" s="56"/>
      <c r="C113" s="56"/>
      <c r="D113" s="56"/>
      <c r="E113" s="56"/>
      <c r="F113" s="56"/>
      <c r="G113" s="224"/>
      <c r="H113" s="291"/>
      <c r="I113" s="50"/>
    </row>
    <row r="114" spans="1:9" ht="1.5" customHeight="1">
      <c r="A114" s="56"/>
      <c r="B114" s="56"/>
      <c r="C114" s="56"/>
      <c r="D114" s="56"/>
      <c r="E114" s="56"/>
      <c r="F114" s="56"/>
      <c r="G114" s="224"/>
      <c r="H114" s="291"/>
      <c r="I114" s="50"/>
    </row>
    <row r="115" spans="1:9" ht="3.75" customHeight="1">
      <c r="A115" s="56"/>
      <c r="B115" s="56"/>
      <c r="C115" s="56"/>
      <c r="D115" s="56"/>
      <c r="E115" s="56"/>
      <c r="F115" s="56"/>
      <c r="G115" s="224"/>
      <c r="H115" s="291"/>
      <c r="I115" s="50"/>
    </row>
    <row r="116" spans="1:9" ht="15.75">
      <c r="A116" s="12" t="s">
        <v>41</v>
      </c>
      <c r="B116" s="12" t="s">
        <v>111</v>
      </c>
      <c r="C116" s="12"/>
      <c r="D116" s="12"/>
      <c r="E116" s="12"/>
      <c r="F116" s="12"/>
      <c r="G116" s="228"/>
      <c r="H116" s="291"/>
      <c r="I116" s="50"/>
    </row>
    <row r="117" spans="1:9" ht="15.75">
      <c r="A117" s="12"/>
      <c r="B117" s="12"/>
      <c r="C117" s="12"/>
      <c r="D117" s="12"/>
      <c r="E117" s="12"/>
      <c r="F117" s="12"/>
      <c r="G117" s="228"/>
      <c r="H117" s="291"/>
      <c r="I117" s="50"/>
    </row>
    <row r="118" spans="1:9" ht="59.25" customHeight="1">
      <c r="A118" s="14"/>
      <c r="B118" s="14" t="s">
        <v>25</v>
      </c>
      <c r="C118" s="389" t="s">
        <v>428</v>
      </c>
      <c r="D118" s="389"/>
      <c r="E118" s="389"/>
      <c r="F118" s="389"/>
      <c r="G118" s="222"/>
      <c r="H118" s="217"/>
      <c r="I118" s="50"/>
    </row>
    <row r="119" spans="1:9" ht="35.25" customHeight="1">
      <c r="A119" s="14"/>
      <c r="B119" s="14"/>
      <c r="C119" s="58" t="s">
        <v>25</v>
      </c>
      <c r="D119" s="389" t="s">
        <v>112</v>
      </c>
      <c r="E119" s="389"/>
      <c r="F119" s="389"/>
      <c r="G119" s="222">
        <v>121800</v>
      </c>
      <c r="H119" s="217">
        <v>346850</v>
      </c>
      <c r="I119" s="50">
        <f>H119/G119*100</f>
        <v>284.7701149425288</v>
      </c>
    </row>
    <row r="120" spans="1:9" ht="39.75" customHeight="1">
      <c r="A120" s="56"/>
      <c r="B120" s="56" t="s">
        <v>430</v>
      </c>
      <c r="C120" s="394" t="s">
        <v>431</v>
      </c>
      <c r="D120" s="390"/>
      <c r="E120" s="390"/>
      <c r="F120" s="390"/>
      <c r="G120" s="224"/>
      <c r="H120" s="217">
        <v>6000000</v>
      </c>
      <c r="I120" s="50"/>
    </row>
    <row r="121" spans="1:9" ht="15.75">
      <c r="A121" s="395" t="s">
        <v>113</v>
      </c>
      <c r="B121" s="395"/>
      <c r="C121" s="395"/>
      <c r="D121" s="395"/>
      <c r="E121" s="395"/>
      <c r="F121" s="395"/>
      <c r="G121" s="227">
        <f>SUM(G119:G120)</f>
        <v>121800</v>
      </c>
      <c r="H121" s="227">
        <f>SUM(H118:H120)</f>
        <v>6346850</v>
      </c>
      <c r="I121" s="361">
        <f>H121/G121*100</f>
        <v>5210.878489326766</v>
      </c>
    </row>
    <row r="122" spans="1:9" ht="14.25" customHeight="1">
      <c r="A122" s="56"/>
      <c r="B122" s="56"/>
      <c r="C122" s="56"/>
      <c r="D122" s="56"/>
      <c r="E122" s="56"/>
      <c r="F122" s="56"/>
      <c r="G122" s="224"/>
      <c r="H122" s="217"/>
      <c r="I122" s="50"/>
    </row>
    <row r="123" spans="1:9" ht="16.5">
      <c r="A123" s="61" t="s">
        <v>114</v>
      </c>
      <c r="B123" s="61"/>
      <c r="C123" s="61"/>
      <c r="D123" s="61"/>
      <c r="E123" s="61"/>
      <c r="F123" s="61"/>
      <c r="G123" s="227">
        <f>G121+G111+G89+G64</f>
        <v>53521514</v>
      </c>
      <c r="H123" s="227">
        <f>H121+H111+H89+H64+H65+H71</f>
        <v>175930352</v>
      </c>
      <c r="I123" s="361">
        <f>H123/G123*100</f>
        <v>328.7095951732606</v>
      </c>
    </row>
    <row r="124" spans="1:9" ht="16.5">
      <c r="A124" s="61"/>
      <c r="B124" s="61"/>
      <c r="C124" s="61"/>
      <c r="D124" s="61"/>
      <c r="E124" s="61"/>
      <c r="F124" s="61"/>
      <c r="G124" s="230"/>
      <c r="H124" s="217"/>
      <c r="I124" s="50"/>
    </row>
    <row r="125" spans="1:9" ht="15.75">
      <c r="A125" s="62" t="s">
        <v>115</v>
      </c>
      <c r="B125" s="393" t="s">
        <v>116</v>
      </c>
      <c r="C125" s="393"/>
      <c r="D125" s="393"/>
      <c r="E125" s="393"/>
      <c r="F125" s="393"/>
      <c r="G125" s="222"/>
      <c r="H125" s="217"/>
      <c r="I125" s="50"/>
    </row>
    <row r="126" spans="1:9" ht="15.75">
      <c r="A126" s="12"/>
      <c r="B126" s="47" t="s">
        <v>25</v>
      </c>
      <c r="C126" s="393" t="s">
        <v>117</v>
      </c>
      <c r="D126" s="393"/>
      <c r="E126" s="393"/>
      <c r="F126" s="393"/>
      <c r="G126" s="222"/>
      <c r="H126" s="217"/>
      <c r="I126" s="50"/>
    </row>
    <row r="127" spans="1:9" ht="36" customHeight="1">
      <c r="A127" s="12"/>
      <c r="B127" s="47"/>
      <c r="C127" s="58" t="s">
        <v>25</v>
      </c>
      <c r="D127" s="389" t="s">
        <v>419</v>
      </c>
      <c r="E127" s="389"/>
      <c r="F127" s="389"/>
      <c r="G127" s="222">
        <v>58277607</v>
      </c>
      <c r="H127" s="217">
        <v>4976007</v>
      </c>
      <c r="I127" s="50">
        <f>H127/G127*100</f>
        <v>8.538454573126176</v>
      </c>
    </row>
    <row r="128" spans="1:9" ht="16.5" customHeight="1">
      <c r="A128" s="14"/>
      <c r="B128" s="14"/>
      <c r="C128" s="14" t="s">
        <v>16</v>
      </c>
      <c r="D128" s="392" t="s">
        <v>351</v>
      </c>
      <c r="E128" s="392"/>
      <c r="F128" s="392"/>
      <c r="G128" s="223">
        <v>1417579</v>
      </c>
      <c r="H128" s="334">
        <v>1240566</v>
      </c>
      <c r="I128" s="50">
        <f>H128/G128*100</f>
        <v>87.51300632980595</v>
      </c>
    </row>
    <row r="129" spans="1:9" ht="16.5" customHeight="1">
      <c r="A129" s="14"/>
      <c r="B129" s="14"/>
      <c r="C129" s="14" t="s">
        <v>434</v>
      </c>
      <c r="D129" s="392" t="s">
        <v>435</v>
      </c>
      <c r="E129" s="390"/>
      <c r="F129" s="390"/>
      <c r="G129" s="223">
        <v>45351285</v>
      </c>
      <c r="H129" s="334">
        <f>109982+3000+18481786+933577</f>
        <v>19528345</v>
      </c>
      <c r="I129" s="50">
        <f>H129/G129*100</f>
        <v>43.06018010294526</v>
      </c>
    </row>
    <row r="130" spans="1:9" ht="16.5">
      <c r="A130" s="61" t="s">
        <v>116</v>
      </c>
      <c r="B130" s="61"/>
      <c r="C130" s="61"/>
      <c r="D130" s="61"/>
      <c r="E130" s="61"/>
      <c r="F130" s="61"/>
      <c r="G130" s="227">
        <f>G127+G128+G129</f>
        <v>105046471</v>
      </c>
      <c r="H130" s="227">
        <f>SUM(H127:H129)</f>
        <v>25744918</v>
      </c>
      <c r="I130" s="361">
        <f>H130/G130*100</f>
        <v>24.50812269552587</v>
      </c>
    </row>
    <row r="131" spans="1:9" ht="15" customHeight="1">
      <c r="A131" s="14"/>
      <c r="B131" s="14"/>
      <c r="C131" s="14"/>
      <c r="D131" s="14"/>
      <c r="E131" s="14"/>
      <c r="F131" s="14"/>
      <c r="G131" s="231"/>
      <c r="H131" s="229"/>
      <c r="I131" s="50"/>
    </row>
    <row r="132" spans="1:9" ht="18.75">
      <c r="A132" s="13" t="s">
        <v>118</v>
      </c>
      <c r="B132" s="13"/>
      <c r="C132" s="13"/>
      <c r="D132" s="13"/>
      <c r="E132" s="13"/>
      <c r="F132" s="13"/>
      <c r="G132" s="227">
        <f>G123+G130</f>
        <v>158567985</v>
      </c>
      <c r="H132" s="227">
        <f>H123+H130</f>
        <v>201675270</v>
      </c>
      <c r="I132" s="361">
        <f>H132/G132*100</f>
        <v>127.1853646875818</v>
      </c>
    </row>
    <row r="133" spans="7:9" ht="15.75">
      <c r="G133" s="216"/>
      <c r="H133" s="216"/>
      <c r="I133" s="50"/>
    </row>
    <row r="134" spans="7:9" ht="15.75">
      <c r="G134" s="216"/>
      <c r="H134" s="216"/>
      <c r="I134" s="50"/>
    </row>
    <row r="135" spans="7:8" ht="15.75">
      <c r="G135" s="216"/>
      <c r="H135" s="216"/>
    </row>
    <row r="136" spans="7:8" ht="15.75">
      <c r="G136" s="216"/>
      <c r="H136" s="216"/>
    </row>
    <row r="137" spans="7:8" ht="15.75">
      <c r="G137" s="216"/>
      <c r="H137" s="216"/>
    </row>
    <row r="138" spans="7:8" ht="15.75">
      <c r="G138" s="216"/>
      <c r="H138" s="216"/>
    </row>
    <row r="139" spans="7:8" ht="15.75">
      <c r="G139" s="216"/>
      <c r="H139" s="216"/>
    </row>
    <row r="140" spans="7:8" ht="15.75">
      <c r="G140" s="216"/>
      <c r="H140" s="216"/>
    </row>
    <row r="141" spans="7:8" ht="15.75">
      <c r="G141" s="216"/>
      <c r="H141" s="216"/>
    </row>
    <row r="142" spans="7:8" ht="15.75">
      <c r="G142" s="216"/>
      <c r="H142" s="216"/>
    </row>
    <row r="143" spans="7:8" ht="15.75">
      <c r="G143" s="216"/>
      <c r="H143" s="216"/>
    </row>
    <row r="144" spans="7:8" ht="15.75">
      <c r="G144" s="216"/>
      <c r="H144" s="216"/>
    </row>
    <row r="145" spans="7:8" ht="15.75">
      <c r="G145" s="216"/>
      <c r="H145" s="216"/>
    </row>
    <row r="146" spans="7:8" ht="15.75">
      <c r="G146" s="216"/>
      <c r="H146" s="216"/>
    </row>
    <row r="147" spans="7:8" ht="15.75">
      <c r="G147" s="216"/>
      <c r="H147" s="216"/>
    </row>
    <row r="148" spans="7:8" ht="15.75">
      <c r="G148" s="216"/>
      <c r="H148" s="216"/>
    </row>
    <row r="149" spans="7:8" ht="15.75">
      <c r="G149" s="216"/>
      <c r="H149" s="216"/>
    </row>
    <row r="150" spans="7:8" ht="15.75">
      <c r="G150" s="216"/>
      <c r="H150" s="216"/>
    </row>
    <row r="151" spans="7:8" ht="15.75">
      <c r="G151" s="216"/>
      <c r="H151" s="216"/>
    </row>
    <row r="152" spans="7:8" ht="15.75">
      <c r="G152" s="216"/>
      <c r="H152" s="216"/>
    </row>
    <row r="153" spans="7:8" ht="15.75">
      <c r="G153" s="216"/>
      <c r="H153" s="216"/>
    </row>
    <row r="154" spans="7:8" ht="15.75">
      <c r="G154" s="216"/>
      <c r="H154" s="216"/>
    </row>
    <row r="155" spans="7:8" ht="15.75">
      <c r="G155" s="216"/>
      <c r="H155" s="216"/>
    </row>
    <row r="156" spans="7:8" ht="15.75">
      <c r="G156" s="216"/>
      <c r="H156" s="216"/>
    </row>
    <row r="157" spans="7:8" ht="15.75">
      <c r="G157" s="216"/>
      <c r="H157" s="216"/>
    </row>
    <row r="158" spans="7:8" ht="15.75">
      <c r="G158" s="216"/>
      <c r="H158" s="216"/>
    </row>
    <row r="159" spans="7:8" ht="15.75">
      <c r="G159" s="216"/>
      <c r="H159" s="216"/>
    </row>
    <row r="160" spans="7:8" ht="15.75">
      <c r="G160" s="216"/>
      <c r="H160" s="216"/>
    </row>
    <row r="161" spans="7:8" ht="15.75">
      <c r="G161" s="216"/>
      <c r="H161" s="216"/>
    </row>
    <row r="162" spans="7:8" ht="15.75">
      <c r="G162" s="216"/>
      <c r="H162" s="216"/>
    </row>
    <row r="163" spans="7:8" ht="15.75">
      <c r="G163" s="216"/>
      <c r="H163" s="216"/>
    </row>
    <row r="164" spans="7:8" ht="15.75">
      <c r="G164" s="216"/>
      <c r="H164" s="216"/>
    </row>
    <row r="165" spans="7:8" ht="15.75">
      <c r="G165" s="216"/>
      <c r="H165" s="216"/>
    </row>
    <row r="166" spans="7:8" ht="15.75">
      <c r="G166" s="216"/>
      <c r="H166" s="216"/>
    </row>
    <row r="167" spans="7:8" ht="15.75">
      <c r="G167" s="216"/>
      <c r="H167" s="216"/>
    </row>
  </sheetData>
  <sheetProtection/>
  <mergeCells count="44">
    <mergeCell ref="D17:F17"/>
    <mergeCell ref="A9:I9"/>
    <mergeCell ref="B15:F15"/>
    <mergeCell ref="A11:F13"/>
    <mergeCell ref="A5:I5"/>
    <mergeCell ref="A6:I6"/>
    <mergeCell ref="A7:I7"/>
    <mergeCell ref="E18:F18"/>
    <mergeCell ref="D35:F35"/>
    <mergeCell ref="D38:F38"/>
    <mergeCell ref="D39:F39"/>
    <mergeCell ref="E41:F41"/>
    <mergeCell ref="A71:F71"/>
    <mergeCell ref="C46:F46"/>
    <mergeCell ref="D48:F48"/>
    <mergeCell ref="D67:F67"/>
    <mergeCell ref="D68:F68"/>
    <mergeCell ref="C58:F58"/>
    <mergeCell ref="D59:F59"/>
    <mergeCell ref="B63:F63"/>
    <mergeCell ref="E49:F49"/>
    <mergeCell ref="C51:F51"/>
    <mergeCell ref="D52:F52"/>
    <mergeCell ref="C54:F54"/>
    <mergeCell ref="D127:F127"/>
    <mergeCell ref="D119:F119"/>
    <mergeCell ref="A121:F121"/>
    <mergeCell ref="B125:F125"/>
    <mergeCell ref="A64:F64"/>
    <mergeCell ref="C92:F92"/>
    <mergeCell ref="B65:F65"/>
    <mergeCell ref="C110:F110"/>
    <mergeCell ref="D66:F66"/>
    <mergeCell ref="D69:F69"/>
    <mergeCell ref="D70:F70"/>
    <mergeCell ref="A4:I4"/>
    <mergeCell ref="A3:I3"/>
    <mergeCell ref="D129:F129"/>
    <mergeCell ref="B56:F56"/>
    <mergeCell ref="C120:F120"/>
    <mergeCell ref="D128:F128"/>
    <mergeCell ref="C118:F118"/>
    <mergeCell ref="C126:F126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31" customWidth="1"/>
    <col min="2" max="2" width="9.125" style="131" customWidth="1"/>
    <col min="3" max="3" width="61.125" style="131" customWidth="1"/>
    <col min="4" max="7" width="26.25390625" style="131" customWidth="1"/>
    <col min="8" max="16384" width="9.125" style="131" customWidth="1"/>
  </cols>
  <sheetData>
    <row r="1" spans="1:7" ht="15">
      <c r="A1" s="382" t="s">
        <v>522</v>
      </c>
      <c r="B1" s="383"/>
      <c r="C1" s="383"/>
      <c r="D1" s="383"/>
      <c r="E1" s="383"/>
      <c r="F1" s="383"/>
      <c r="G1" s="391"/>
    </row>
    <row r="2" spans="1:6" ht="15">
      <c r="A2" s="347"/>
      <c r="B2" s="326"/>
      <c r="C2" s="326"/>
      <c r="D2" s="326"/>
      <c r="E2" s="326"/>
      <c r="F2" s="326"/>
    </row>
    <row r="3" spans="1:7" s="123" customFormat="1" ht="15.75">
      <c r="A3" s="412" t="s">
        <v>436</v>
      </c>
      <c r="B3" s="388"/>
      <c r="C3" s="388"/>
      <c r="D3" s="388"/>
      <c r="E3" s="388"/>
      <c r="F3" s="388"/>
      <c r="G3" s="388"/>
    </row>
    <row r="4" spans="3:7" s="40" customFormat="1" ht="15" customHeight="1">
      <c r="C4" s="413"/>
      <c r="D4" s="413"/>
      <c r="E4" s="413"/>
      <c r="F4" s="413"/>
      <c r="G4" s="413"/>
    </row>
    <row r="5" spans="2:7" s="125" customFormat="1" ht="15" customHeight="1">
      <c r="B5" s="414"/>
      <c r="C5" s="414"/>
      <c r="D5" s="414"/>
      <c r="E5" s="414"/>
      <c r="F5" s="414"/>
      <c r="G5" s="414"/>
    </row>
    <row r="6" spans="2:7" s="79" customFormat="1" ht="15" customHeight="1">
      <c r="B6" s="414" t="s">
        <v>22</v>
      </c>
      <c r="C6" s="414"/>
      <c r="D6" s="414"/>
      <c r="E6" s="414"/>
      <c r="F6" s="414"/>
      <c r="G6" s="414"/>
    </row>
    <row r="7" spans="2:7" s="79" customFormat="1" ht="15.75" customHeight="1">
      <c r="B7" s="415" t="s">
        <v>245</v>
      </c>
      <c r="C7" s="415"/>
      <c r="D7" s="415"/>
      <c r="E7" s="415"/>
      <c r="F7" s="415"/>
      <c r="G7" s="415"/>
    </row>
    <row r="8" spans="3:7" s="79" customFormat="1" ht="15" customHeight="1">
      <c r="C8" s="414" t="s">
        <v>425</v>
      </c>
      <c r="D8" s="414"/>
      <c r="E8" s="414"/>
      <c r="F8" s="414"/>
      <c r="G8" s="414"/>
    </row>
    <row r="9" spans="3:7" s="123" customFormat="1" ht="12" customHeight="1" thickBot="1">
      <c r="C9" s="124"/>
      <c r="D9" s="128"/>
      <c r="E9" s="129"/>
      <c r="F9" s="129"/>
      <c r="G9" s="130"/>
    </row>
    <row r="10" spans="1:7" s="123" customFormat="1" ht="23.25" customHeight="1" thickBot="1">
      <c r="A10" s="416" t="s">
        <v>336</v>
      </c>
      <c r="B10" s="419" t="s">
        <v>147</v>
      </c>
      <c r="C10" s="422" t="s">
        <v>148</v>
      </c>
      <c r="D10" s="425" t="s">
        <v>246</v>
      </c>
      <c r="E10" s="428" t="s">
        <v>247</v>
      </c>
      <c r="F10" s="428"/>
      <c r="G10" s="429"/>
    </row>
    <row r="11" spans="1:7" s="123" customFormat="1" ht="39.75" customHeight="1" thickBot="1">
      <c r="A11" s="417"/>
      <c r="B11" s="420"/>
      <c r="C11" s="423"/>
      <c r="D11" s="426"/>
      <c r="E11" s="236" t="s">
        <v>248</v>
      </c>
      <c r="F11" s="237" t="s">
        <v>249</v>
      </c>
      <c r="G11" s="238" t="s">
        <v>250</v>
      </c>
    </row>
    <row r="12" spans="1:7" s="123" customFormat="1" ht="22.5" customHeight="1">
      <c r="A12" s="417"/>
      <c r="B12" s="420"/>
      <c r="C12" s="423"/>
      <c r="D12" s="426"/>
      <c r="E12" s="430" t="s">
        <v>251</v>
      </c>
      <c r="F12" s="431"/>
      <c r="G12" s="432"/>
    </row>
    <row r="13" spans="1:7" ht="21.75" customHeight="1" thickBot="1">
      <c r="A13" s="418"/>
      <c r="B13" s="421"/>
      <c r="C13" s="424"/>
      <c r="D13" s="427"/>
      <c r="E13" s="433"/>
      <c r="F13" s="434"/>
      <c r="G13" s="435"/>
    </row>
    <row r="14" spans="1:7" ht="30">
      <c r="A14" s="239" t="s">
        <v>25</v>
      </c>
      <c r="B14" s="232" t="s">
        <v>164</v>
      </c>
      <c r="C14" s="132" t="s">
        <v>165</v>
      </c>
      <c r="D14" s="133">
        <f>SUM(E14:G14)</f>
        <v>867654</v>
      </c>
      <c r="E14" s="133">
        <f>7000+262610+251194</f>
        <v>520804</v>
      </c>
      <c r="F14" s="133">
        <v>346850</v>
      </c>
      <c r="G14" s="134"/>
    </row>
    <row r="15" spans="1:7" ht="15">
      <c r="A15" s="235" t="s">
        <v>16</v>
      </c>
      <c r="B15" s="233" t="s">
        <v>166</v>
      </c>
      <c r="C15" s="74" t="s">
        <v>19</v>
      </c>
      <c r="D15" s="135">
        <f aca="true" t="shared" si="0" ref="D15:D25">SUM(E15:G15)</f>
        <v>51800</v>
      </c>
      <c r="E15" s="135">
        <v>51800</v>
      </c>
      <c r="F15" s="135"/>
      <c r="G15" s="136"/>
    </row>
    <row r="16" spans="1:7" ht="15">
      <c r="A16" s="235" t="s">
        <v>26</v>
      </c>
      <c r="B16" s="233" t="s">
        <v>167</v>
      </c>
      <c r="C16" s="74" t="s">
        <v>168</v>
      </c>
      <c r="D16" s="135">
        <f t="shared" si="0"/>
        <v>350466</v>
      </c>
      <c r="E16" s="135">
        <v>64680</v>
      </c>
      <c r="F16" s="135">
        <v>285786</v>
      </c>
      <c r="G16" s="136"/>
    </row>
    <row r="17" spans="1:7" ht="15">
      <c r="A17" s="235" t="s">
        <v>69</v>
      </c>
      <c r="B17" s="233" t="s">
        <v>252</v>
      </c>
      <c r="C17" s="74" t="s">
        <v>253</v>
      </c>
      <c r="D17" s="135">
        <f t="shared" si="0"/>
        <v>147342061</v>
      </c>
      <c r="E17" s="135">
        <f>31017138+76000-110720+330000+582930+89209+15833638+14547890+4988001+79987975</f>
        <v>147342061</v>
      </c>
      <c r="F17" s="135"/>
      <c r="G17" s="136"/>
    </row>
    <row r="18" spans="1:7" ht="15">
      <c r="A18" s="235" t="s">
        <v>70</v>
      </c>
      <c r="B18" s="233" t="s">
        <v>338</v>
      </c>
      <c r="C18" s="74" t="s">
        <v>339</v>
      </c>
      <c r="D18" s="135">
        <f t="shared" si="0"/>
        <v>24811341</v>
      </c>
      <c r="E18" s="135">
        <v>24811341</v>
      </c>
      <c r="F18" s="135"/>
      <c r="G18" s="136"/>
    </row>
    <row r="19" spans="1:7" ht="15">
      <c r="A19" s="235" t="s">
        <v>76</v>
      </c>
      <c r="B19" s="233" t="s">
        <v>340</v>
      </c>
      <c r="C19" s="74" t="s">
        <v>341</v>
      </c>
      <c r="D19" s="135">
        <f t="shared" si="0"/>
        <v>0</v>
      </c>
      <c r="E19" s="135">
        <f>15833638-15833638</f>
        <v>0</v>
      </c>
      <c r="F19" s="135"/>
      <c r="G19" s="136"/>
    </row>
    <row r="20" spans="1:7" ht="15">
      <c r="A20" s="235" t="s">
        <v>204</v>
      </c>
      <c r="B20" s="233" t="s">
        <v>171</v>
      </c>
      <c r="C20" s="74" t="s">
        <v>172</v>
      </c>
      <c r="D20" s="135">
        <f t="shared" si="0"/>
        <v>6283419</v>
      </c>
      <c r="E20" s="135">
        <v>6283419</v>
      </c>
      <c r="F20" s="135"/>
      <c r="G20" s="136"/>
    </row>
    <row r="21" spans="1:7" ht="15">
      <c r="A21" s="235" t="s">
        <v>206</v>
      </c>
      <c r="B21" s="233" t="s">
        <v>179</v>
      </c>
      <c r="C21" s="74" t="s">
        <v>180</v>
      </c>
      <c r="D21" s="135">
        <f t="shared" si="0"/>
        <v>6000000</v>
      </c>
      <c r="E21" s="135">
        <v>6000000</v>
      </c>
      <c r="F21" s="135"/>
      <c r="G21" s="136"/>
    </row>
    <row r="22" spans="1:7" ht="15">
      <c r="A22" s="235" t="s">
        <v>208</v>
      </c>
      <c r="B22" s="233" t="s">
        <v>181</v>
      </c>
      <c r="C22" s="74" t="s">
        <v>17</v>
      </c>
      <c r="D22" s="135">
        <f t="shared" si="0"/>
        <v>2918584</v>
      </c>
      <c r="E22" s="135">
        <v>2918584</v>
      </c>
      <c r="F22" s="135"/>
      <c r="G22" s="136"/>
    </row>
    <row r="23" spans="1:7" ht="18" customHeight="1">
      <c r="A23" s="235" t="s">
        <v>214</v>
      </c>
      <c r="B23" s="233" t="s">
        <v>317</v>
      </c>
      <c r="C23" s="74" t="s">
        <v>318</v>
      </c>
      <c r="D23" s="135">
        <f t="shared" si="0"/>
        <v>100000</v>
      </c>
      <c r="E23" s="135">
        <v>100000</v>
      </c>
      <c r="F23" s="135"/>
      <c r="G23" s="136"/>
    </row>
    <row r="24" spans="1:7" ht="15">
      <c r="A24" s="235" t="s">
        <v>216</v>
      </c>
      <c r="B24" s="234">
        <v>104051</v>
      </c>
      <c r="C24" s="74" t="s">
        <v>313</v>
      </c>
      <c r="D24" s="135">
        <f t="shared" si="0"/>
        <v>46400</v>
      </c>
      <c r="E24" s="135"/>
      <c r="F24" s="135"/>
      <c r="G24" s="136">
        <v>46400</v>
      </c>
    </row>
    <row r="25" spans="1:7" ht="30.75" thickBot="1">
      <c r="A25" s="378" t="s">
        <v>218</v>
      </c>
      <c r="B25" s="234">
        <v>900020</v>
      </c>
      <c r="C25" s="74" t="s">
        <v>258</v>
      </c>
      <c r="D25" s="135">
        <f t="shared" si="0"/>
        <v>7808000</v>
      </c>
      <c r="E25" s="135">
        <v>7808000</v>
      </c>
      <c r="F25" s="135"/>
      <c r="G25" s="136"/>
    </row>
    <row r="26" spans="1:7" ht="30" customHeight="1" thickBot="1">
      <c r="A26" s="331" t="s">
        <v>223</v>
      </c>
      <c r="B26" s="332"/>
      <c r="C26" s="322" t="s">
        <v>390</v>
      </c>
      <c r="D26" s="324">
        <f>SUM(D14:D25)</f>
        <v>196579725</v>
      </c>
      <c r="E26" s="324">
        <f>SUM(E14:E25)</f>
        <v>195900689</v>
      </c>
      <c r="F26" s="324">
        <f>SUM(F14:F25)</f>
        <v>632636</v>
      </c>
      <c r="G26" s="324">
        <f>SUM(G14:G25)</f>
        <v>46400</v>
      </c>
    </row>
    <row r="28" spans="1:7" ht="15">
      <c r="A28" s="235" t="s">
        <v>225</v>
      </c>
      <c r="B28" s="233" t="s">
        <v>338</v>
      </c>
      <c r="C28" s="74" t="s">
        <v>339</v>
      </c>
      <c r="D28" s="135">
        <f aca="true" t="shared" si="1" ref="D28:D33">SUM(E28:G28)</f>
        <v>933577</v>
      </c>
      <c r="E28" s="135">
        <v>933577</v>
      </c>
      <c r="F28" s="135"/>
      <c r="G28" s="136"/>
    </row>
    <row r="29" spans="1:7" ht="15">
      <c r="A29" s="235" t="s">
        <v>227</v>
      </c>
      <c r="B29" s="233" t="s">
        <v>388</v>
      </c>
      <c r="C29" s="74" t="s">
        <v>389</v>
      </c>
      <c r="D29" s="135">
        <f t="shared" si="1"/>
        <v>744088</v>
      </c>
      <c r="E29" s="135">
        <f>259101+268437+216550</f>
        <v>744088</v>
      </c>
      <c r="F29" s="135"/>
      <c r="G29" s="136"/>
    </row>
    <row r="30" spans="1:7" ht="15">
      <c r="A30" s="316" t="s">
        <v>234</v>
      </c>
      <c r="B30" s="233" t="s">
        <v>254</v>
      </c>
      <c r="C30" s="74" t="s">
        <v>255</v>
      </c>
      <c r="D30" s="135">
        <f t="shared" si="1"/>
        <v>634090</v>
      </c>
      <c r="E30" s="135">
        <v>634090</v>
      </c>
      <c r="F30" s="135"/>
      <c r="G30" s="136"/>
    </row>
    <row r="31" spans="1:7" ht="15">
      <c r="A31" s="316" t="s">
        <v>237</v>
      </c>
      <c r="B31" s="233" t="s">
        <v>256</v>
      </c>
      <c r="C31" s="74" t="s">
        <v>257</v>
      </c>
      <c r="D31" s="135">
        <f t="shared" si="1"/>
        <v>435147</v>
      </c>
      <c r="E31" s="135"/>
      <c r="F31" s="135">
        <v>435147</v>
      </c>
      <c r="G31" s="136"/>
    </row>
    <row r="32" spans="1:7" ht="15.75" thickBot="1">
      <c r="A32" s="316" t="s">
        <v>239</v>
      </c>
      <c r="B32" s="233" t="s">
        <v>256</v>
      </c>
      <c r="C32" s="76" t="s">
        <v>315</v>
      </c>
      <c r="D32" s="135">
        <f t="shared" si="1"/>
        <v>746229</v>
      </c>
      <c r="E32" s="135"/>
      <c r="F32" s="135">
        <v>746229</v>
      </c>
      <c r="G32" s="136"/>
    </row>
    <row r="33" spans="1:7" ht="15.75" thickBot="1">
      <c r="A33" s="137" t="s">
        <v>305</v>
      </c>
      <c r="B33" s="234" t="s">
        <v>188</v>
      </c>
      <c r="C33" s="296" t="s">
        <v>311</v>
      </c>
      <c r="D33" s="320">
        <f t="shared" si="1"/>
        <v>1602414</v>
      </c>
      <c r="E33" s="320">
        <v>1602414</v>
      </c>
      <c r="F33" s="320"/>
      <c r="G33" s="321"/>
    </row>
    <row r="34" spans="1:7" ht="15" thickBot="1">
      <c r="A34" s="137" t="s">
        <v>307</v>
      </c>
      <c r="B34" s="137"/>
      <c r="C34" s="309" t="s">
        <v>393</v>
      </c>
      <c r="D34" s="333">
        <f>D28+D31+D32+D33+D30+D29</f>
        <v>5095545</v>
      </c>
      <c r="E34" s="333">
        <f>E29+E30+E31+E32+E33+E28</f>
        <v>3914169</v>
      </c>
      <c r="F34" s="333">
        <f>F28+F31+F32+F33+F29+F30</f>
        <v>1181376</v>
      </c>
      <c r="G34" s="333"/>
    </row>
    <row r="35" spans="1:7" ht="16.5" thickBot="1">
      <c r="A35" s="336" t="s">
        <v>343</v>
      </c>
      <c r="B35" s="137"/>
      <c r="C35" s="310" t="s">
        <v>394</v>
      </c>
      <c r="D35" s="333">
        <f>D26+D34</f>
        <v>201675270</v>
      </c>
      <c r="E35" s="333">
        <f>E26+E34</f>
        <v>199814858</v>
      </c>
      <c r="F35" s="333">
        <f>F26+F34</f>
        <v>1814012</v>
      </c>
      <c r="G35" s="333">
        <f>G26+G34</f>
        <v>46400</v>
      </c>
    </row>
  </sheetData>
  <sheetProtection/>
  <mergeCells count="13">
    <mergeCell ref="A10:A13"/>
    <mergeCell ref="B10:B13"/>
    <mergeCell ref="C10:C13"/>
    <mergeCell ref="D10:D13"/>
    <mergeCell ref="E10:G10"/>
    <mergeCell ref="E12:G13"/>
    <mergeCell ref="A3:G3"/>
    <mergeCell ref="A1:G1"/>
    <mergeCell ref="C4:G4"/>
    <mergeCell ref="C8:G8"/>
    <mergeCell ref="B5:G5"/>
    <mergeCell ref="B6:G6"/>
    <mergeCell ref="B7:G7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48"/>
  <sheetViews>
    <sheetView zoomScalePageLayoutView="0" workbookViewId="0" topLeftCell="A1">
      <selection activeCell="B1" sqref="B1:T1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2.003906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463" t="s">
        <v>523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19" ht="15.75" customHeight="1">
      <c r="A2" s="412" t="s">
        <v>439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2:20" s="72" customFormat="1" ht="15.75" customHeight="1"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</row>
    <row r="4" spans="2:17" s="72" customFormat="1" ht="15.7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2:20" s="72" customFormat="1" ht="15.75" customHeight="1">
      <c r="B5" s="458" t="s">
        <v>22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</row>
    <row r="6" spans="2:20" s="72" customFormat="1" ht="15.75" customHeight="1">
      <c r="B6" s="458" t="s">
        <v>146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</row>
    <row r="7" spans="2:20" s="72" customFormat="1" ht="15.75" customHeight="1">
      <c r="B7" s="458" t="s">
        <v>422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</row>
    <row r="8" spans="19:20" s="72" customFormat="1" ht="15.75" thickBot="1">
      <c r="S8" s="462" t="s">
        <v>337</v>
      </c>
      <c r="T8" s="462"/>
    </row>
    <row r="9" spans="1:20" s="73" customFormat="1" ht="20.25" customHeight="1" thickBot="1">
      <c r="A9" s="455" t="s">
        <v>336</v>
      </c>
      <c r="B9" s="452" t="s">
        <v>147</v>
      </c>
      <c r="C9" s="449" t="s">
        <v>148</v>
      </c>
      <c r="D9" s="446" t="s">
        <v>149</v>
      </c>
      <c r="E9" s="473" t="s">
        <v>150</v>
      </c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5"/>
      <c r="S9" s="476" t="s">
        <v>3</v>
      </c>
      <c r="T9" s="477"/>
    </row>
    <row r="10" spans="1:20" s="73" customFormat="1" ht="38.25" customHeight="1" thickBot="1">
      <c r="A10" s="456"/>
      <c r="B10" s="453"/>
      <c r="C10" s="450"/>
      <c r="D10" s="447"/>
      <c r="E10" s="459" t="s">
        <v>44</v>
      </c>
      <c r="F10" s="460"/>
      <c r="G10" s="460"/>
      <c r="H10" s="460"/>
      <c r="I10" s="460"/>
      <c r="J10" s="461"/>
      <c r="K10" s="467" t="s">
        <v>45</v>
      </c>
      <c r="L10" s="468"/>
      <c r="M10" s="468"/>
      <c r="N10" s="469"/>
      <c r="O10" s="470" t="s">
        <v>151</v>
      </c>
      <c r="P10" s="471"/>
      <c r="Q10" s="471"/>
      <c r="R10" s="472"/>
      <c r="S10" s="438" t="s">
        <v>6</v>
      </c>
      <c r="T10" s="439"/>
    </row>
    <row r="11" spans="1:20" s="73" customFormat="1" ht="21" customHeight="1" thickBot="1">
      <c r="A11" s="456"/>
      <c r="B11" s="453"/>
      <c r="C11" s="450"/>
      <c r="D11" s="447"/>
      <c r="E11" s="446" t="s">
        <v>152</v>
      </c>
      <c r="F11" s="446" t="s">
        <v>153</v>
      </c>
      <c r="G11" s="446" t="s">
        <v>154</v>
      </c>
      <c r="H11" s="446" t="s">
        <v>155</v>
      </c>
      <c r="I11" s="446" t="s">
        <v>156</v>
      </c>
      <c r="J11" s="464" t="s">
        <v>157</v>
      </c>
      <c r="K11" s="440" t="s">
        <v>158</v>
      </c>
      <c r="L11" s="440" t="s">
        <v>46</v>
      </c>
      <c r="M11" s="446" t="s">
        <v>259</v>
      </c>
      <c r="N11" s="443" t="s">
        <v>260</v>
      </c>
      <c r="O11" s="446" t="s">
        <v>316</v>
      </c>
      <c r="P11" s="446" t="s">
        <v>159</v>
      </c>
      <c r="Q11" s="446" t="s">
        <v>160</v>
      </c>
      <c r="R11" s="443" t="s">
        <v>261</v>
      </c>
      <c r="S11" s="121" t="s">
        <v>161</v>
      </c>
      <c r="T11" s="122" t="s">
        <v>162</v>
      </c>
    </row>
    <row r="12" spans="1:20" s="73" customFormat="1" ht="18.75" customHeight="1">
      <c r="A12" s="456"/>
      <c r="B12" s="453"/>
      <c r="C12" s="450"/>
      <c r="D12" s="447"/>
      <c r="E12" s="447"/>
      <c r="F12" s="447"/>
      <c r="G12" s="447"/>
      <c r="H12" s="447"/>
      <c r="I12" s="447"/>
      <c r="J12" s="465"/>
      <c r="K12" s="441"/>
      <c r="L12" s="441"/>
      <c r="M12" s="447"/>
      <c r="N12" s="444"/>
      <c r="O12" s="447"/>
      <c r="P12" s="447"/>
      <c r="Q12" s="447"/>
      <c r="R12" s="444"/>
      <c r="S12" s="436" t="s">
        <v>163</v>
      </c>
      <c r="T12" s="437"/>
    </row>
    <row r="13" spans="1:20" s="73" customFormat="1" ht="20.25" customHeight="1" thickBot="1">
      <c r="A13" s="457"/>
      <c r="B13" s="454"/>
      <c r="C13" s="451"/>
      <c r="D13" s="448"/>
      <c r="E13" s="448"/>
      <c r="F13" s="448"/>
      <c r="G13" s="448"/>
      <c r="H13" s="448"/>
      <c r="I13" s="448"/>
      <c r="J13" s="466"/>
      <c r="K13" s="442"/>
      <c r="L13" s="442"/>
      <c r="M13" s="448"/>
      <c r="N13" s="445"/>
      <c r="O13" s="448"/>
      <c r="P13" s="448"/>
      <c r="Q13" s="448"/>
      <c r="R13" s="445"/>
      <c r="S13" s="438"/>
      <c r="T13" s="439"/>
    </row>
    <row r="14" spans="1:20" s="72" customFormat="1" ht="30">
      <c r="A14" s="283" t="s">
        <v>25</v>
      </c>
      <c r="B14" s="281" t="s">
        <v>164</v>
      </c>
      <c r="C14" s="74" t="s">
        <v>165</v>
      </c>
      <c r="D14" s="248">
        <f>J14+N14+P14+Q14</f>
        <v>40017948</v>
      </c>
      <c r="E14" s="240">
        <f>12211918+223498+213782</f>
        <v>12649198</v>
      </c>
      <c r="F14" s="241">
        <f>2546152+39112+37412</f>
        <v>2622676</v>
      </c>
      <c r="G14" s="241">
        <v>3576389</v>
      </c>
      <c r="H14" s="241"/>
      <c r="I14" s="241">
        <f>6548586-1200000+18481786+76000-110720-35560-418941-75000-74200+74200+330000+89209-2567275-50000</f>
        <v>21068085</v>
      </c>
      <c r="J14" s="242">
        <f aca="true" t="shared" si="0" ref="J14:J36">SUM(E14:I14)</f>
        <v>39916348</v>
      </c>
      <c r="K14" s="243">
        <v>101600</v>
      </c>
      <c r="L14" s="243"/>
      <c r="M14" s="243"/>
      <c r="N14" s="244">
        <f>SUM(K14:M14)</f>
        <v>101600</v>
      </c>
      <c r="O14" s="244"/>
      <c r="P14" s="245"/>
      <c r="Q14" s="246"/>
      <c r="R14" s="246"/>
      <c r="S14" s="285">
        <f>0.5+0.1+0.2-0.3</f>
        <v>0.5</v>
      </c>
      <c r="T14" s="286">
        <v>0.5</v>
      </c>
    </row>
    <row r="15" spans="1:20" s="72" customFormat="1" ht="15">
      <c r="A15" s="283" t="s">
        <v>16</v>
      </c>
      <c r="B15" s="233" t="s">
        <v>166</v>
      </c>
      <c r="C15" s="74" t="s">
        <v>19</v>
      </c>
      <c r="D15" s="248">
        <f aca="true" t="shared" si="1" ref="D15:D36">J15+N15+P15+Q15</f>
        <v>68150</v>
      </c>
      <c r="E15" s="240"/>
      <c r="F15" s="241"/>
      <c r="G15" s="241">
        <v>68150</v>
      </c>
      <c r="H15" s="241"/>
      <c r="I15" s="241"/>
      <c r="J15" s="242">
        <f t="shared" si="0"/>
        <v>68150</v>
      </c>
      <c r="K15" s="243"/>
      <c r="L15" s="243"/>
      <c r="M15" s="243"/>
      <c r="N15" s="244"/>
      <c r="O15" s="244"/>
      <c r="P15" s="245"/>
      <c r="Q15" s="246"/>
      <c r="R15" s="246"/>
      <c r="S15" s="287"/>
      <c r="T15" s="288"/>
    </row>
    <row r="16" spans="1:20" s="72" customFormat="1" ht="29.25" customHeight="1">
      <c r="A16" s="283" t="s">
        <v>26</v>
      </c>
      <c r="B16" s="233" t="s">
        <v>167</v>
      </c>
      <c r="C16" s="74" t="s">
        <v>168</v>
      </c>
      <c r="D16" s="248">
        <f>J16+N16+R16</f>
        <v>1482890</v>
      </c>
      <c r="E16" s="240"/>
      <c r="F16" s="241"/>
      <c r="G16" s="241">
        <v>282890</v>
      </c>
      <c r="H16" s="241"/>
      <c r="I16" s="241"/>
      <c r="J16" s="242">
        <f t="shared" si="0"/>
        <v>282890</v>
      </c>
      <c r="K16" s="243">
        <v>1200000</v>
      </c>
      <c r="L16" s="243"/>
      <c r="M16" s="243"/>
      <c r="N16" s="244">
        <f>SUM(K16:M16)</f>
        <v>1200000</v>
      </c>
      <c r="O16" s="244"/>
      <c r="P16" s="245"/>
      <c r="Q16" s="246"/>
      <c r="R16" s="246"/>
      <c r="S16" s="289"/>
      <c r="T16" s="288"/>
    </row>
    <row r="17" spans="1:20" s="72" customFormat="1" ht="30" customHeight="1">
      <c r="A17" s="283" t="s">
        <v>69</v>
      </c>
      <c r="B17" s="233" t="s">
        <v>252</v>
      </c>
      <c r="C17" s="74" t="s">
        <v>253</v>
      </c>
      <c r="D17" s="248">
        <f>J17+N17+R17</f>
        <v>1243566</v>
      </c>
      <c r="E17" s="240"/>
      <c r="F17" s="241"/>
      <c r="G17" s="241"/>
      <c r="H17" s="241"/>
      <c r="I17" s="241">
        <v>3000</v>
      </c>
      <c r="J17" s="242">
        <f t="shared" si="0"/>
        <v>3000</v>
      </c>
      <c r="K17" s="243"/>
      <c r="L17" s="243"/>
      <c r="M17" s="243"/>
      <c r="N17" s="244">
        <f>SUM(K17:M17)</f>
        <v>0</v>
      </c>
      <c r="O17" s="244">
        <v>1240566</v>
      </c>
      <c r="P17" s="245"/>
      <c r="Q17" s="246"/>
      <c r="R17" s="246">
        <f>O17+P17+Q17</f>
        <v>1240566</v>
      </c>
      <c r="S17" s="285"/>
      <c r="T17" s="288"/>
    </row>
    <row r="18" spans="1:20" s="72" customFormat="1" ht="18.75" customHeight="1">
      <c r="A18" s="283" t="s">
        <v>70</v>
      </c>
      <c r="B18" s="233" t="s">
        <v>388</v>
      </c>
      <c r="C18" s="74" t="s">
        <v>389</v>
      </c>
      <c r="D18" s="248">
        <f>J18+N18+R18</f>
        <v>0</v>
      </c>
      <c r="E18" s="240"/>
      <c r="F18" s="241"/>
      <c r="G18" s="241"/>
      <c r="H18" s="241"/>
      <c r="I18" s="241"/>
      <c r="J18" s="242">
        <f t="shared" si="0"/>
        <v>0</v>
      </c>
      <c r="K18" s="243"/>
      <c r="L18" s="243"/>
      <c r="M18" s="243"/>
      <c r="N18" s="244"/>
      <c r="O18" s="244"/>
      <c r="P18" s="245"/>
      <c r="Q18" s="246"/>
      <c r="R18" s="246"/>
      <c r="S18" s="285"/>
      <c r="T18" s="288"/>
    </row>
    <row r="19" spans="1:20" s="72" customFormat="1" ht="30" customHeight="1">
      <c r="A19" s="283" t="s">
        <v>76</v>
      </c>
      <c r="B19" s="233" t="s">
        <v>340</v>
      </c>
      <c r="C19" s="74" t="s">
        <v>341</v>
      </c>
      <c r="D19" s="248">
        <f>J19+N19+R19</f>
        <v>20042172</v>
      </c>
      <c r="E19" s="240"/>
      <c r="F19" s="241"/>
      <c r="G19" s="241">
        <v>127000</v>
      </c>
      <c r="H19" s="241"/>
      <c r="I19" s="241"/>
      <c r="J19" s="242">
        <f t="shared" si="0"/>
        <v>127000</v>
      </c>
      <c r="K19" s="243"/>
      <c r="L19" s="243">
        <f>2800007+11455031+3092859+2567275</f>
        <v>19915172</v>
      </c>
      <c r="M19" s="243"/>
      <c r="N19" s="244">
        <f>SUM(K19:M19)</f>
        <v>19915172</v>
      </c>
      <c r="O19" s="244"/>
      <c r="P19" s="245"/>
      <c r="Q19" s="246"/>
      <c r="R19" s="246"/>
      <c r="S19" s="285"/>
      <c r="T19" s="288"/>
    </row>
    <row r="20" spans="1:20" s="72" customFormat="1" ht="30">
      <c r="A20" s="283" t="s">
        <v>204</v>
      </c>
      <c r="B20" s="233" t="s">
        <v>169</v>
      </c>
      <c r="C20" s="74" t="s">
        <v>170</v>
      </c>
      <c r="D20" s="248">
        <f>J20+N20+P20+Q20</f>
        <v>26670</v>
      </c>
      <c r="E20" s="240"/>
      <c r="F20" s="241"/>
      <c r="G20" s="241">
        <v>26670</v>
      </c>
      <c r="H20" s="241"/>
      <c r="I20" s="241"/>
      <c r="J20" s="242">
        <f t="shared" si="0"/>
        <v>26670</v>
      </c>
      <c r="K20" s="243"/>
      <c r="L20" s="243"/>
      <c r="M20" s="243"/>
      <c r="N20" s="244">
        <f>SUM(K20:M20)</f>
        <v>0</v>
      </c>
      <c r="O20" s="244"/>
      <c r="P20" s="245"/>
      <c r="Q20" s="246"/>
      <c r="R20" s="246"/>
      <c r="S20" s="285"/>
      <c r="T20" s="288"/>
    </row>
    <row r="21" spans="1:20" s="72" customFormat="1" ht="15">
      <c r="A21" s="283" t="s">
        <v>206</v>
      </c>
      <c r="B21" s="233" t="s">
        <v>322</v>
      </c>
      <c r="C21" s="74" t="s">
        <v>323</v>
      </c>
      <c r="D21" s="248">
        <f>J21+N21+P21+Q21</f>
        <v>54864</v>
      </c>
      <c r="E21" s="240"/>
      <c r="F21" s="241"/>
      <c r="G21" s="241">
        <v>54864</v>
      </c>
      <c r="H21" s="241"/>
      <c r="I21" s="241"/>
      <c r="J21" s="242">
        <f t="shared" si="0"/>
        <v>54864</v>
      </c>
      <c r="K21" s="243"/>
      <c r="L21" s="243"/>
      <c r="M21" s="243"/>
      <c r="N21" s="244">
        <f>SUM(K21:M21)</f>
        <v>0</v>
      </c>
      <c r="O21" s="244"/>
      <c r="P21" s="245"/>
      <c r="Q21" s="246"/>
      <c r="R21" s="246"/>
      <c r="S21" s="285"/>
      <c r="T21" s="288"/>
    </row>
    <row r="22" spans="1:20" s="72" customFormat="1" ht="30">
      <c r="A22" s="283" t="s">
        <v>208</v>
      </c>
      <c r="B22" s="233" t="s">
        <v>171</v>
      </c>
      <c r="C22" s="74" t="s">
        <v>172</v>
      </c>
      <c r="D22" s="248">
        <f>J22+N22+P22+Q22</f>
        <v>6702360</v>
      </c>
      <c r="E22" s="240"/>
      <c r="F22" s="241"/>
      <c r="G22" s="241">
        <v>5775419</v>
      </c>
      <c r="H22" s="241"/>
      <c r="I22" s="241"/>
      <c r="J22" s="242">
        <f t="shared" si="0"/>
        <v>5775419</v>
      </c>
      <c r="K22" s="243"/>
      <c r="L22" s="243">
        <f>508000+418941</f>
        <v>926941</v>
      </c>
      <c r="M22" s="243"/>
      <c r="N22" s="244">
        <f>SUM(K22:M22)</f>
        <v>926941</v>
      </c>
      <c r="O22" s="244"/>
      <c r="P22" s="245"/>
      <c r="Q22" s="246"/>
      <c r="R22" s="246"/>
      <c r="S22" s="289"/>
      <c r="T22" s="288"/>
    </row>
    <row r="23" spans="1:20" s="72" customFormat="1" ht="15">
      <c r="A23" s="283" t="s">
        <v>214</v>
      </c>
      <c r="B23" s="233" t="s">
        <v>173</v>
      </c>
      <c r="C23" s="74" t="s">
        <v>174</v>
      </c>
      <c r="D23" s="248">
        <f>J23+N23+P23+Q23</f>
        <v>2000000</v>
      </c>
      <c r="E23" s="240"/>
      <c r="F23" s="241"/>
      <c r="G23" s="241"/>
      <c r="H23" s="241"/>
      <c r="I23" s="241"/>
      <c r="J23" s="242"/>
      <c r="K23" s="243"/>
      <c r="L23" s="243"/>
      <c r="M23" s="243">
        <v>2000000</v>
      </c>
      <c r="N23" s="244">
        <f>SUM(K23:M23)</f>
        <v>2000000</v>
      </c>
      <c r="O23" s="244"/>
      <c r="P23" s="245"/>
      <c r="Q23" s="246"/>
      <c r="R23" s="246"/>
      <c r="S23" s="289"/>
      <c r="T23" s="288"/>
    </row>
    <row r="24" spans="1:20" s="72" customFormat="1" ht="15">
      <c r="A24" s="283" t="s">
        <v>216</v>
      </c>
      <c r="B24" s="233" t="s">
        <v>175</v>
      </c>
      <c r="C24" s="74" t="s">
        <v>176</v>
      </c>
      <c r="D24" s="248">
        <f t="shared" si="1"/>
        <v>1910715</v>
      </c>
      <c r="E24" s="240"/>
      <c r="F24" s="241"/>
      <c r="G24" s="241">
        <v>1910715</v>
      </c>
      <c r="H24" s="243"/>
      <c r="I24" s="241"/>
      <c r="J24" s="242">
        <f t="shared" si="0"/>
        <v>1910715</v>
      </c>
      <c r="K24" s="243"/>
      <c r="L24" s="243"/>
      <c r="M24" s="243"/>
      <c r="N24" s="244"/>
      <c r="O24" s="244"/>
      <c r="P24" s="245"/>
      <c r="Q24" s="246"/>
      <c r="R24" s="246"/>
      <c r="S24" s="289"/>
      <c r="T24" s="288"/>
    </row>
    <row r="25" spans="1:20" s="72" customFormat="1" ht="15">
      <c r="A25" s="283" t="s">
        <v>218</v>
      </c>
      <c r="B25" s="233" t="s">
        <v>177</v>
      </c>
      <c r="C25" s="74" t="s">
        <v>178</v>
      </c>
      <c r="D25" s="248">
        <f t="shared" si="1"/>
        <v>381000</v>
      </c>
      <c r="E25" s="240"/>
      <c r="F25" s="241"/>
      <c r="G25" s="241">
        <v>381000</v>
      </c>
      <c r="H25" s="243"/>
      <c r="I25" s="241"/>
      <c r="J25" s="242">
        <f t="shared" si="0"/>
        <v>381000</v>
      </c>
      <c r="K25" s="243"/>
      <c r="L25" s="243"/>
      <c r="M25" s="243"/>
      <c r="N25" s="244"/>
      <c r="O25" s="244"/>
      <c r="P25" s="245"/>
      <c r="Q25" s="246"/>
      <c r="R25" s="246"/>
      <c r="S25" s="289"/>
      <c r="T25" s="288"/>
    </row>
    <row r="26" spans="1:20" s="72" customFormat="1" ht="22.5" customHeight="1">
      <c r="A26" s="283" t="s">
        <v>223</v>
      </c>
      <c r="B26" s="233" t="s">
        <v>179</v>
      </c>
      <c r="C26" s="74" t="s">
        <v>180</v>
      </c>
      <c r="D26" s="248">
        <f t="shared" si="1"/>
        <v>96752187</v>
      </c>
      <c r="E26" s="240">
        <v>2371000</v>
      </c>
      <c r="F26" s="241">
        <v>470445</v>
      </c>
      <c r="G26" s="241">
        <v>1082855</v>
      </c>
      <c r="H26" s="243"/>
      <c r="I26" s="241"/>
      <c r="J26" s="242">
        <f t="shared" si="0"/>
        <v>3924300</v>
      </c>
      <c r="K26" s="243">
        <f>7741929+109982+1999880</f>
        <v>9851791</v>
      </c>
      <c r="L26" s="243">
        <f>4988001+77988095</f>
        <v>82976096</v>
      </c>
      <c r="M26" s="243"/>
      <c r="N26" s="244">
        <f>SUM(K26:M26)</f>
        <v>92827887</v>
      </c>
      <c r="O26" s="244"/>
      <c r="P26" s="245"/>
      <c r="Q26" s="246"/>
      <c r="R26" s="246"/>
      <c r="S26" s="289">
        <v>1</v>
      </c>
      <c r="T26" s="288">
        <v>1</v>
      </c>
    </row>
    <row r="27" spans="1:20" s="72" customFormat="1" ht="15">
      <c r="A27" s="283" t="s">
        <v>225</v>
      </c>
      <c r="B27" s="233" t="s">
        <v>181</v>
      </c>
      <c r="C27" s="74" t="s">
        <v>17</v>
      </c>
      <c r="D27" s="248">
        <f t="shared" si="1"/>
        <v>3044314</v>
      </c>
      <c r="E27" s="240"/>
      <c r="F27" s="241"/>
      <c r="G27" s="241">
        <v>125730</v>
      </c>
      <c r="H27" s="243"/>
      <c r="I27" s="241"/>
      <c r="J27" s="242">
        <f t="shared" si="0"/>
        <v>125730</v>
      </c>
      <c r="K27" s="243">
        <v>2918584</v>
      </c>
      <c r="L27" s="243"/>
      <c r="M27" s="243"/>
      <c r="N27" s="244">
        <f aca="true" t="shared" si="2" ref="N27:N36">SUM(K27:M27)</f>
        <v>2918584</v>
      </c>
      <c r="O27" s="244"/>
      <c r="P27" s="245"/>
      <c r="Q27" s="246"/>
      <c r="R27" s="246"/>
      <c r="S27" s="289"/>
      <c r="T27" s="288"/>
    </row>
    <row r="28" spans="1:20" s="72" customFormat="1" ht="31.5" customHeight="1">
      <c r="A28" s="283" t="s">
        <v>227</v>
      </c>
      <c r="B28" s="233" t="s">
        <v>182</v>
      </c>
      <c r="C28" s="74" t="s">
        <v>183</v>
      </c>
      <c r="D28" s="248">
        <f t="shared" si="1"/>
        <v>800000</v>
      </c>
      <c r="E28" s="240"/>
      <c r="F28" s="241"/>
      <c r="G28" s="241"/>
      <c r="H28" s="241"/>
      <c r="I28" s="241">
        <f>675000+75000+50000</f>
        <v>800000</v>
      </c>
      <c r="J28" s="242">
        <f t="shared" si="0"/>
        <v>800000</v>
      </c>
      <c r="K28" s="243"/>
      <c r="L28" s="243"/>
      <c r="M28" s="243"/>
      <c r="N28" s="244">
        <f t="shared" si="2"/>
        <v>0</v>
      </c>
      <c r="O28" s="244"/>
      <c r="P28" s="245"/>
      <c r="Q28" s="246"/>
      <c r="R28" s="246"/>
      <c r="S28" s="289"/>
      <c r="T28" s="288"/>
    </row>
    <row r="29" spans="1:20" s="72" customFormat="1" ht="15">
      <c r="A29" s="283" t="s">
        <v>234</v>
      </c>
      <c r="B29" s="233" t="s">
        <v>184</v>
      </c>
      <c r="C29" s="74" t="s">
        <v>20</v>
      </c>
      <c r="D29" s="248">
        <f t="shared" si="1"/>
        <v>1007778</v>
      </c>
      <c r="E29" s="240">
        <v>622300</v>
      </c>
      <c r="F29" s="241">
        <v>122969</v>
      </c>
      <c r="G29" s="241">
        <v>82550</v>
      </c>
      <c r="H29" s="241"/>
      <c r="I29" s="241"/>
      <c r="J29" s="242">
        <f t="shared" si="0"/>
        <v>827819</v>
      </c>
      <c r="K29" s="243">
        <v>179959</v>
      </c>
      <c r="L29" s="243"/>
      <c r="M29" s="243"/>
      <c r="N29" s="244">
        <f t="shared" si="2"/>
        <v>179959</v>
      </c>
      <c r="O29" s="244"/>
      <c r="P29" s="245"/>
      <c r="Q29" s="246"/>
      <c r="R29" s="246"/>
      <c r="S29" s="289">
        <v>0.2</v>
      </c>
      <c r="T29" s="288">
        <v>0.2</v>
      </c>
    </row>
    <row r="30" spans="1:20" s="72" customFormat="1" ht="30">
      <c r="A30" s="283" t="s">
        <v>237</v>
      </c>
      <c r="B30" s="233" t="s">
        <v>317</v>
      </c>
      <c r="C30" s="74" t="s">
        <v>318</v>
      </c>
      <c r="D30" s="248">
        <f t="shared" si="1"/>
        <v>2716783</v>
      </c>
      <c r="E30" s="240">
        <v>1733450</v>
      </c>
      <c r="F30" s="241">
        <v>184453</v>
      </c>
      <c r="G30" s="241">
        <f>698880+100000</f>
        <v>798880</v>
      </c>
      <c r="H30" s="241"/>
      <c r="I30" s="241"/>
      <c r="J30" s="242">
        <f>SUM(E30:I30)</f>
        <v>2716783</v>
      </c>
      <c r="K30" s="243"/>
      <c r="L30" s="243"/>
      <c r="M30" s="243"/>
      <c r="N30" s="244">
        <f t="shared" si="2"/>
        <v>0</v>
      </c>
      <c r="O30" s="244"/>
      <c r="P30" s="245"/>
      <c r="Q30" s="246"/>
      <c r="R30" s="246"/>
      <c r="S30" s="289">
        <f>0.3</f>
        <v>0.3</v>
      </c>
      <c r="T30" s="288">
        <v>0.3</v>
      </c>
    </row>
    <row r="31" spans="1:20" s="72" customFormat="1" ht="15">
      <c r="A31" s="283" t="s">
        <v>239</v>
      </c>
      <c r="B31" s="233" t="s">
        <v>319</v>
      </c>
      <c r="C31" s="74" t="s">
        <v>320</v>
      </c>
      <c r="D31" s="248">
        <f t="shared" si="1"/>
        <v>376835</v>
      </c>
      <c r="E31" s="240">
        <v>320000</v>
      </c>
      <c r="F31" s="241">
        <v>56835</v>
      </c>
      <c r="G31" s="241"/>
      <c r="H31" s="241"/>
      <c r="I31" s="241"/>
      <c r="J31" s="242">
        <f>SUM(E31:I31)</f>
        <v>376835</v>
      </c>
      <c r="K31" s="243"/>
      <c r="L31" s="243"/>
      <c r="M31" s="243"/>
      <c r="N31" s="244">
        <f t="shared" si="2"/>
        <v>0</v>
      </c>
      <c r="O31" s="244"/>
      <c r="P31" s="245"/>
      <c r="Q31" s="246"/>
      <c r="R31" s="246"/>
      <c r="S31" s="289"/>
      <c r="T31" s="288"/>
    </row>
    <row r="32" spans="1:20" s="72" customFormat="1" ht="15">
      <c r="A32" s="283" t="s">
        <v>305</v>
      </c>
      <c r="B32" s="233" t="s">
        <v>185</v>
      </c>
      <c r="C32" s="74" t="s">
        <v>18</v>
      </c>
      <c r="D32" s="248">
        <f t="shared" si="1"/>
        <v>290000</v>
      </c>
      <c r="E32" s="240"/>
      <c r="F32" s="241"/>
      <c r="G32" s="241"/>
      <c r="H32" s="241"/>
      <c r="I32" s="241">
        <v>290000</v>
      </c>
      <c r="J32" s="242">
        <f t="shared" si="0"/>
        <v>290000</v>
      </c>
      <c r="K32" s="243"/>
      <c r="L32" s="243"/>
      <c r="M32" s="243"/>
      <c r="N32" s="244">
        <f t="shared" si="2"/>
        <v>0</v>
      </c>
      <c r="O32" s="244"/>
      <c r="P32" s="245"/>
      <c r="Q32" s="246"/>
      <c r="R32" s="246"/>
      <c r="S32" s="289"/>
      <c r="T32" s="288"/>
    </row>
    <row r="33" spans="1:20" s="72" customFormat="1" ht="15">
      <c r="A33" s="283" t="s">
        <v>307</v>
      </c>
      <c r="B33" s="233" t="s">
        <v>186</v>
      </c>
      <c r="C33" s="74" t="s">
        <v>187</v>
      </c>
      <c r="D33" s="248">
        <f t="shared" si="1"/>
        <v>50000</v>
      </c>
      <c r="E33" s="240"/>
      <c r="F33" s="241"/>
      <c r="G33" s="241"/>
      <c r="H33" s="241"/>
      <c r="I33" s="241">
        <v>50000</v>
      </c>
      <c r="J33" s="242">
        <f t="shared" si="0"/>
        <v>50000</v>
      </c>
      <c r="K33" s="243"/>
      <c r="L33" s="243"/>
      <c r="M33" s="243"/>
      <c r="N33" s="244">
        <f t="shared" si="2"/>
        <v>0</v>
      </c>
      <c r="O33" s="244"/>
      <c r="P33" s="245"/>
      <c r="Q33" s="246"/>
      <c r="R33" s="246"/>
      <c r="S33" s="289"/>
      <c r="T33" s="288"/>
    </row>
    <row r="34" spans="1:20" s="72" customFormat="1" ht="30">
      <c r="A34" s="283" t="s">
        <v>343</v>
      </c>
      <c r="B34" s="233">
        <v>104051</v>
      </c>
      <c r="C34" s="74" t="s">
        <v>313</v>
      </c>
      <c r="D34" s="248">
        <f t="shared" si="1"/>
        <v>46400</v>
      </c>
      <c r="E34" s="240"/>
      <c r="F34" s="241"/>
      <c r="G34" s="241"/>
      <c r="H34" s="241">
        <v>46400</v>
      </c>
      <c r="I34" s="241"/>
      <c r="J34" s="242">
        <f t="shared" si="0"/>
        <v>46400</v>
      </c>
      <c r="K34" s="243"/>
      <c r="L34" s="243"/>
      <c r="M34" s="243"/>
      <c r="N34" s="244">
        <f t="shared" si="2"/>
        <v>0</v>
      </c>
      <c r="O34" s="244"/>
      <c r="P34" s="245"/>
      <c r="Q34" s="246"/>
      <c r="R34" s="246"/>
      <c r="S34" s="289"/>
      <c r="T34" s="288"/>
    </row>
    <row r="35" spans="1:20" s="72" customFormat="1" ht="15">
      <c r="A35" s="283" t="s">
        <v>344</v>
      </c>
      <c r="B35" s="233">
        <v>107052</v>
      </c>
      <c r="C35" s="77" t="s">
        <v>189</v>
      </c>
      <c r="D35" s="248">
        <f t="shared" si="1"/>
        <v>1313000</v>
      </c>
      <c r="E35" s="240"/>
      <c r="F35" s="241"/>
      <c r="G35" s="241">
        <v>113000</v>
      </c>
      <c r="H35" s="241"/>
      <c r="I35" s="241">
        <v>1200000</v>
      </c>
      <c r="J35" s="242">
        <f t="shared" si="0"/>
        <v>1313000</v>
      </c>
      <c r="K35" s="243"/>
      <c r="L35" s="243"/>
      <c r="M35" s="243"/>
      <c r="N35" s="244">
        <f t="shared" si="2"/>
        <v>0</v>
      </c>
      <c r="O35" s="244"/>
      <c r="P35" s="245"/>
      <c r="Q35" s="246"/>
      <c r="R35" s="246"/>
      <c r="S35" s="289"/>
      <c r="T35" s="288"/>
    </row>
    <row r="36" spans="1:20" s="72" customFormat="1" ht="27.75" customHeight="1" thickBot="1">
      <c r="A36" s="283" t="s">
        <v>345</v>
      </c>
      <c r="B36" s="233">
        <v>107060</v>
      </c>
      <c r="C36" s="74" t="s">
        <v>190</v>
      </c>
      <c r="D36" s="248">
        <f t="shared" si="1"/>
        <v>4839490</v>
      </c>
      <c r="E36" s="240"/>
      <c r="F36" s="241"/>
      <c r="G36" s="241">
        <f>1176000+35560+582930</f>
        <v>1794490</v>
      </c>
      <c r="H36" s="241">
        <v>3015000</v>
      </c>
      <c r="I36" s="241">
        <v>30000</v>
      </c>
      <c r="J36" s="242">
        <f t="shared" si="0"/>
        <v>4839490</v>
      </c>
      <c r="K36" s="243"/>
      <c r="L36" s="243"/>
      <c r="M36" s="243"/>
      <c r="N36" s="244">
        <f t="shared" si="2"/>
        <v>0</v>
      </c>
      <c r="O36" s="244"/>
      <c r="P36" s="245"/>
      <c r="Q36" s="246"/>
      <c r="R36" s="246"/>
      <c r="S36" s="285"/>
      <c r="T36" s="288"/>
    </row>
    <row r="37" spans="1:20" ht="15" thickBot="1">
      <c r="A37" s="307" t="s">
        <v>346</v>
      </c>
      <c r="B37" s="282"/>
      <c r="C37" s="138" t="s">
        <v>390</v>
      </c>
      <c r="D37" s="247">
        <f aca="true" t="shared" si="3" ref="D37:T37">SUM(D14:D36)</f>
        <v>185167122</v>
      </c>
      <c r="E37" s="247">
        <f t="shared" si="3"/>
        <v>17695948</v>
      </c>
      <c r="F37" s="247">
        <f t="shared" si="3"/>
        <v>3457378</v>
      </c>
      <c r="G37" s="247">
        <f t="shared" si="3"/>
        <v>16200602</v>
      </c>
      <c r="H37" s="247">
        <f t="shared" si="3"/>
        <v>3061400</v>
      </c>
      <c r="I37" s="247">
        <f t="shared" si="3"/>
        <v>23441085</v>
      </c>
      <c r="J37" s="247">
        <f t="shared" si="3"/>
        <v>63856413</v>
      </c>
      <c r="K37" s="247">
        <f t="shared" si="3"/>
        <v>14251934</v>
      </c>
      <c r="L37" s="247">
        <f t="shared" si="3"/>
        <v>103818209</v>
      </c>
      <c r="M37" s="247">
        <f t="shared" si="3"/>
        <v>2000000</v>
      </c>
      <c r="N37" s="247">
        <f t="shared" si="3"/>
        <v>120070143</v>
      </c>
      <c r="O37" s="247">
        <f t="shared" si="3"/>
        <v>1240566</v>
      </c>
      <c r="P37" s="247">
        <f t="shared" si="3"/>
        <v>0</v>
      </c>
      <c r="Q37" s="247">
        <f t="shared" si="3"/>
        <v>0</v>
      </c>
      <c r="R37" s="247">
        <f t="shared" si="3"/>
        <v>1240566</v>
      </c>
      <c r="S37" s="290">
        <f t="shared" si="3"/>
        <v>2</v>
      </c>
      <c r="T37" s="290">
        <f t="shared" si="3"/>
        <v>2</v>
      </c>
    </row>
    <row r="38" spans="1:20" ht="14.25">
      <c r="A38" s="339"/>
      <c r="B38" s="311"/>
      <c r="C38" s="311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3"/>
      <c r="T38" s="313"/>
    </row>
    <row r="39" spans="1:20" ht="15">
      <c r="A39" s="340" t="s">
        <v>347</v>
      </c>
      <c r="B39" s="233" t="s">
        <v>388</v>
      </c>
      <c r="C39" s="74" t="s">
        <v>389</v>
      </c>
      <c r="D39" s="293">
        <f>J39+N39+P39+Q39</f>
        <v>1192441</v>
      </c>
      <c r="E39" s="341">
        <f>163060+236083+179195+55257+244590+187007</f>
        <v>1065192</v>
      </c>
      <c r="F39" s="341">
        <f>15898+23018+34943+23847+29543</f>
        <v>127249</v>
      </c>
      <c r="G39" s="341"/>
      <c r="H39" s="341"/>
      <c r="I39" s="341"/>
      <c r="J39" s="242">
        <f>SUM(E39:I39)</f>
        <v>1192441</v>
      </c>
      <c r="K39" s="341"/>
      <c r="L39" s="341"/>
      <c r="M39" s="341"/>
      <c r="N39" s="341"/>
      <c r="O39" s="341"/>
      <c r="P39" s="341"/>
      <c r="Q39" s="341"/>
      <c r="R39" s="341"/>
      <c r="S39" s="342"/>
      <c r="T39" s="342"/>
    </row>
    <row r="40" spans="1:20" ht="15">
      <c r="A40" s="283" t="s">
        <v>423</v>
      </c>
      <c r="B40" s="233" t="s">
        <v>254</v>
      </c>
      <c r="C40" s="74" t="s">
        <v>255</v>
      </c>
      <c r="D40" s="293">
        <f>J40+N40+P40+Q40</f>
        <v>7744033</v>
      </c>
      <c r="E40" s="292">
        <f>2942420-35257</f>
        <v>2907163</v>
      </c>
      <c r="F40" s="241">
        <v>561916</v>
      </c>
      <c r="G40" s="241">
        <f>3900846+374108</f>
        <v>4274954</v>
      </c>
      <c r="H40" s="241"/>
      <c r="I40" s="241"/>
      <c r="J40" s="242">
        <f>SUM(E40:I40)</f>
        <v>7744033</v>
      </c>
      <c r="K40" s="243"/>
      <c r="L40" s="243"/>
      <c r="M40" s="243"/>
      <c r="N40" s="244">
        <f>SUM(K40:M40)</f>
        <v>0</v>
      </c>
      <c r="O40" s="244"/>
      <c r="P40" s="245"/>
      <c r="Q40" s="246"/>
      <c r="R40" s="246"/>
      <c r="S40" s="289">
        <v>1</v>
      </c>
      <c r="T40" s="288">
        <v>1</v>
      </c>
    </row>
    <row r="41" spans="1:20" ht="30">
      <c r="A41" s="283" t="s">
        <v>349</v>
      </c>
      <c r="B41" s="233" t="s">
        <v>256</v>
      </c>
      <c r="C41" s="74" t="s">
        <v>257</v>
      </c>
      <c r="D41" s="294">
        <f>J41+N41+P41+Q41</f>
        <v>1550813</v>
      </c>
      <c r="E41" s="292">
        <v>565850</v>
      </c>
      <c r="F41" s="241">
        <v>108061</v>
      </c>
      <c r="G41" s="241">
        <f>804958+71944</f>
        <v>876902</v>
      </c>
      <c r="H41" s="241"/>
      <c r="I41" s="241"/>
      <c r="J41" s="242">
        <f>SUM(E41:I41)</f>
        <v>1550813</v>
      </c>
      <c r="K41" s="243"/>
      <c r="L41" s="243"/>
      <c r="M41" s="243"/>
      <c r="N41" s="244">
        <f>SUM(K41:M41)</f>
        <v>0</v>
      </c>
      <c r="O41" s="244"/>
      <c r="P41" s="245"/>
      <c r="Q41" s="246"/>
      <c r="R41" s="246"/>
      <c r="S41" s="289"/>
      <c r="T41" s="288"/>
    </row>
    <row r="42" spans="1:20" ht="15">
      <c r="A42" s="283" t="s">
        <v>377</v>
      </c>
      <c r="B42" s="233" t="s">
        <v>312</v>
      </c>
      <c r="C42" s="76" t="s">
        <v>321</v>
      </c>
      <c r="D42" s="294">
        <f>J42+N42+P42+Q42</f>
        <v>1762779</v>
      </c>
      <c r="E42" s="292">
        <v>622435</v>
      </c>
      <c r="F42" s="241">
        <v>118867</v>
      </c>
      <c r="G42" s="241">
        <f>942338+79139</f>
        <v>1021477</v>
      </c>
      <c r="H42" s="241"/>
      <c r="I42" s="241"/>
      <c r="J42" s="242">
        <f>SUM(E42:I42)</f>
        <v>1762779</v>
      </c>
      <c r="K42" s="243"/>
      <c r="L42" s="243"/>
      <c r="M42" s="243"/>
      <c r="N42" s="244">
        <f>SUM(K42:M42)</f>
        <v>0</v>
      </c>
      <c r="O42" s="244"/>
      <c r="P42" s="245"/>
      <c r="Q42" s="246"/>
      <c r="R42" s="246"/>
      <c r="S42" s="289"/>
      <c r="T42" s="288"/>
    </row>
    <row r="43" spans="1:20" ht="15.75" thickBot="1">
      <c r="A43" s="295" t="s">
        <v>391</v>
      </c>
      <c r="B43" s="234" t="s">
        <v>188</v>
      </c>
      <c r="C43" s="296" t="s">
        <v>311</v>
      </c>
      <c r="D43" s="297">
        <f>J43+N43+P43+Q43</f>
        <v>4258082</v>
      </c>
      <c r="E43" s="298">
        <f>1527795-20000</f>
        <v>1507795</v>
      </c>
      <c r="F43" s="299">
        <v>291764</v>
      </c>
      <c r="G43" s="299">
        <f>2264275+194248</f>
        <v>2458523</v>
      </c>
      <c r="H43" s="299"/>
      <c r="I43" s="299"/>
      <c r="J43" s="300">
        <f>SUM(E43:I43)</f>
        <v>4258082</v>
      </c>
      <c r="K43" s="301"/>
      <c r="L43" s="301"/>
      <c r="M43" s="301"/>
      <c r="N43" s="302">
        <f>SUM(K43:M43)</f>
        <v>0</v>
      </c>
      <c r="O43" s="302"/>
      <c r="P43" s="303"/>
      <c r="Q43" s="304"/>
      <c r="R43" s="304"/>
      <c r="S43" s="287">
        <v>1</v>
      </c>
      <c r="T43" s="305">
        <v>1</v>
      </c>
    </row>
    <row r="44" spans="1:20" ht="16.5" customHeight="1" thickBot="1">
      <c r="A44" s="308" t="s">
        <v>392</v>
      </c>
      <c r="B44" s="306"/>
      <c r="C44" s="309" t="s">
        <v>393</v>
      </c>
      <c r="D44" s="314">
        <f aca="true" t="shared" si="4" ref="D44:J44">D41+D42+D43+D40+D39</f>
        <v>16508148</v>
      </c>
      <c r="E44" s="314">
        <f t="shared" si="4"/>
        <v>6668435</v>
      </c>
      <c r="F44" s="314">
        <f t="shared" si="4"/>
        <v>1207857</v>
      </c>
      <c r="G44" s="314">
        <f t="shared" si="4"/>
        <v>8631856</v>
      </c>
      <c r="H44" s="314">
        <f t="shared" si="4"/>
        <v>0</v>
      </c>
      <c r="I44" s="314">
        <f t="shared" si="4"/>
        <v>0</v>
      </c>
      <c r="J44" s="314">
        <f t="shared" si="4"/>
        <v>16508148</v>
      </c>
      <c r="K44" s="314">
        <f aca="true" t="shared" si="5" ref="K44:T44">K41+K42+K43+K40</f>
        <v>0</v>
      </c>
      <c r="L44" s="314">
        <f t="shared" si="5"/>
        <v>0</v>
      </c>
      <c r="M44" s="314">
        <f t="shared" si="5"/>
        <v>0</v>
      </c>
      <c r="N44" s="314">
        <f t="shared" si="5"/>
        <v>0</v>
      </c>
      <c r="O44" s="314">
        <f t="shared" si="5"/>
        <v>0</v>
      </c>
      <c r="P44" s="314">
        <f t="shared" si="5"/>
        <v>0</v>
      </c>
      <c r="Q44" s="314">
        <f t="shared" si="5"/>
        <v>0</v>
      </c>
      <c r="R44" s="314">
        <f t="shared" si="5"/>
        <v>0</v>
      </c>
      <c r="S44" s="338">
        <f t="shared" si="5"/>
        <v>2</v>
      </c>
      <c r="T44" s="338">
        <f t="shared" si="5"/>
        <v>2</v>
      </c>
    </row>
    <row r="45" spans="1:20" ht="21.75" customHeight="1" thickBot="1">
      <c r="A45" s="308" t="s">
        <v>424</v>
      </c>
      <c r="B45" s="306"/>
      <c r="C45" s="310" t="s">
        <v>394</v>
      </c>
      <c r="D45" s="314">
        <f>D37+D44</f>
        <v>201675270</v>
      </c>
      <c r="E45" s="314">
        <f aca="true" t="shared" si="6" ref="E45:T45">E37+E44</f>
        <v>24364383</v>
      </c>
      <c r="F45" s="314">
        <f t="shared" si="6"/>
        <v>4665235</v>
      </c>
      <c r="G45" s="314">
        <f t="shared" si="6"/>
        <v>24832458</v>
      </c>
      <c r="H45" s="314">
        <f t="shared" si="6"/>
        <v>3061400</v>
      </c>
      <c r="I45" s="314">
        <f t="shared" si="6"/>
        <v>23441085</v>
      </c>
      <c r="J45" s="314">
        <f t="shared" si="6"/>
        <v>80364561</v>
      </c>
      <c r="K45" s="314">
        <f t="shared" si="6"/>
        <v>14251934</v>
      </c>
      <c r="L45" s="314">
        <f t="shared" si="6"/>
        <v>103818209</v>
      </c>
      <c r="M45" s="314">
        <f t="shared" si="6"/>
        <v>2000000</v>
      </c>
      <c r="N45" s="314">
        <f t="shared" si="6"/>
        <v>120070143</v>
      </c>
      <c r="O45" s="314">
        <f t="shared" si="6"/>
        <v>1240566</v>
      </c>
      <c r="P45" s="314">
        <f t="shared" si="6"/>
        <v>0</v>
      </c>
      <c r="Q45" s="314">
        <f t="shared" si="6"/>
        <v>0</v>
      </c>
      <c r="R45" s="314">
        <f t="shared" si="6"/>
        <v>1240566</v>
      </c>
      <c r="S45" s="338">
        <f t="shared" si="6"/>
        <v>4</v>
      </c>
      <c r="T45" s="338">
        <f t="shared" si="6"/>
        <v>4</v>
      </c>
    </row>
    <row r="47" spans="4:10" ht="12.75">
      <c r="D47" s="315"/>
      <c r="J47" s="315"/>
    </row>
    <row r="48" ht="12.75">
      <c r="D48" s="315"/>
    </row>
  </sheetData>
  <sheetProtection/>
  <mergeCells count="32">
    <mergeCell ref="B6:T6"/>
    <mergeCell ref="S9:T9"/>
    <mergeCell ref="S10:T10"/>
    <mergeCell ref="E11:E13"/>
    <mergeCell ref="O10:R10"/>
    <mergeCell ref="P11:P13"/>
    <mergeCell ref="B5:T5"/>
    <mergeCell ref="R11:R13"/>
    <mergeCell ref="K11:K13"/>
    <mergeCell ref="E9:R9"/>
    <mergeCell ref="M11:M13"/>
    <mergeCell ref="D9:D13"/>
    <mergeCell ref="B3:T3"/>
    <mergeCell ref="E10:J10"/>
    <mergeCell ref="G11:G13"/>
    <mergeCell ref="S8:T8"/>
    <mergeCell ref="B1:T1"/>
    <mergeCell ref="H11:H13"/>
    <mergeCell ref="B7:T7"/>
    <mergeCell ref="Q11:Q13"/>
    <mergeCell ref="J11:J13"/>
    <mergeCell ref="K10:N10"/>
    <mergeCell ref="S12:T13"/>
    <mergeCell ref="L11:L13"/>
    <mergeCell ref="N11:N13"/>
    <mergeCell ref="O11:O13"/>
    <mergeCell ref="A2:S2"/>
    <mergeCell ref="C9:C13"/>
    <mergeCell ref="F11:F13"/>
    <mergeCell ref="B9:B13"/>
    <mergeCell ref="A9:A13"/>
    <mergeCell ref="I11:I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131" customWidth="1"/>
    <col min="2" max="2" width="9.125" style="131" customWidth="1"/>
    <col min="3" max="3" width="63.125" style="131" customWidth="1"/>
    <col min="4" max="4" width="24.00390625" style="131" customWidth="1"/>
    <col min="5" max="7" width="26.25390625" style="131" customWidth="1"/>
    <col min="8" max="16384" width="9.125" style="131" customWidth="1"/>
  </cols>
  <sheetData>
    <row r="1" spans="1:9" ht="15.75">
      <c r="A1" s="463" t="s">
        <v>524</v>
      </c>
      <c r="B1" s="383"/>
      <c r="C1" s="383"/>
      <c r="D1" s="383"/>
      <c r="E1" s="383"/>
      <c r="F1" s="383"/>
      <c r="G1" s="383"/>
      <c r="H1" s="348"/>
      <c r="I1" s="348"/>
    </row>
    <row r="3" spans="1:7" s="123" customFormat="1" ht="15.75">
      <c r="A3" s="412" t="s">
        <v>467</v>
      </c>
      <c r="B3" s="388"/>
      <c r="C3" s="388"/>
      <c r="D3" s="388"/>
      <c r="E3" s="388"/>
      <c r="F3" s="388"/>
      <c r="G3" s="388"/>
    </row>
    <row r="4" spans="3:7" s="40" customFormat="1" ht="15" customHeight="1">
      <c r="C4" s="413"/>
      <c r="D4" s="413"/>
      <c r="E4" s="413"/>
      <c r="F4" s="413"/>
      <c r="G4" s="413"/>
    </row>
    <row r="5" spans="4:7" s="125" customFormat="1" ht="15" customHeight="1">
      <c r="D5" s="126"/>
      <c r="E5" s="127"/>
      <c r="F5" s="127"/>
      <c r="G5" s="127"/>
    </row>
    <row r="6" spans="3:7" s="79" customFormat="1" ht="15" customHeight="1">
      <c r="C6" s="414" t="s">
        <v>22</v>
      </c>
      <c r="D6" s="414"/>
      <c r="E6" s="414"/>
      <c r="F6" s="414"/>
      <c r="G6" s="414"/>
    </row>
    <row r="7" spans="3:7" s="79" customFormat="1" ht="15.75">
      <c r="C7" s="415" t="s">
        <v>263</v>
      </c>
      <c r="D7" s="415"/>
      <c r="E7" s="415"/>
      <c r="F7" s="415"/>
      <c r="G7" s="415"/>
    </row>
    <row r="8" spans="3:7" s="79" customFormat="1" ht="15" customHeight="1">
      <c r="C8" s="414" t="s">
        <v>425</v>
      </c>
      <c r="D8" s="414"/>
      <c r="E8" s="414"/>
      <c r="F8" s="414"/>
      <c r="G8" s="414"/>
    </row>
    <row r="9" spans="3:7" s="123" customFormat="1" ht="12" customHeight="1" thickBot="1">
      <c r="C9" s="124"/>
      <c r="D9" s="128"/>
      <c r="E9" s="129"/>
      <c r="F9" s="129"/>
      <c r="G9" s="130"/>
    </row>
    <row r="10" spans="1:7" s="123" customFormat="1" ht="19.5" customHeight="1" thickBot="1">
      <c r="A10" s="481" t="s">
        <v>350</v>
      </c>
      <c r="B10" s="483" t="s">
        <v>147</v>
      </c>
      <c r="C10" s="422" t="s">
        <v>148</v>
      </c>
      <c r="D10" s="425" t="s">
        <v>264</v>
      </c>
      <c r="E10" s="428" t="s">
        <v>247</v>
      </c>
      <c r="F10" s="428"/>
      <c r="G10" s="429"/>
    </row>
    <row r="11" spans="1:7" s="123" customFormat="1" ht="33" customHeight="1" thickBot="1">
      <c r="A11" s="482"/>
      <c r="B11" s="484"/>
      <c r="C11" s="423"/>
      <c r="D11" s="426"/>
      <c r="E11" s="236" t="s">
        <v>248</v>
      </c>
      <c r="F11" s="237" t="s">
        <v>249</v>
      </c>
      <c r="G11" s="238" t="s">
        <v>250</v>
      </c>
    </row>
    <row r="12" spans="1:7" s="123" customFormat="1" ht="22.5" customHeight="1">
      <c r="A12" s="482"/>
      <c r="B12" s="484"/>
      <c r="C12" s="423"/>
      <c r="D12" s="426"/>
      <c r="E12" s="430" t="s">
        <v>251</v>
      </c>
      <c r="F12" s="431"/>
      <c r="G12" s="432"/>
    </row>
    <row r="13" spans="1:7" ht="13.5" thickBot="1">
      <c r="A13" s="482"/>
      <c r="B13" s="484"/>
      <c r="C13" s="423"/>
      <c r="D13" s="426"/>
      <c r="E13" s="478"/>
      <c r="F13" s="479"/>
      <c r="G13" s="480"/>
    </row>
    <row r="14" spans="1:7" ht="30.75" thickBot="1">
      <c r="A14" s="137" t="s">
        <v>25</v>
      </c>
      <c r="B14" s="258" t="s">
        <v>164</v>
      </c>
      <c r="C14" s="259" t="s">
        <v>165</v>
      </c>
      <c r="D14" s="270">
        <f>SUM(E14:G14)</f>
        <v>40017948</v>
      </c>
      <c r="E14" s="265">
        <f>23972872-1200000+18481786+76000-110720+330000-418941-35560-75000-74200+74200+89209-2567275-50000+262610+251194</f>
        <v>39006175</v>
      </c>
      <c r="F14" s="260">
        <v>1011773</v>
      </c>
      <c r="G14" s="261"/>
    </row>
    <row r="15" spans="1:7" ht="15">
      <c r="A15" s="239" t="s">
        <v>16</v>
      </c>
      <c r="B15" s="256" t="s">
        <v>166</v>
      </c>
      <c r="C15" s="257" t="s">
        <v>19</v>
      </c>
      <c r="D15" s="271">
        <f aca="true" t="shared" si="0" ref="D15:D35">SUM(E15:G15)</f>
        <v>68150</v>
      </c>
      <c r="E15" s="266">
        <v>68150</v>
      </c>
      <c r="F15" s="133"/>
      <c r="G15" s="134"/>
    </row>
    <row r="16" spans="1:7" ht="15">
      <c r="A16" s="235" t="s">
        <v>26</v>
      </c>
      <c r="B16" s="233" t="s">
        <v>167</v>
      </c>
      <c r="C16" s="74" t="s">
        <v>168</v>
      </c>
      <c r="D16" s="272">
        <f t="shared" si="0"/>
        <v>1482890</v>
      </c>
      <c r="E16" s="267">
        <f>282890+1200000</f>
        <v>1482890</v>
      </c>
      <c r="F16" s="135"/>
      <c r="G16" s="136"/>
    </row>
    <row r="17" spans="1:7" ht="15">
      <c r="A17" s="235" t="s">
        <v>69</v>
      </c>
      <c r="B17" s="233" t="s">
        <v>252</v>
      </c>
      <c r="C17" s="74" t="s">
        <v>253</v>
      </c>
      <c r="D17" s="272">
        <f>SUM(E17:G17)</f>
        <v>1243566</v>
      </c>
      <c r="E17" s="267">
        <f>1240566+3000</f>
        <v>1243566</v>
      </c>
      <c r="F17" s="135"/>
      <c r="G17" s="136"/>
    </row>
    <row r="18" spans="1:7" ht="15">
      <c r="A18" s="235" t="s">
        <v>70</v>
      </c>
      <c r="B18" s="233" t="s">
        <v>388</v>
      </c>
      <c r="C18" s="74" t="s">
        <v>389</v>
      </c>
      <c r="D18" s="272">
        <f>SUM(E18:G18)</f>
        <v>0</v>
      </c>
      <c r="E18" s="267"/>
      <c r="F18" s="135"/>
      <c r="G18" s="136"/>
    </row>
    <row r="19" spans="1:7" ht="15">
      <c r="A19" s="235" t="s">
        <v>76</v>
      </c>
      <c r="B19" s="75" t="s">
        <v>340</v>
      </c>
      <c r="C19" s="74" t="s">
        <v>341</v>
      </c>
      <c r="D19" s="272">
        <f>SUM(E19:G19)</f>
        <v>20042172</v>
      </c>
      <c r="E19" s="267">
        <f>2927007+14547890+2567275</f>
        <v>20042172</v>
      </c>
      <c r="F19" s="135"/>
      <c r="G19" s="136"/>
    </row>
    <row r="20" spans="1:7" ht="27" customHeight="1">
      <c r="A20" s="235" t="s">
        <v>204</v>
      </c>
      <c r="B20" s="233" t="s">
        <v>169</v>
      </c>
      <c r="C20" s="74" t="s">
        <v>170</v>
      </c>
      <c r="D20" s="272">
        <f t="shared" si="0"/>
        <v>26670</v>
      </c>
      <c r="E20" s="267">
        <v>26670</v>
      </c>
      <c r="F20" s="135"/>
      <c r="G20" s="136"/>
    </row>
    <row r="21" spans="1:7" ht="15">
      <c r="A21" s="235" t="s">
        <v>206</v>
      </c>
      <c r="B21" s="233" t="s">
        <v>322</v>
      </c>
      <c r="C21" s="74" t="s">
        <v>323</v>
      </c>
      <c r="D21" s="272">
        <f t="shared" si="0"/>
        <v>54864</v>
      </c>
      <c r="E21" s="268">
        <v>54864</v>
      </c>
      <c r="F21" s="78"/>
      <c r="G21" s="262"/>
    </row>
    <row r="22" spans="1:7" ht="15">
      <c r="A22" s="235" t="s">
        <v>208</v>
      </c>
      <c r="B22" s="233" t="s">
        <v>171</v>
      </c>
      <c r="C22" s="74" t="s">
        <v>172</v>
      </c>
      <c r="D22" s="272">
        <f t="shared" si="0"/>
        <v>6702360</v>
      </c>
      <c r="E22" s="267">
        <f>6283419+418941</f>
        <v>6702360</v>
      </c>
      <c r="F22" s="135"/>
      <c r="G22" s="136"/>
    </row>
    <row r="23" spans="1:7" ht="15">
      <c r="A23" s="235" t="s">
        <v>214</v>
      </c>
      <c r="B23" s="233" t="s">
        <v>173</v>
      </c>
      <c r="C23" s="74" t="s">
        <v>174</v>
      </c>
      <c r="D23" s="272">
        <f t="shared" si="0"/>
        <v>2000000</v>
      </c>
      <c r="E23" s="267"/>
      <c r="F23" s="135">
        <v>2000000</v>
      </c>
      <c r="G23" s="136"/>
    </row>
    <row r="24" spans="1:7" ht="15">
      <c r="A24" s="235" t="s">
        <v>216</v>
      </c>
      <c r="B24" s="233" t="s">
        <v>175</v>
      </c>
      <c r="C24" s="74" t="s">
        <v>176</v>
      </c>
      <c r="D24" s="272">
        <f t="shared" si="0"/>
        <v>1910715</v>
      </c>
      <c r="E24" s="267">
        <v>1910715</v>
      </c>
      <c r="F24" s="135"/>
      <c r="G24" s="136"/>
    </row>
    <row r="25" spans="1:7" ht="15">
      <c r="A25" s="235" t="s">
        <v>218</v>
      </c>
      <c r="B25" s="233" t="s">
        <v>177</v>
      </c>
      <c r="C25" s="74" t="s">
        <v>178</v>
      </c>
      <c r="D25" s="272">
        <f t="shared" si="0"/>
        <v>381000</v>
      </c>
      <c r="E25" s="267">
        <v>381000</v>
      </c>
      <c r="F25" s="135"/>
      <c r="G25" s="136"/>
    </row>
    <row r="26" spans="1:7" ht="15">
      <c r="A26" s="235" t="s">
        <v>223</v>
      </c>
      <c r="B26" s="233" t="s">
        <v>179</v>
      </c>
      <c r="C26" s="74" t="s">
        <v>180</v>
      </c>
      <c r="D26" s="272">
        <f t="shared" si="0"/>
        <v>96752187</v>
      </c>
      <c r="E26" s="267">
        <f>11666229+109982+4988001+77988095+1999880</f>
        <v>96752187</v>
      </c>
      <c r="F26" s="135"/>
      <c r="G26" s="136"/>
    </row>
    <row r="27" spans="1:7" ht="15">
      <c r="A27" s="235" t="s">
        <v>225</v>
      </c>
      <c r="B27" s="233" t="s">
        <v>181</v>
      </c>
      <c r="C27" s="74" t="s">
        <v>17</v>
      </c>
      <c r="D27" s="272">
        <f t="shared" si="0"/>
        <v>3044314</v>
      </c>
      <c r="E27" s="267">
        <f>125730+2918584</f>
        <v>3044314</v>
      </c>
      <c r="F27" s="135"/>
      <c r="G27" s="136"/>
    </row>
    <row r="28" spans="1:7" ht="15">
      <c r="A28" s="235" t="s">
        <v>227</v>
      </c>
      <c r="B28" s="233" t="s">
        <v>182</v>
      </c>
      <c r="C28" s="74" t="s">
        <v>183</v>
      </c>
      <c r="D28" s="272">
        <f t="shared" si="0"/>
        <v>800000</v>
      </c>
      <c r="E28" s="267">
        <f>675000+75000+50000</f>
        <v>800000</v>
      </c>
      <c r="F28" s="135"/>
      <c r="G28" s="136"/>
    </row>
    <row r="29" spans="1:7" ht="15">
      <c r="A29" s="235" t="s">
        <v>234</v>
      </c>
      <c r="B29" s="233" t="s">
        <v>184</v>
      </c>
      <c r="C29" s="74" t="s">
        <v>20</v>
      </c>
      <c r="D29" s="272">
        <f t="shared" si="0"/>
        <v>1007778</v>
      </c>
      <c r="E29" s="267">
        <v>993282</v>
      </c>
      <c r="F29" s="135">
        <f>10800+1784+1912</f>
        <v>14496</v>
      </c>
      <c r="G29" s="136"/>
    </row>
    <row r="30" spans="1:7" ht="15">
      <c r="A30" s="235" t="s">
        <v>237</v>
      </c>
      <c r="B30" s="233" t="s">
        <v>317</v>
      </c>
      <c r="C30" s="74" t="s">
        <v>324</v>
      </c>
      <c r="D30" s="272">
        <f t="shared" si="0"/>
        <v>2716783</v>
      </c>
      <c r="E30" s="267">
        <f>2540680+100000</f>
        <v>2640680</v>
      </c>
      <c r="F30" s="135">
        <f>16200+40500+9367+10036</f>
        <v>76103</v>
      </c>
      <c r="G30" s="136"/>
    </row>
    <row r="31" spans="1:7" ht="15">
      <c r="A31" s="235" t="s">
        <v>239</v>
      </c>
      <c r="B31" s="233" t="s">
        <v>325</v>
      </c>
      <c r="C31" s="74" t="s">
        <v>326</v>
      </c>
      <c r="D31" s="272">
        <f t="shared" si="0"/>
        <v>376835</v>
      </c>
      <c r="E31" s="267">
        <v>376835</v>
      </c>
      <c r="F31" s="135"/>
      <c r="G31" s="136"/>
    </row>
    <row r="32" spans="1:7" ht="15">
      <c r="A32" s="235" t="s">
        <v>305</v>
      </c>
      <c r="B32" s="233" t="s">
        <v>185</v>
      </c>
      <c r="C32" s="74" t="s">
        <v>18</v>
      </c>
      <c r="D32" s="272">
        <f t="shared" si="0"/>
        <v>290000</v>
      </c>
      <c r="E32" s="267"/>
      <c r="F32" s="135">
        <v>290000</v>
      </c>
      <c r="G32" s="136"/>
    </row>
    <row r="33" spans="1:7" ht="15">
      <c r="A33" s="235" t="s">
        <v>307</v>
      </c>
      <c r="B33" s="233" t="s">
        <v>186</v>
      </c>
      <c r="C33" s="74" t="s">
        <v>187</v>
      </c>
      <c r="D33" s="272">
        <f t="shared" si="0"/>
        <v>50000</v>
      </c>
      <c r="E33" s="267"/>
      <c r="F33" s="135">
        <v>50000</v>
      </c>
      <c r="G33" s="136"/>
    </row>
    <row r="34" spans="1:7" ht="15">
      <c r="A34" s="235" t="s">
        <v>343</v>
      </c>
      <c r="B34" s="233">
        <v>104051</v>
      </c>
      <c r="C34" s="77" t="s">
        <v>313</v>
      </c>
      <c r="D34" s="272">
        <f t="shared" si="0"/>
        <v>46400</v>
      </c>
      <c r="E34" s="267"/>
      <c r="F34" s="135"/>
      <c r="G34" s="136">
        <v>46400</v>
      </c>
    </row>
    <row r="35" spans="1:14" ht="15">
      <c r="A35" s="235" t="s">
        <v>344</v>
      </c>
      <c r="B35" s="233">
        <v>107052</v>
      </c>
      <c r="C35" s="77" t="s">
        <v>189</v>
      </c>
      <c r="D35" s="272">
        <f t="shared" si="0"/>
        <v>1313000</v>
      </c>
      <c r="E35" s="269">
        <v>1313000</v>
      </c>
      <c r="F35" s="78"/>
      <c r="G35" s="262"/>
      <c r="H35" s="213"/>
      <c r="I35" s="213"/>
      <c r="J35" s="214"/>
      <c r="K35" s="215"/>
      <c r="L35" s="215"/>
      <c r="M35" s="215"/>
      <c r="N35" s="214"/>
    </row>
    <row r="36" spans="1:7" ht="15.75" thickBot="1">
      <c r="A36" s="235" t="s">
        <v>345</v>
      </c>
      <c r="B36" s="233">
        <v>107060</v>
      </c>
      <c r="C36" s="74" t="s">
        <v>190</v>
      </c>
      <c r="D36" s="272">
        <f>SUM(E36:G36)</f>
        <v>4839490</v>
      </c>
      <c r="E36" s="267">
        <f>4221000+35560+582930</f>
        <v>4839490</v>
      </c>
      <c r="F36" s="135"/>
      <c r="G36" s="136"/>
    </row>
    <row r="37" spans="1:7" ht="18.75" customHeight="1" thickBot="1">
      <c r="A37" s="263" t="s">
        <v>346</v>
      </c>
      <c r="B37" s="250"/>
      <c r="C37" s="264" t="s">
        <v>395</v>
      </c>
      <c r="D37" s="324">
        <f>SUM(D14:D36)</f>
        <v>185167122</v>
      </c>
      <c r="E37" s="325">
        <f>SUM(E14:E36)</f>
        <v>181678350</v>
      </c>
      <c r="F37" s="324">
        <f>SUM(F14:F36)</f>
        <v>3442372</v>
      </c>
      <c r="G37" s="324">
        <f>SUM(G14:G36)</f>
        <v>46400</v>
      </c>
    </row>
    <row r="38" ht="12.75">
      <c r="A38" s="212"/>
    </row>
    <row r="39" spans="1:7" ht="15">
      <c r="A39" s="316" t="s">
        <v>347</v>
      </c>
      <c r="B39" s="233" t="s">
        <v>388</v>
      </c>
      <c r="C39" s="74" t="s">
        <v>389</v>
      </c>
      <c r="D39" s="272">
        <f>SUM(E39:G39)</f>
        <v>1192441</v>
      </c>
      <c r="E39" s="267">
        <f>652197+55257+268437+216550</f>
        <v>1192441</v>
      </c>
      <c r="F39" s="343"/>
      <c r="G39" s="343"/>
    </row>
    <row r="40" spans="1:7" ht="15">
      <c r="A40" s="235" t="s">
        <v>348</v>
      </c>
      <c r="B40" s="233" t="s">
        <v>254</v>
      </c>
      <c r="C40" s="74" t="s">
        <v>255</v>
      </c>
      <c r="D40" s="272">
        <f>SUM(E40:G40)</f>
        <v>7744033</v>
      </c>
      <c r="E40" s="267">
        <f>7713867-35257</f>
        <v>7678610</v>
      </c>
      <c r="F40" s="135">
        <v>65423</v>
      </c>
      <c r="G40" s="136"/>
    </row>
    <row r="41" spans="1:7" ht="15">
      <c r="A41" s="235" t="s">
        <v>349</v>
      </c>
      <c r="B41" s="233" t="s">
        <v>256</v>
      </c>
      <c r="C41" s="74" t="s">
        <v>257</v>
      </c>
      <c r="D41" s="272">
        <f>SUM(E41:G41)</f>
        <v>1550813</v>
      </c>
      <c r="E41" s="267"/>
      <c r="F41" s="135">
        <v>1550813</v>
      </c>
      <c r="G41" s="136"/>
    </row>
    <row r="42" spans="1:7" ht="15">
      <c r="A42" s="235" t="s">
        <v>377</v>
      </c>
      <c r="B42" s="233" t="s">
        <v>256</v>
      </c>
      <c r="C42" s="74" t="s">
        <v>397</v>
      </c>
      <c r="D42" s="272">
        <f>SUM(E42:G42)</f>
        <v>1762779</v>
      </c>
      <c r="E42" s="267"/>
      <c r="F42" s="135">
        <v>1762779</v>
      </c>
      <c r="G42" s="136"/>
    </row>
    <row r="43" spans="1:7" ht="15.75" thickBot="1">
      <c r="A43" s="316" t="s">
        <v>391</v>
      </c>
      <c r="B43" s="234" t="s">
        <v>188</v>
      </c>
      <c r="C43" s="317" t="s">
        <v>396</v>
      </c>
      <c r="D43" s="318">
        <f>SUM(E43:G43)</f>
        <v>4258082</v>
      </c>
      <c r="E43" s="319">
        <f>4236760-20000</f>
        <v>4216760</v>
      </c>
      <c r="F43" s="320">
        <v>41322</v>
      </c>
      <c r="G43" s="321"/>
    </row>
    <row r="44" spans="1:7" ht="18" customHeight="1" thickBot="1">
      <c r="A44" s="322" t="s">
        <v>392</v>
      </c>
      <c r="B44" s="322"/>
      <c r="C44" s="309" t="s">
        <v>393</v>
      </c>
      <c r="D44" s="323">
        <f>D40+D41+D42+D43+D39</f>
        <v>16508148</v>
      </c>
      <c r="E44" s="323">
        <f>E40+E41+E42+E43+E39</f>
        <v>13087811</v>
      </c>
      <c r="F44" s="323">
        <f>F40+F41+F42+F43</f>
        <v>3420337</v>
      </c>
      <c r="G44" s="323">
        <f>G40+G41+G42+G43</f>
        <v>0</v>
      </c>
    </row>
    <row r="45" spans="1:7" ht="24.75" customHeight="1" thickBot="1">
      <c r="A45" s="322" t="s">
        <v>424</v>
      </c>
      <c r="B45" s="322"/>
      <c r="C45" s="310" t="s">
        <v>394</v>
      </c>
      <c r="D45" s="323">
        <f>D37+D44</f>
        <v>201675270</v>
      </c>
      <c r="E45" s="323">
        <f>E37+E44</f>
        <v>194766161</v>
      </c>
      <c r="F45" s="323">
        <f>F37+F44</f>
        <v>6862709</v>
      </c>
      <c r="G45" s="323">
        <f>G37+G44</f>
        <v>46400</v>
      </c>
    </row>
    <row r="47" ht="12.75">
      <c r="D47" s="344"/>
    </row>
  </sheetData>
  <sheetProtection/>
  <mergeCells count="12">
    <mergeCell ref="D10:D13"/>
    <mergeCell ref="E10:G10"/>
    <mergeCell ref="E12:G13"/>
    <mergeCell ref="A3:G3"/>
    <mergeCell ref="A1:G1"/>
    <mergeCell ref="C4:G4"/>
    <mergeCell ref="C6:G6"/>
    <mergeCell ref="C7:G7"/>
    <mergeCell ref="C8:G8"/>
    <mergeCell ref="A10:A13"/>
    <mergeCell ref="B10:B13"/>
    <mergeCell ref="C10:C1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75390625" style="0" customWidth="1"/>
    <col min="5" max="5" width="35.125" style="0" customWidth="1"/>
    <col min="6" max="6" width="12.375" style="0" customWidth="1"/>
  </cols>
  <sheetData>
    <row r="1" spans="1:6" ht="15.75" customHeight="1">
      <c r="A1" s="383" t="s">
        <v>525</v>
      </c>
      <c r="B1" s="383"/>
      <c r="C1" s="383"/>
      <c r="D1" s="383"/>
      <c r="E1" s="383"/>
      <c r="F1" s="383"/>
    </row>
    <row r="3" ht="12.75">
      <c r="A3" t="s">
        <v>468</v>
      </c>
    </row>
    <row r="5" spans="1:6" ht="21.75" customHeight="1">
      <c r="A5" s="486"/>
      <c r="B5" s="486"/>
      <c r="C5" s="486"/>
      <c r="D5" s="486"/>
      <c r="E5" s="486"/>
      <c r="F5" s="486"/>
    </row>
    <row r="7" spans="1:6" ht="18.75" customHeight="1">
      <c r="A7" s="486" t="s">
        <v>4</v>
      </c>
      <c r="B7" s="486"/>
      <c r="C7" s="486"/>
      <c r="D7" s="486"/>
      <c r="E7" s="486"/>
      <c r="F7" s="486"/>
    </row>
    <row r="8" spans="1:6" ht="21.75" customHeight="1">
      <c r="A8" s="486" t="s">
        <v>442</v>
      </c>
      <c r="B8" s="486"/>
      <c r="C8" s="486"/>
      <c r="D8" s="486"/>
      <c r="E8" s="486"/>
      <c r="F8" s="486"/>
    </row>
    <row r="9" spans="1:6" ht="20.25" customHeight="1">
      <c r="A9" s="486" t="s">
        <v>443</v>
      </c>
      <c r="B9" s="486"/>
      <c r="C9" s="486"/>
      <c r="D9" s="486"/>
      <c r="E9" s="486"/>
      <c r="F9" s="486"/>
    </row>
    <row r="10" ht="13.5" thickBot="1">
      <c r="F10" t="s">
        <v>332</v>
      </c>
    </row>
    <row r="11" spans="1:6" ht="42.75" customHeight="1" thickBot="1">
      <c r="A11" s="485" t="s">
        <v>0</v>
      </c>
      <c r="B11" s="485"/>
      <c r="C11" s="485"/>
      <c r="D11" s="485"/>
      <c r="E11" s="485"/>
      <c r="F11" s="354" t="s">
        <v>444</v>
      </c>
    </row>
    <row r="14" spans="1:4" ht="12.75">
      <c r="A14" s="355" t="s">
        <v>445</v>
      </c>
      <c r="B14" s="355"/>
      <c r="C14" s="355"/>
      <c r="D14" s="355"/>
    </row>
    <row r="16" spans="2:5" ht="34.5" customHeight="1">
      <c r="B16" s="487" t="s">
        <v>446</v>
      </c>
      <c r="C16" s="488"/>
      <c r="D16" s="488"/>
      <c r="E16" s="488"/>
    </row>
    <row r="17" spans="2:5" ht="15.75" customHeight="1">
      <c r="B17" s="356"/>
      <c r="C17" s="357"/>
      <c r="D17" s="357"/>
      <c r="E17" s="357"/>
    </row>
    <row r="18" spans="1:6" ht="15.75" customHeight="1">
      <c r="A18" t="s">
        <v>25</v>
      </c>
      <c r="B18" t="s">
        <v>473</v>
      </c>
      <c r="F18" s="349">
        <f>73200+74200</f>
        <v>147400</v>
      </c>
    </row>
    <row r="19" spans="1:6" ht="15.75" customHeight="1">
      <c r="A19" t="s">
        <v>16</v>
      </c>
      <c r="B19" t="s">
        <v>447</v>
      </c>
      <c r="F19" s="349">
        <v>219600</v>
      </c>
    </row>
    <row r="21" spans="1:6" ht="12.75">
      <c r="A21" t="s">
        <v>26</v>
      </c>
      <c r="B21" t="s">
        <v>448</v>
      </c>
      <c r="F21" s="349">
        <v>50000</v>
      </c>
    </row>
    <row r="22" ht="12.75">
      <c r="F22" s="349"/>
    </row>
    <row r="23" spans="1:6" ht="12.75">
      <c r="A23" t="s">
        <v>69</v>
      </c>
      <c r="B23" t="s">
        <v>465</v>
      </c>
      <c r="F23" s="349">
        <v>3000</v>
      </c>
    </row>
    <row r="25" spans="1:6" ht="31.5" customHeight="1">
      <c r="A25" t="s">
        <v>70</v>
      </c>
      <c r="B25" s="488" t="s">
        <v>449</v>
      </c>
      <c r="C25" s="488"/>
      <c r="D25" s="488"/>
      <c r="E25" s="488"/>
      <c r="F25" s="349">
        <v>1200000</v>
      </c>
    </row>
    <row r="27" spans="2:6" ht="33" customHeight="1">
      <c r="B27" s="487" t="s">
        <v>450</v>
      </c>
      <c r="C27" s="487"/>
      <c r="D27" s="487"/>
      <c r="E27" s="487"/>
      <c r="F27" s="358">
        <f>SUM(F18:F26)</f>
        <v>1620000</v>
      </c>
    </row>
    <row r="28" ht="19.5" customHeight="1"/>
    <row r="29" spans="2:5" ht="36" customHeight="1">
      <c r="B29" s="487" t="s">
        <v>451</v>
      </c>
      <c r="C29" s="487"/>
      <c r="D29" s="487"/>
      <c r="E29" s="487"/>
    </row>
    <row r="31" spans="1:6" ht="15" customHeight="1">
      <c r="A31" t="s">
        <v>25</v>
      </c>
      <c r="B31" t="s">
        <v>452</v>
      </c>
      <c r="F31" s="349">
        <v>40000</v>
      </c>
    </row>
    <row r="32" spans="1:6" ht="16.5" customHeight="1">
      <c r="A32" t="s">
        <v>16</v>
      </c>
      <c r="B32" t="s">
        <v>453</v>
      </c>
      <c r="F32" s="349">
        <v>80000</v>
      </c>
    </row>
    <row r="33" spans="1:6" ht="17.25" customHeight="1">
      <c r="A33" t="s">
        <v>26</v>
      </c>
      <c r="B33" t="s">
        <v>454</v>
      </c>
      <c r="F33" s="349">
        <v>170000</v>
      </c>
    </row>
    <row r="34" spans="1:6" ht="15.75" customHeight="1">
      <c r="A34" t="s">
        <v>69</v>
      </c>
      <c r="B34" t="s">
        <v>455</v>
      </c>
      <c r="F34" s="349">
        <f>75000+75000</f>
        <v>150000</v>
      </c>
    </row>
    <row r="35" spans="1:6" ht="17.25" customHeight="1">
      <c r="A35" t="s">
        <v>70</v>
      </c>
      <c r="B35" t="s">
        <v>456</v>
      </c>
      <c r="F35" s="349">
        <v>600000</v>
      </c>
    </row>
    <row r="36" spans="1:6" ht="18" customHeight="1">
      <c r="A36" t="s">
        <v>76</v>
      </c>
      <c r="B36" t="s">
        <v>457</v>
      </c>
      <c r="F36" s="349">
        <v>30000</v>
      </c>
    </row>
    <row r="37" spans="1:6" ht="18" customHeight="1">
      <c r="A37" t="s">
        <v>204</v>
      </c>
      <c r="B37" t="s">
        <v>517</v>
      </c>
      <c r="F37" s="349">
        <v>50000</v>
      </c>
    </row>
    <row r="38" spans="2:6" ht="34.5" customHeight="1">
      <c r="B38" s="487" t="s">
        <v>458</v>
      </c>
      <c r="C38" s="487"/>
      <c r="D38" s="487"/>
      <c r="E38" s="487"/>
      <c r="F38" s="358">
        <f>F31+F32+F33+F34+F35+F36+F37</f>
        <v>1120000</v>
      </c>
    </row>
    <row r="40" spans="2:6" ht="12.75">
      <c r="B40" s="355" t="s">
        <v>459</v>
      </c>
      <c r="C40" s="355"/>
      <c r="F40" s="358">
        <f>6255786+18481786-1200000+76000-110720+330000-75000-418941-35560-74200+89209-50000-2567275</f>
        <v>20701085</v>
      </c>
    </row>
    <row r="42" spans="1:6" ht="12.75">
      <c r="A42" s="355" t="s">
        <v>464</v>
      </c>
      <c r="B42" s="355"/>
      <c r="C42" s="355"/>
      <c r="D42" s="355"/>
      <c r="E42" s="355"/>
      <c r="F42" s="358">
        <f>F27+F38+F40</f>
        <v>23441085</v>
      </c>
    </row>
  </sheetData>
  <sheetProtection/>
  <mergeCells count="11">
    <mergeCell ref="B16:E16"/>
    <mergeCell ref="B25:E25"/>
    <mergeCell ref="B27:E27"/>
    <mergeCell ref="B29:E29"/>
    <mergeCell ref="B38:E38"/>
    <mergeCell ref="A1:F1"/>
    <mergeCell ref="A11:E11"/>
    <mergeCell ref="A9:F9"/>
    <mergeCell ref="A7:F7"/>
    <mergeCell ref="A8:F8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125" style="11" customWidth="1"/>
    <col min="2" max="2" width="70.375" style="11" customWidth="1"/>
    <col min="3" max="3" width="20.00390625" style="11" customWidth="1"/>
    <col min="4" max="16384" width="9.125" style="11" customWidth="1"/>
  </cols>
  <sheetData>
    <row r="1" spans="1:3" ht="15.75">
      <c r="A1" s="463" t="s">
        <v>526</v>
      </c>
      <c r="B1" s="383"/>
      <c r="C1" s="383"/>
    </row>
    <row r="3" spans="1:5" s="139" customFormat="1" ht="15.75">
      <c r="A3" s="412" t="s">
        <v>469</v>
      </c>
      <c r="B3" s="388"/>
      <c r="C3" s="388"/>
      <c r="D3" s="81"/>
      <c r="E3" s="277"/>
    </row>
    <row r="4" spans="2:5" s="139" customFormat="1" ht="15.75">
      <c r="B4" s="489"/>
      <c r="C4" s="489"/>
      <c r="D4" s="81"/>
      <c r="E4" s="277"/>
    </row>
    <row r="5" spans="2:5" s="141" customFormat="1" ht="18.75">
      <c r="B5" s="140" t="s">
        <v>265</v>
      </c>
      <c r="C5" s="140"/>
      <c r="D5" s="11"/>
      <c r="E5" s="11"/>
    </row>
    <row r="6" spans="2:5" s="141" customFormat="1" ht="18.75">
      <c r="B6" s="401" t="s">
        <v>266</v>
      </c>
      <c r="C6" s="401"/>
      <c r="D6" s="11"/>
      <c r="E6" s="11"/>
    </row>
    <row r="7" spans="2:5" s="141" customFormat="1" ht="19.5" thickBot="1">
      <c r="B7" s="401" t="s">
        <v>425</v>
      </c>
      <c r="C7" s="401"/>
      <c r="D7" s="11"/>
      <c r="E7" s="11"/>
    </row>
    <row r="8" spans="1:3" ht="15.75">
      <c r="A8" s="490" t="s">
        <v>336</v>
      </c>
      <c r="B8" s="142"/>
      <c r="C8" s="143" t="s">
        <v>7</v>
      </c>
    </row>
    <row r="9" spans="1:3" ht="15.75">
      <c r="A9" s="491"/>
      <c r="B9" s="144" t="s">
        <v>267</v>
      </c>
      <c r="C9" s="144"/>
    </row>
    <row r="10" spans="1:3" ht="16.5" thickBot="1">
      <c r="A10" s="492"/>
      <c r="B10" s="145"/>
      <c r="C10" s="146" t="s">
        <v>379</v>
      </c>
    </row>
    <row r="11" spans="2:3" ht="15.75">
      <c r="B11" s="147"/>
      <c r="C11" s="148"/>
    </row>
    <row r="12" spans="1:3" ht="31.5" customHeight="1">
      <c r="A12" s="284" t="s">
        <v>25</v>
      </c>
      <c r="B12" s="278" t="s">
        <v>380</v>
      </c>
      <c r="C12" s="148"/>
    </row>
    <row r="13" spans="1:3" ht="18" customHeight="1">
      <c r="A13" s="284" t="s">
        <v>352</v>
      </c>
      <c r="B13" s="151" t="s">
        <v>327</v>
      </c>
      <c r="C13" s="150">
        <v>80000</v>
      </c>
    </row>
    <row r="14" spans="1:3" ht="18" customHeight="1">
      <c r="A14" s="284"/>
      <c r="B14" s="151" t="s">
        <v>268</v>
      </c>
      <c r="C14" s="205">
        <v>21600</v>
      </c>
    </row>
    <row r="15" spans="1:3" ht="18" customHeight="1">
      <c r="A15" s="284"/>
      <c r="B15" s="147" t="s">
        <v>2</v>
      </c>
      <c r="C15" s="152">
        <f>SUM(C13:C14)</f>
        <v>101600</v>
      </c>
    </row>
    <row r="16" spans="1:3" ht="12" customHeight="1">
      <c r="A16" s="284"/>
      <c r="B16" s="147"/>
      <c r="C16" s="152"/>
    </row>
    <row r="17" spans="1:3" ht="33" customHeight="1">
      <c r="A17" s="284" t="s">
        <v>16</v>
      </c>
      <c r="B17" s="351" t="s">
        <v>462</v>
      </c>
      <c r="C17" s="152"/>
    </row>
    <row r="18" spans="1:3" ht="18" customHeight="1">
      <c r="A18" s="284" t="s">
        <v>383</v>
      </c>
      <c r="B18" s="151" t="s">
        <v>500</v>
      </c>
      <c r="C18" s="353">
        <v>1200000</v>
      </c>
    </row>
    <row r="19" spans="1:3" ht="18" customHeight="1">
      <c r="A19" s="284"/>
      <c r="B19" s="147" t="s">
        <v>2</v>
      </c>
      <c r="C19" s="152">
        <f>C18</f>
        <v>1200000</v>
      </c>
    </row>
    <row r="20" spans="1:3" ht="11.25" customHeight="1">
      <c r="A20" s="284"/>
      <c r="B20" s="147"/>
      <c r="C20" s="152"/>
    </row>
    <row r="21" spans="1:3" ht="18" customHeight="1">
      <c r="A21" s="284" t="s">
        <v>26</v>
      </c>
      <c r="B21" s="279" t="s">
        <v>461</v>
      </c>
      <c r="C21" s="152"/>
    </row>
    <row r="22" spans="1:3" ht="18" customHeight="1">
      <c r="A22" s="284" t="s">
        <v>364</v>
      </c>
      <c r="B22" s="151" t="s">
        <v>328</v>
      </c>
      <c r="C22" s="150">
        <v>141700</v>
      </c>
    </row>
    <row r="23" spans="1:3" ht="18" customHeight="1">
      <c r="A23" s="284"/>
      <c r="B23" s="151" t="s">
        <v>268</v>
      </c>
      <c r="C23" s="206">
        <v>38259</v>
      </c>
    </row>
    <row r="24" spans="1:3" ht="18" customHeight="1">
      <c r="A24" s="284"/>
      <c r="B24" s="147" t="s">
        <v>2</v>
      </c>
      <c r="C24" s="152">
        <f>SUM(C22:C23)</f>
        <v>179959</v>
      </c>
    </row>
    <row r="25" spans="1:3" ht="12" customHeight="1">
      <c r="A25" s="284"/>
      <c r="B25" s="147"/>
      <c r="C25" s="152"/>
    </row>
    <row r="26" spans="1:3" ht="18" customHeight="1">
      <c r="A26" s="284" t="s">
        <v>69</v>
      </c>
      <c r="B26" s="279" t="s">
        <v>426</v>
      </c>
      <c r="C26" s="148"/>
    </row>
    <row r="27" spans="1:3" ht="18" customHeight="1">
      <c r="A27" s="284" t="s">
        <v>372</v>
      </c>
      <c r="B27" s="280" t="s">
        <v>427</v>
      </c>
      <c r="C27" s="204">
        <v>6096007</v>
      </c>
    </row>
    <row r="28" spans="1:3" ht="18" customHeight="1">
      <c r="A28" s="284"/>
      <c r="B28" s="151" t="s">
        <v>268</v>
      </c>
      <c r="C28" s="205">
        <f>C27*0.27</f>
        <v>1645921.8900000001</v>
      </c>
    </row>
    <row r="29" spans="1:3" ht="16.5" customHeight="1">
      <c r="A29" s="284"/>
      <c r="B29" s="147" t="s">
        <v>2</v>
      </c>
      <c r="C29" s="152">
        <f>SUM(C27:C28)</f>
        <v>7741928.890000001</v>
      </c>
    </row>
    <row r="30" spans="1:3" ht="15" customHeight="1">
      <c r="A30" s="284"/>
      <c r="B30" s="147"/>
      <c r="C30" s="152"/>
    </row>
    <row r="31" spans="1:3" ht="18" customHeight="1">
      <c r="A31" s="376" t="s">
        <v>373</v>
      </c>
      <c r="B31" s="151" t="s">
        <v>513</v>
      </c>
      <c r="C31" s="150">
        <v>1574709</v>
      </c>
    </row>
    <row r="32" spans="1:3" ht="16.5" customHeight="1">
      <c r="A32" s="376" t="s">
        <v>374</v>
      </c>
      <c r="B32" s="151" t="s">
        <v>268</v>
      </c>
      <c r="C32" s="206">
        <v>425171</v>
      </c>
    </row>
    <row r="33" spans="2:3" ht="14.25" customHeight="1">
      <c r="B33" s="147" t="s">
        <v>2</v>
      </c>
      <c r="C33" s="377">
        <f>C31+C32</f>
        <v>1999880</v>
      </c>
    </row>
    <row r="34" spans="2:3" ht="6.75" customHeight="1">
      <c r="B34" s="147"/>
      <c r="C34" s="204"/>
    </row>
    <row r="35" spans="1:3" ht="18" customHeight="1">
      <c r="A35" s="11" t="s">
        <v>70</v>
      </c>
      <c r="B35" s="151" t="s">
        <v>460</v>
      </c>
      <c r="C35" s="204">
        <v>86600</v>
      </c>
    </row>
    <row r="36" spans="1:3" ht="18" customHeight="1">
      <c r="A36" s="352" t="s">
        <v>463</v>
      </c>
      <c r="B36" s="151" t="s">
        <v>268</v>
      </c>
      <c r="C36" s="205">
        <v>23382</v>
      </c>
    </row>
    <row r="37" spans="1:3" ht="18" customHeight="1">
      <c r="A37" s="284"/>
      <c r="B37" s="147" t="s">
        <v>2</v>
      </c>
      <c r="C37" s="152">
        <f>C35+C36</f>
        <v>109982</v>
      </c>
    </row>
    <row r="38" spans="1:3" ht="8.25" customHeight="1">
      <c r="A38" s="284"/>
      <c r="B38" s="147"/>
      <c r="C38" s="152"/>
    </row>
    <row r="39" spans="1:3" ht="18" customHeight="1">
      <c r="A39" s="284" t="s">
        <v>76</v>
      </c>
      <c r="B39" s="365" t="s">
        <v>480</v>
      </c>
      <c r="C39" s="152"/>
    </row>
    <row r="40" spans="1:3" ht="18" customHeight="1">
      <c r="A40" s="284" t="s">
        <v>481</v>
      </c>
      <c r="B40" s="151" t="s">
        <v>482</v>
      </c>
      <c r="C40" s="150">
        <v>2298098</v>
      </c>
    </row>
    <row r="41" spans="1:3" ht="18" customHeight="1">
      <c r="A41" s="284" t="s">
        <v>483</v>
      </c>
      <c r="B41" s="151" t="s">
        <v>268</v>
      </c>
      <c r="C41" s="206">
        <v>620486</v>
      </c>
    </row>
    <row r="42" spans="1:3" ht="18" customHeight="1">
      <c r="A42" s="284"/>
      <c r="B42" s="147" t="s">
        <v>2</v>
      </c>
      <c r="C42" s="152">
        <f>C40+C41</f>
        <v>2918584</v>
      </c>
    </row>
    <row r="43" spans="1:3" ht="9.75" customHeight="1">
      <c r="A43" s="284"/>
      <c r="B43" s="147"/>
      <c r="C43" s="149"/>
    </row>
    <row r="44" spans="1:3" ht="18" customHeight="1">
      <c r="A44" s="284" t="s">
        <v>204</v>
      </c>
      <c r="B44" s="147" t="s">
        <v>269</v>
      </c>
      <c r="C44" s="152">
        <f>C15+C24+C37+C29+C218+C42+C19+C33</f>
        <v>14251933.89</v>
      </c>
    </row>
  </sheetData>
  <sheetProtection/>
  <mergeCells count="6">
    <mergeCell ref="A1:C1"/>
    <mergeCell ref="B6:C6"/>
    <mergeCell ref="B7:C7"/>
    <mergeCell ref="B4:C4"/>
    <mergeCell ref="A8:A10"/>
    <mergeCell ref="A3:C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5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625" style="0" customWidth="1"/>
    <col min="2" max="2" width="65.25390625" style="0" customWidth="1"/>
    <col min="3" max="3" width="12.00390625" style="0" customWidth="1"/>
  </cols>
  <sheetData>
    <row r="1" spans="1:3" ht="15.75">
      <c r="A1" s="463" t="s">
        <v>527</v>
      </c>
      <c r="B1" s="383"/>
      <c r="C1" s="383"/>
    </row>
    <row r="3" spans="1:2" ht="12.75">
      <c r="A3" s="369" t="s">
        <v>496</v>
      </c>
      <c r="B3" s="369"/>
    </row>
    <row r="5" ht="12.75">
      <c r="B5" s="364"/>
    </row>
    <row r="7" ht="12.75">
      <c r="B7" s="363" t="s">
        <v>22</v>
      </c>
    </row>
    <row r="8" ht="12.75">
      <c r="B8" s="363" t="s">
        <v>484</v>
      </c>
    </row>
    <row r="9" ht="12.75">
      <c r="B9" s="363" t="s">
        <v>425</v>
      </c>
    </row>
    <row r="11" spans="1:4" ht="39" customHeight="1">
      <c r="A11" s="368" t="s">
        <v>499</v>
      </c>
      <c r="B11" s="367" t="s">
        <v>0</v>
      </c>
      <c r="C11" s="368" t="s">
        <v>485</v>
      </c>
      <c r="D11" s="357"/>
    </row>
    <row r="15" spans="1:2" ht="12.75">
      <c r="A15" s="355" t="s">
        <v>25</v>
      </c>
      <c r="B15" s="355" t="s">
        <v>486</v>
      </c>
    </row>
    <row r="17" spans="1:2" ht="18" customHeight="1">
      <c r="A17" s="350" t="s">
        <v>352</v>
      </c>
      <c r="B17" s="370" t="s">
        <v>487</v>
      </c>
    </row>
    <row r="18" spans="1:3" ht="12.75">
      <c r="A18" s="360" t="s">
        <v>494</v>
      </c>
      <c r="B18" t="s">
        <v>488</v>
      </c>
      <c r="C18" s="349">
        <v>2204730</v>
      </c>
    </row>
    <row r="19" spans="1:3" ht="12.75">
      <c r="A19" s="360" t="s">
        <v>354</v>
      </c>
      <c r="B19" t="s">
        <v>493</v>
      </c>
      <c r="C19" s="366">
        <v>595277</v>
      </c>
    </row>
    <row r="20" spans="2:3" ht="12.75">
      <c r="B20" s="355" t="s">
        <v>489</v>
      </c>
      <c r="C20" s="358">
        <f>C18+C19</f>
        <v>2800007</v>
      </c>
    </row>
    <row r="21" spans="2:3" ht="12.75">
      <c r="B21" s="355"/>
      <c r="C21" s="358"/>
    </row>
    <row r="22" spans="1:3" ht="12.75">
      <c r="A22" s="371" t="s">
        <v>509</v>
      </c>
      <c r="B22" s="374" t="s">
        <v>502</v>
      </c>
      <c r="C22" s="372">
        <v>11455031</v>
      </c>
    </row>
    <row r="23" spans="1:3" ht="12.75">
      <c r="A23" s="360" t="s">
        <v>510</v>
      </c>
      <c r="B23" t="s">
        <v>493</v>
      </c>
      <c r="C23" s="373">
        <v>3092859</v>
      </c>
    </row>
    <row r="24" spans="1:3" ht="12.75">
      <c r="A24" s="360"/>
      <c r="B24" s="355" t="s">
        <v>489</v>
      </c>
      <c r="C24" s="358">
        <f>C22+C23</f>
        <v>14547890</v>
      </c>
    </row>
    <row r="25" spans="1:3" ht="12.75">
      <c r="A25" s="360"/>
      <c r="B25" s="355"/>
      <c r="C25" s="358"/>
    </row>
    <row r="26" spans="1:3" ht="12.75">
      <c r="A26" s="360" t="s">
        <v>514</v>
      </c>
      <c r="B26" s="374" t="s">
        <v>516</v>
      </c>
      <c r="C26" s="372">
        <v>2021477</v>
      </c>
    </row>
    <row r="27" spans="1:3" ht="12.75">
      <c r="A27" s="360" t="s">
        <v>515</v>
      </c>
      <c r="B27" t="s">
        <v>493</v>
      </c>
      <c r="C27" s="373">
        <v>545798</v>
      </c>
    </row>
    <row r="28" spans="1:3" ht="12.75">
      <c r="A28" s="360"/>
      <c r="B28" s="355" t="s">
        <v>489</v>
      </c>
      <c r="C28" s="358">
        <f>C26+C27</f>
        <v>2567275</v>
      </c>
    </row>
    <row r="29" spans="1:3" ht="12.75">
      <c r="A29" s="360"/>
      <c r="B29" s="355"/>
      <c r="C29" s="358"/>
    </row>
    <row r="30" spans="2:3" ht="12.75">
      <c r="B30" s="355"/>
      <c r="C30" s="358"/>
    </row>
    <row r="31" spans="1:3" ht="12.75">
      <c r="A31" s="371" t="s">
        <v>355</v>
      </c>
      <c r="B31" s="370" t="s">
        <v>506</v>
      </c>
      <c r="C31" s="372"/>
    </row>
    <row r="32" spans="1:3" ht="12.75">
      <c r="A32" s="375" t="s">
        <v>495</v>
      </c>
      <c r="B32" s="374" t="s">
        <v>511</v>
      </c>
      <c r="C32" s="372">
        <v>3927560</v>
      </c>
    </row>
    <row r="33" spans="1:3" ht="12.75">
      <c r="A33" s="360" t="s">
        <v>507</v>
      </c>
      <c r="B33" t="s">
        <v>493</v>
      </c>
      <c r="C33" s="373">
        <v>1060441</v>
      </c>
    </row>
    <row r="34" spans="1:3" ht="12.75">
      <c r="A34" s="360"/>
      <c r="B34" s="355" t="s">
        <v>489</v>
      </c>
      <c r="C34" s="358">
        <f>C32+C33</f>
        <v>4988001</v>
      </c>
    </row>
    <row r="35" spans="1:3" ht="12.75">
      <c r="A35" s="360"/>
      <c r="C35" s="358"/>
    </row>
    <row r="36" spans="1:3" ht="12.75">
      <c r="A36" s="360" t="s">
        <v>498</v>
      </c>
      <c r="B36" t="s">
        <v>512</v>
      </c>
      <c r="C36" s="372">
        <v>61407949</v>
      </c>
    </row>
    <row r="37" spans="1:3" ht="12.75">
      <c r="A37" s="360" t="s">
        <v>508</v>
      </c>
      <c r="B37" t="s">
        <v>493</v>
      </c>
      <c r="C37" s="373">
        <v>16580146</v>
      </c>
    </row>
    <row r="38" spans="1:3" ht="12.75">
      <c r="A38" s="360"/>
      <c r="B38" s="355" t="s">
        <v>489</v>
      </c>
      <c r="C38" s="358">
        <f>C36+C37</f>
        <v>77988095</v>
      </c>
    </row>
    <row r="39" ht="12.75">
      <c r="C39" s="374"/>
    </row>
    <row r="40" spans="1:2" ht="20.25" customHeight="1">
      <c r="A40" s="371" t="s">
        <v>355</v>
      </c>
      <c r="B40" s="370" t="s">
        <v>490</v>
      </c>
    </row>
    <row r="41" spans="1:3" ht="12.75">
      <c r="A41" s="360" t="s">
        <v>495</v>
      </c>
      <c r="B41" t="s">
        <v>491</v>
      </c>
      <c r="C41" s="349">
        <v>400000</v>
      </c>
    </row>
    <row r="42" spans="1:3" ht="12.75">
      <c r="A42" s="360" t="s">
        <v>507</v>
      </c>
      <c r="B42" t="s">
        <v>493</v>
      </c>
      <c r="C42" s="366">
        <v>108000</v>
      </c>
    </row>
    <row r="43" spans="2:3" ht="12.75">
      <c r="B43" s="355" t="s">
        <v>489</v>
      </c>
      <c r="C43" s="358">
        <f>C41+C42</f>
        <v>508000</v>
      </c>
    </row>
    <row r="44" spans="2:3" ht="12.75">
      <c r="B44" s="355"/>
      <c r="C44" s="358"/>
    </row>
    <row r="45" spans="1:3" ht="12.75">
      <c r="A45" s="360" t="s">
        <v>498</v>
      </c>
      <c r="B45" t="s">
        <v>497</v>
      </c>
      <c r="C45" s="372">
        <v>329875</v>
      </c>
    </row>
    <row r="46" spans="1:3" ht="12.75">
      <c r="A46" s="360" t="s">
        <v>508</v>
      </c>
      <c r="B46" t="s">
        <v>493</v>
      </c>
      <c r="C46" s="373">
        <v>89066</v>
      </c>
    </row>
    <row r="47" spans="2:3" ht="12.75">
      <c r="B47" s="355" t="s">
        <v>489</v>
      </c>
      <c r="C47" s="358">
        <f>C45+C46</f>
        <v>418941</v>
      </c>
    </row>
    <row r="48" spans="2:3" ht="12.75">
      <c r="B48" s="355"/>
      <c r="C48" s="358"/>
    </row>
    <row r="50" spans="2:3" ht="16.5" customHeight="1">
      <c r="B50" s="355" t="s">
        <v>492</v>
      </c>
      <c r="C50" s="358">
        <f>C20+C43+C47+C24+C34+C38+C28</f>
        <v>103818209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Vargáné Horváth Krisztina</cp:lastModifiedBy>
  <cp:lastPrinted>2019-11-22T11:07:06Z</cp:lastPrinted>
  <dcterms:created xsi:type="dcterms:W3CDTF">2002-11-26T17:22:50Z</dcterms:created>
  <dcterms:modified xsi:type="dcterms:W3CDTF">2019-11-26T10:30:18Z</dcterms:modified>
  <cp:category/>
  <cp:version/>
  <cp:contentType/>
  <cp:contentStatus/>
</cp:coreProperties>
</file>